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1058370010 - Distrito Turbo\Documentos aprobación ajuste - 2021058370010\Anexos ajuste\"/>
    </mc:Choice>
  </mc:AlternateContent>
  <xr:revisionPtr revIDLastSave="0" documentId="8_{FD62C31A-544B-4E1E-B0E4-6AA1A575522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ESUPUESTO GENERAL " sheetId="41" r:id="rId1"/>
    <sheet name="PRESUPUESTO MGA" sheetId="42" r:id="rId2"/>
    <sheet name="AJUSTE PRESUPUESTO" sheetId="31" r:id="rId3"/>
    <sheet name="CUADRO DE COMPARACIÓN" sheetId="40" r:id="rId4"/>
    <sheet name="MEM" sheetId="11" r:id="rId5"/>
    <sheet name="APU1" sheetId="32" r:id="rId6"/>
    <sheet name="AIU Obra civil " sheetId="35" r:id="rId7"/>
    <sheet name="aiu insumos" sheetId="38" r:id="rId8"/>
    <sheet name="PGIO" sheetId="36" state="hidden" r:id="rId9"/>
    <sheet name="PMT" sheetId="37" state="hidden" r:id="rId10"/>
    <sheet name="CRONOGRAMA " sheetId="27" r:id="rId11"/>
    <sheet name="MDEO ADMON" sheetId="34" state="hidden" r:id="rId12"/>
    <sheet name="prespuesto interventoria" sheetId="39" state="hidden" r:id="rId13"/>
    <sheet name="FACTOR MULTIPLICADOR" sheetId="19" state="hidden" r:id="rId14"/>
    <sheet name="PRESUPUESTO" sheetId="6" state="hidden" r:id="rId15"/>
    <sheet name="APU" sheetId="5" state="hidden" r:id="rId16"/>
    <sheet name="MAT1" sheetId="8" r:id="rId17"/>
    <sheet name="MAT2" sheetId="30" r:id="rId18"/>
    <sheet name="EQUI" sheetId="2" r:id="rId19"/>
    <sheet name="TRAN" sheetId="9" r:id="rId20"/>
    <sheet name="MDEO" sheetId="10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18" hidden="1">EQUI!$A$15:$G$54</definedName>
    <definedName name="_xlnm._FilterDatabase" localSheetId="16" hidden="1">'MAT1'!$A$15:$G$53</definedName>
    <definedName name="_xlnm._FilterDatabase" localSheetId="17" hidden="1">'MAT2'!$A$15:$G$42</definedName>
    <definedName name="_xlnm._FilterDatabase" localSheetId="4" hidden="1">MEM!$A$15:$L$283</definedName>
    <definedName name="_xlnm.Print_Area" localSheetId="7">'aiu insumos'!$A$1:$J$32</definedName>
    <definedName name="_xlnm.Print_Area" localSheetId="6">'AIU Obra civil '!$A$1:$J$51</definedName>
    <definedName name="_xlnm.Print_Area" localSheetId="2">'AJUSTE PRESUPUESTO'!$A$1:$U$83</definedName>
    <definedName name="_xlnm.Print_Area" localSheetId="15">APU!$A$1:$K$1386</definedName>
    <definedName name="_xlnm.Print_Area" localSheetId="5">'APU1'!$A$1:$J$1240</definedName>
    <definedName name="_xlnm.Print_Area" localSheetId="10">'CRONOGRAMA '!$A$1:$R$32</definedName>
    <definedName name="_xlnm.Print_Area" localSheetId="18">EQUI!$A$1:$E$54</definedName>
    <definedName name="_xlnm.Print_Area" localSheetId="16">'MAT1'!$A$1:$F$53</definedName>
    <definedName name="_xlnm.Print_Area" localSheetId="17">'MAT2'!$A$1:$G$42</definedName>
    <definedName name="_xlnm.Print_Area" localSheetId="20">MDEO!$A$1:$P$59</definedName>
    <definedName name="_xlnm.Print_Area" localSheetId="11">'MDEO ADMON'!$A$1:$O$52</definedName>
    <definedName name="_xlnm.Print_Area" localSheetId="8">PGIO!$A$1:$J$85</definedName>
    <definedName name="_xlnm.Print_Area" localSheetId="9">PMT!$A$1:$J$30</definedName>
    <definedName name="_xlnm.Print_Area" localSheetId="12">'prespuesto interventoria'!$A$1:$J$34</definedName>
    <definedName name="_xlnm.Print_Area" localSheetId="14">PRESUPUESTO!$A$1:$I$61</definedName>
    <definedName name="_xlnm.Print_Area" localSheetId="0">'PRESUPUESTO GENERAL '!$A$1:$I$83</definedName>
    <definedName name="_xlnm.Print_Area" localSheetId="1">'PRESUPUESTO MGA'!$A$1:$L$78</definedName>
    <definedName name="_xlnm.Print_Area" localSheetId="19">TRAN!$A$1:$G$35</definedName>
    <definedName name="solver_adj" localSheetId="4" hidden="1">MEM!#REF!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MEM!#REF!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0</definedName>
    <definedName name="solver_ver" localSheetId="4" hidden="1">3</definedName>
    <definedName name="_xlnm.Print_Titles" localSheetId="2">'AJUSTE PRESUPUESTO'!$1:$15</definedName>
    <definedName name="_xlnm.Print_Titles" localSheetId="15">APU!$1:$14</definedName>
    <definedName name="_xlnm.Print_Titles" localSheetId="5">'APU1'!$1:$14</definedName>
    <definedName name="_xlnm.Print_Titles" localSheetId="16">'MAT1'!$1:$15</definedName>
    <definedName name="_xlnm.Print_Titles" localSheetId="17">'MAT2'!$1:$15</definedName>
    <definedName name="_xlnm.Print_Titles" localSheetId="4">MEM!$1:$15</definedName>
    <definedName name="_xlnm.Print_Titles" localSheetId="8">PGIO!$2:$16</definedName>
    <definedName name="_xlnm.Print_Titles" localSheetId="9">PMT!$2:$16</definedName>
    <definedName name="_xlnm.Print_Titles" localSheetId="14">PRESUPUESTO!$1:$16</definedName>
    <definedName name="_xlnm.Print_Titles" localSheetId="0">'PRESUPUESTO GENERAL '!$1:$15</definedName>
    <definedName name="_xlnm.Print_Titles" localSheetId="1">'PRESUPUESTO MGA'!$1:$15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8" i="42" l="1"/>
  <c r="J70" i="42"/>
  <c r="H66" i="42"/>
  <c r="H64" i="42"/>
  <c r="J62" i="42"/>
  <c r="J63" i="42" s="1"/>
  <c r="N61" i="42"/>
  <c r="O61" i="42" s="1"/>
  <c r="H61" i="42"/>
  <c r="N60" i="42"/>
  <c r="H60" i="42"/>
  <c r="J59" i="42"/>
  <c r="J58" i="42"/>
  <c r="G56" i="42"/>
  <c r="H56" i="42" s="1"/>
  <c r="H55" i="42"/>
  <c r="G55" i="42"/>
  <c r="G54" i="42"/>
  <c r="H54" i="42" s="1"/>
  <c r="H53" i="42"/>
  <c r="G53" i="42"/>
  <c r="N52" i="42"/>
  <c r="N53" i="42" s="1"/>
  <c r="H52" i="42"/>
  <c r="G52" i="42"/>
  <c r="H51" i="42"/>
  <c r="G51" i="42"/>
  <c r="H50" i="42"/>
  <c r="H49" i="42" s="1"/>
  <c r="H59" i="42" s="1"/>
  <c r="G61" i="42" s="1"/>
  <c r="G50" i="42"/>
  <c r="G48" i="42"/>
  <c r="H48" i="42" s="1"/>
  <c r="E48" i="42"/>
  <c r="H47" i="42"/>
  <c r="G47" i="42"/>
  <c r="E47" i="42"/>
  <c r="G46" i="42"/>
  <c r="H46" i="42" s="1"/>
  <c r="E46" i="42"/>
  <c r="G45" i="42"/>
  <c r="H45" i="42" s="1"/>
  <c r="H44" i="42"/>
  <c r="G44" i="42"/>
  <c r="E44" i="42"/>
  <c r="G43" i="42"/>
  <c r="H43" i="42" s="1"/>
  <c r="E43" i="42"/>
  <c r="G42" i="42"/>
  <c r="H42" i="42" s="1"/>
  <c r="E42" i="42"/>
  <c r="H40" i="42"/>
  <c r="G40" i="42"/>
  <c r="E40" i="42"/>
  <c r="K39" i="42"/>
  <c r="G39" i="42"/>
  <c r="H39" i="42" s="1"/>
  <c r="E39" i="42"/>
  <c r="G38" i="42"/>
  <c r="H38" i="42" s="1"/>
  <c r="E38" i="42"/>
  <c r="H37" i="42"/>
  <c r="G37" i="42"/>
  <c r="E37" i="42"/>
  <c r="G36" i="42"/>
  <c r="H36" i="42" s="1"/>
  <c r="E36" i="42"/>
  <c r="H35" i="42"/>
  <c r="G35" i="42"/>
  <c r="E35" i="42"/>
  <c r="G33" i="42"/>
  <c r="H33" i="42" s="1"/>
  <c r="E33" i="42"/>
  <c r="G32" i="42"/>
  <c r="H32" i="42" s="1"/>
  <c r="E32" i="42"/>
  <c r="H31" i="42"/>
  <c r="G31" i="42"/>
  <c r="E31" i="42"/>
  <c r="G30" i="42"/>
  <c r="H30" i="42" s="1"/>
  <c r="E30" i="42"/>
  <c r="H29" i="42"/>
  <c r="G29" i="42"/>
  <c r="E29" i="42"/>
  <c r="H28" i="42"/>
  <c r="G28" i="42"/>
  <c r="E28" i="42"/>
  <c r="K27" i="42"/>
  <c r="G27" i="42"/>
  <c r="H27" i="42" s="1"/>
  <c r="E27" i="42"/>
  <c r="H26" i="42"/>
  <c r="G26" i="42"/>
  <c r="E26" i="42"/>
  <c r="G25" i="42"/>
  <c r="H25" i="42" s="1"/>
  <c r="E25" i="42"/>
  <c r="H24" i="42"/>
  <c r="G24" i="42"/>
  <c r="E24" i="42"/>
  <c r="H23" i="42"/>
  <c r="G23" i="42"/>
  <c r="E23" i="42"/>
  <c r="H22" i="42"/>
  <c r="G22" i="42"/>
  <c r="E22" i="42"/>
  <c r="G21" i="42"/>
  <c r="H21" i="42" s="1"/>
  <c r="E21" i="42"/>
  <c r="G20" i="42"/>
  <c r="H20" i="42" s="1"/>
  <c r="E20" i="42"/>
  <c r="H18" i="42"/>
  <c r="H16" i="42" s="1"/>
  <c r="G18" i="42"/>
  <c r="E18" i="42"/>
  <c r="H17" i="42"/>
  <c r="G17" i="42"/>
  <c r="E17" i="42"/>
  <c r="D13" i="42"/>
  <c r="D12" i="42"/>
  <c r="D11" i="42"/>
  <c r="D10" i="42"/>
  <c r="H9" i="42"/>
  <c r="H7" i="42"/>
  <c r="C7" i="42"/>
  <c r="G5" i="42"/>
  <c r="G4" i="42"/>
  <c r="H34" i="42" l="1"/>
  <c r="H41" i="42"/>
  <c r="H19" i="42"/>
  <c r="H58" i="42" l="1"/>
  <c r="H62" i="42" l="1"/>
  <c r="H68" i="42" s="1"/>
  <c r="O60" i="42"/>
  <c r="G60" i="42"/>
  <c r="H70" i="42" l="1"/>
  <c r="H72" i="42" s="1"/>
  <c r="N68" i="42"/>
  <c r="J68" i="42"/>
  <c r="J51" i="42"/>
  <c r="O83" i="41" l="1"/>
  <c r="J73" i="41"/>
  <c r="H69" i="41"/>
  <c r="H67" i="41"/>
  <c r="J65" i="41"/>
  <c r="J66" i="41" s="1"/>
  <c r="N64" i="41"/>
  <c r="G54" i="41"/>
  <c r="F51" i="41"/>
  <c r="F50" i="41"/>
  <c r="F49" i="41"/>
  <c r="F48" i="41"/>
  <c r="F47" i="41"/>
  <c r="F46" i="41"/>
  <c r="F45" i="41"/>
  <c r="F43" i="41"/>
  <c r="H43" i="41" s="1"/>
  <c r="F42" i="41"/>
  <c r="F41" i="41"/>
  <c r="F40" i="41"/>
  <c r="E40" i="41"/>
  <c r="F39" i="41"/>
  <c r="K39" i="41" s="1"/>
  <c r="E39" i="41"/>
  <c r="F38" i="41"/>
  <c r="F37" i="41"/>
  <c r="F36" i="41"/>
  <c r="F35" i="41"/>
  <c r="F33" i="41"/>
  <c r="F32" i="41"/>
  <c r="F31" i="41"/>
  <c r="F30" i="41"/>
  <c r="F29" i="41"/>
  <c r="F28" i="41"/>
  <c r="K27" i="41"/>
  <c r="F27" i="41"/>
  <c r="F26" i="41"/>
  <c r="F25" i="41"/>
  <c r="F24" i="41"/>
  <c r="F23" i="41"/>
  <c r="F22" i="41"/>
  <c r="F21" i="41"/>
  <c r="F20" i="41"/>
  <c r="F18" i="41"/>
  <c r="F17" i="41"/>
  <c r="H7" i="41"/>
  <c r="C7" i="41"/>
  <c r="G41" i="41" l="1"/>
  <c r="H41" i="41" s="1"/>
  <c r="G42" i="41" l="1"/>
  <c r="H42" i="41" s="1"/>
  <c r="G53" i="41" l="1"/>
  <c r="H53" i="41" s="1"/>
  <c r="G59" i="41"/>
  <c r="H59" i="41" s="1"/>
  <c r="G57" i="41"/>
  <c r="G56" i="41"/>
  <c r="G51" i="41" l="1"/>
  <c r="H51" i="41" s="1"/>
  <c r="G40" i="41"/>
  <c r="H40" i="41" s="1"/>
  <c r="G45" i="41" l="1"/>
  <c r="H45" i="41" s="1"/>
  <c r="G46" i="41"/>
  <c r="H46" i="41" s="1"/>
  <c r="G39" i="41"/>
  <c r="H39" i="41" s="1"/>
  <c r="E49" i="41" l="1"/>
  <c r="E46" i="41"/>
  <c r="E31" i="41"/>
  <c r="E21" i="41"/>
  <c r="E33" i="41"/>
  <c r="E26" i="41"/>
  <c r="E32" i="41"/>
  <c r="E25" i="41"/>
  <c r="E37" i="41"/>
  <c r="E18" i="41"/>
  <c r="E24" i="41"/>
  <c r="E51" i="41"/>
  <c r="E36" i="41"/>
  <c r="E28" i="41"/>
  <c r="E23" i="41"/>
  <c r="E45" i="41"/>
  <c r="E38" i="41"/>
  <c r="E30" i="41"/>
  <c r="E20" i="41"/>
  <c r="E50" i="41"/>
  <c r="E47" i="41"/>
  <c r="E35" i="41"/>
  <c r="E22" i="41"/>
  <c r="E27" i="41"/>
  <c r="E29" i="41"/>
  <c r="G58" i="41"/>
  <c r="G55" i="41"/>
  <c r="G26" i="41" l="1"/>
  <c r="H26" i="41" s="1"/>
  <c r="G31" i="41"/>
  <c r="H31" i="41" s="1"/>
  <c r="G24" i="41"/>
  <c r="H24" i="41" s="1"/>
  <c r="G32" i="41"/>
  <c r="H32" i="41" s="1"/>
  <c r="G20" i="41" l="1"/>
  <c r="H20" i="41" s="1"/>
  <c r="G49" i="41"/>
  <c r="H49" i="41" s="1"/>
  <c r="G21" i="41"/>
  <c r="H21" i="41" s="1"/>
  <c r="G48" i="41"/>
  <c r="H48" i="41" s="1"/>
  <c r="G36" i="41"/>
  <c r="H36" i="41" s="1"/>
  <c r="G28" i="41"/>
  <c r="H28" i="41" s="1"/>
  <c r="G27" i="41"/>
  <c r="H27" i="41" s="1"/>
  <c r="G17" i="41"/>
  <c r="H17" i="41" s="1"/>
  <c r="G30" i="41"/>
  <c r="H30" i="41" s="1"/>
  <c r="G50" i="41"/>
  <c r="H50" i="41" s="1"/>
  <c r="G29" i="41"/>
  <c r="H29" i="41" s="1"/>
  <c r="G22" i="41"/>
  <c r="H22" i="41" s="1"/>
  <c r="G23" i="41"/>
  <c r="H23" i="41" s="1"/>
  <c r="G38" i="41"/>
  <c r="H38" i="41" s="1"/>
  <c r="G25" i="41"/>
  <c r="H25" i="41" s="1"/>
  <c r="G33" i="41"/>
  <c r="H33" i="41" s="1"/>
  <c r="H19" i="41" l="1"/>
  <c r="G47" i="41"/>
  <c r="H47" i="41" s="1"/>
  <c r="H44" i="41" s="1"/>
  <c r="G37" i="41"/>
  <c r="H37" i="41" s="1"/>
  <c r="G18" i="41"/>
  <c r="H18" i="41" s="1"/>
  <c r="H16" i="41" s="1"/>
  <c r="F56" i="41" l="1"/>
  <c r="H56" i="41" s="1"/>
  <c r="F58" i="41"/>
  <c r="H58" i="41" s="1"/>
  <c r="F57" i="41"/>
  <c r="H57" i="41" s="1"/>
  <c r="F54" i="41" l="1"/>
  <c r="N55" i="41" l="1"/>
  <c r="N56" i="41" s="1"/>
  <c r="H54" i="41"/>
  <c r="F55" i="41" l="1"/>
  <c r="H55" i="41" s="1"/>
  <c r="H52" i="41" s="1"/>
  <c r="H62" i="41" s="1"/>
  <c r="J62" i="41" l="1"/>
  <c r="H64" i="41" l="1"/>
  <c r="G64" i="41" s="1"/>
  <c r="G35" i="41" l="1"/>
  <c r="H35" i="41" s="1"/>
  <c r="H34" i="41" s="1"/>
  <c r="H61" i="41" s="1"/>
  <c r="J61" i="41" l="1"/>
  <c r="N63" i="41" l="1"/>
  <c r="O63" i="41" s="1"/>
  <c r="H63" i="41" l="1"/>
  <c r="O64" i="41" l="1"/>
  <c r="G63" i="41"/>
  <c r="H65" i="41"/>
  <c r="H71" i="41" s="1"/>
  <c r="J71" i="41" l="1"/>
  <c r="N71" i="41"/>
  <c r="H73" i="41"/>
  <c r="H75" i="41" s="1"/>
  <c r="I78" i="41" s="1"/>
  <c r="J54" i="41"/>
  <c r="I82" i="41" l="1"/>
  <c r="I80" i="41"/>
  <c r="G18" i="40" l="1"/>
  <c r="K17" i="40"/>
  <c r="H17" i="40"/>
  <c r="K16" i="40"/>
  <c r="H16" i="40"/>
  <c r="G16" i="40"/>
  <c r="K15" i="40"/>
  <c r="J15" i="40"/>
  <c r="I15" i="40"/>
  <c r="K14" i="40"/>
  <c r="I14" i="40"/>
  <c r="I16" i="40" s="1"/>
  <c r="I13" i="40"/>
  <c r="I18" i="40" s="1"/>
  <c r="G13" i="40"/>
  <c r="J12" i="40"/>
  <c r="H12" i="40"/>
  <c r="K12" i="40" s="1"/>
  <c r="J11" i="40"/>
  <c r="H11" i="40"/>
  <c r="K11" i="40" s="1"/>
  <c r="K10" i="40"/>
  <c r="J10" i="40"/>
  <c r="H10" i="40"/>
  <c r="K9" i="40"/>
  <c r="J9" i="40"/>
  <c r="H9" i="40"/>
  <c r="J8" i="40"/>
  <c r="J13" i="40" s="1"/>
  <c r="H8" i="40"/>
  <c r="K8" i="40" s="1"/>
  <c r="K13" i="40" l="1"/>
  <c r="K18" i="40" s="1"/>
  <c r="J14" i="40"/>
  <c r="J16" i="40" s="1"/>
  <c r="J18" i="40" s="1"/>
  <c r="H13" i="40"/>
  <c r="H18" i="40" s="1"/>
  <c r="U69" i="31" l="1"/>
  <c r="U67" i="31"/>
  <c r="U43" i="31"/>
  <c r="T52" i="31"/>
  <c r="T62" i="31" s="1"/>
  <c r="T54" i="31"/>
  <c r="T55" i="31"/>
  <c r="T56" i="31"/>
  <c r="T57" i="31"/>
  <c r="T58" i="31"/>
  <c r="T59" i="31"/>
  <c r="T53" i="31"/>
  <c r="T46" i="31"/>
  <c r="T47" i="31"/>
  <c r="T48" i="31"/>
  <c r="T49" i="31"/>
  <c r="T50" i="31"/>
  <c r="T51" i="31"/>
  <c r="T45" i="31"/>
  <c r="T36" i="31"/>
  <c r="T37" i="31"/>
  <c r="T38" i="31"/>
  <c r="T39" i="31"/>
  <c r="T40" i="31"/>
  <c r="T41" i="31"/>
  <c r="T42" i="31"/>
  <c r="T43" i="31"/>
  <c r="T35" i="31"/>
  <c r="T34" i="31" s="1"/>
  <c r="T21" i="31"/>
  <c r="T19" i="31" s="1"/>
  <c r="T22" i="31"/>
  <c r="T23" i="31"/>
  <c r="T24" i="31"/>
  <c r="T25" i="31"/>
  <c r="T26" i="31"/>
  <c r="T27" i="31"/>
  <c r="T28" i="31"/>
  <c r="T29" i="31"/>
  <c r="T30" i="31"/>
  <c r="T31" i="31"/>
  <c r="T32" i="31"/>
  <c r="T33" i="31"/>
  <c r="T20" i="31"/>
  <c r="T18" i="31"/>
  <c r="T17" i="31"/>
  <c r="T16" i="31" s="1"/>
  <c r="T64" i="31" l="1"/>
  <c r="T44" i="31"/>
  <c r="T61" i="31" s="1"/>
  <c r="T63" i="31" l="1"/>
  <c r="T65" i="31"/>
  <c r="T71" i="31" s="1"/>
  <c r="T75" i="31" s="1"/>
  <c r="M48" i="11" l="1"/>
  <c r="O79" i="11"/>
  <c r="H67" i="31" l="1"/>
  <c r="O9" i="10"/>
  <c r="E9" i="9"/>
  <c r="E9" i="30"/>
  <c r="E9" i="8"/>
  <c r="E9" i="2"/>
  <c r="G9" i="32"/>
  <c r="H9" i="39"/>
  <c r="M9" i="34"/>
  <c r="H9" i="37"/>
  <c r="H9" i="36"/>
  <c r="I9" i="11"/>
  <c r="H9" i="38"/>
  <c r="H9" i="35"/>
  <c r="C7" i="11"/>
  <c r="G5" i="35" l="1"/>
  <c r="G4" i="35"/>
  <c r="E65" i="36" l="1"/>
  <c r="H65" i="36" s="1"/>
  <c r="J65" i="36" s="1"/>
  <c r="J64" i="36"/>
  <c r="H64" i="36"/>
  <c r="D1219" i="32"/>
  <c r="G1214" i="32"/>
  <c r="G1215" i="32"/>
  <c r="G1230" i="32"/>
  <c r="G1226" i="32"/>
  <c r="C1226" i="32"/>
  <c r="G1225" i="32"/>
  <c r="C1225" i="32"/>
  <c r="C1224" i="32"/>
  <c r="G1221" i="32"/>
  <c r="G1220" i="32"/>
  <c r="C1220" i="32"/>
  <c r="G1219" i="32"/>
  <c r="F1219" i="32"/>
  <c r="C1219" i="32"/>
  <c r="G1216" i="32"/>
  <c r="D1220" i="32"/>
  <c r="F1220" i="32" s="1"/>
  <c r="F1215" i="32"/>
  <c r="E1215" i="32"/>
  <c r="C1215" i="32"/>
  <c r="F1214" i="32"/>
  <c r="H1214" i="32" s="1"/>
  <c r="E1214" i="32"/>
  <c r="C1214" i="32"/>
  <c r="G1213" i="32"/>
  <c r="F1213" i="32"/>
  <c r="H1213" i="32" s="1"/>
  <c r="E1213" i="32"/>
  <c r="C1213" i="32"/>
  <c r="G1210" i="32"/>
  <c r="F1209" i="32"/>
  <c r="H1209" i="32" s="1"/>
  <c r="I1210" i="32" s="1"/>
  <c r="C1209" i="32"/>
  <c r="G1177" i="32"/>
  <c r="G1175" i="32"/>
  <c r="G1193" i="32"/>
  <c r="G1189" i="32"/>
  <c r="C1189" i="32"/>
  <c r="G1188" i="32"/>
  <c r="C1188" i="32"/>
  <c r="C1187" i="32"/>
  <c r="G1184" i="32"/>
  <c r="G1183" i="32"/>
  <c r="C1183" i="32"/>
  <c r="G1182" i="32"/>
  <c r="C1182" i="32"/>
  <c r="G1179" i="32"/>
  <c r="G1178" i="32"/>
  <c r="D1183" i="32" s="1"/>
  <c r="F1183" i="32" s="1"/>
  <c r="F1178" i="32"/>
  <c r="H1178" i="32" s="1"/>
  <c r="E1178" i="32"/>
  <c r="C1178" i="32"/>
  <c r="F1177" i="32"/>
  <c r="H1177" i="32" s="1"/>
  <c r="E1177" i="32"/>
  <c r="C1177" i="32"/>
  <c r="G1176" i="32"/>
  <c r="F1176" i="32"/>
  <c r="H1176" i="32" s="1"/>
  <c r="E1176" i="32"/>
  <c r="C1176" i="32"/>
  <c r="F1175" i="32"/>
  <c r="E1175" i="32"/>
  <c r="C1175" i="32"/>
  <c r="G1172" i="32"/>
  <c r="F1171" i="32"/>
  <c r="H1171" i="32" s="1"/>
  <c r="I1172" i="32" s="1"/>
  <c r="C1171" i="32"/>
  <c r="G1139" i="32"/>
  <c r="D1144" i="32" s="1"/>
  <c r="F1144" i="32" s="1"/>
  <c r="G1140" i="32"/>
  <c r="D1145" i="32" s="1"/>
  <c r="F1145" i="32" s="1"/>
  <c r="G1138" i="32"/>
  <c r="G1137" i="32"/>
  <c r="G1150" i="32"/>
  <c r="G1145" i="32"/>
  <c r="C1145" i="32"/>
  <c r="C1144" i="32"/>
  <c r="C1106" i="32"/>
  <c r="F1139" i="32"/>
  <c r="E1139" i="32"/>
  <c r="C1139" i="32"/>
  <c r="F1138" i="32"/>
  <c r="E1138" i="32"/>
  <c r="C1138" i="32"/>
  <c r="F1133" i="32"/>
  <c r="H1133" i="32" s="1"/>
  <c r="I1134" i="32" s="1"/>
  <c r="C1133" i="32"/>
  <c r="D1093" i="32"/>
  <c r="G1155" i="32"/>
  <c r="G1151" i="32"/>
  <c r="C1151" i="32"/>
  <c r="C1150" i="32"/>
  <c r="C1149" i="32"/>
  <c r="G1146" i="32"/>
  <c r="G1144" i="32"/>
  <c r="G1141" i="32"/>
  <c r="F1140" i="32"/>
  <c r="E1140" i="32"/>
  <c r="C1140" i="32"/>
  <c r="F1137" i="32"/>
  <c r="E1137" i="32"/>
  <c r="C1137" i="32"/>
  <c r="G1134" i="32"/>
  <c r="B1130" i="32"/>
  <c r="G1072" i="32"/>
  <c r="G1036" i="32"/>
  <c r="C1072" i="32"/>
  <c r="D1057" i="32"/>
  <c r="C1036" i="32"/>
  <c r="D1023" i="32"/>
  <c r="D988" i="32"/>
  <c r="G966" i="32"/>
  <c r="C966" i="32"/>
  <c r="D950" i="32"/>
  <c r="D913" i="32"/>
  <c r="D879" i="32"/>
  <c r="C893" i="32"/>
  <c r="L851" i="32"/>
  <c r="C855" i="32"/>
  <c r="C834" i="32"/>
  <c r="C833" i="32"/>
  <c r="C802" i="32"/>
  <c r="C793" i="32"/>
  <c r="C792" i="32"/>
  <c r="C710" i="32"/>
  <c r="C711" i="32"/>
  <c r="C712" i="32"/>
  <c r="C708" i="32"/>
  <c r="C709" i="32"/>
  <c r="C763" i="32"/>
  <c r="C762" i="32"/>
  <c r="C761" i="32"/>
  <c r="G721" i="32"/>
  <c r="G684" i="32"/>
  <c r="G683" i="32"/>
  <c r="C721" i="32"/>
  <c r="F530" i="32"/>
  <c r="E530" i="32"/>
  <c r="D530" i="32"/>
  <c r="C530" i="32"/>
  <c r="I31" i="2"/>
  <c r="J31" i="2" s="1"/>
  <c r="G31" i="2"/>
  <c r="D526" i="32"/>
  <c r="G505" i="32"/>
  <c r="C505" i="32"/>
  <c r="D493" i="32"/>
  <c r="F497" i="32"/>
  <c r="H497" i="32" s="1"/>
  <c r="E497" i="32"/>
  <c r="D497" i="32"/>
  <c r="C497" i="32"/>
  <c r="G471" i="32"/>
  <c r="C471" i="32"/>
  <c r="F463" i="32"/>
  <c r="E463" i="32"/>
  <c r="D463" i="32"/>
  <c r="C463" i="32"/>
  <c r="C427" i="32"/>
  <c r="D427" i="32"/>
  <c r="F426" i="32"/>
  <c r="E427" i="32"/>
  <c r="E426" i="32"/>
  <c r="F566" i="32"/>
  <c r="F567" i="32"/>
  <c r="C426" i="32"/>
  <c r="D426" i="32"/>
  <c r="I49" i="2"/>
  <c r="J49" i="2" s="1"/>
  <c r="G49" i="2"/>
  <c r="I48" i="2"/>
  <c r="J48" i="2" s="1"/>
  <c r="G48" i="2"/>
  <c r="I47" i="2"/>
  <c r="J47" i="2" s="1"/>
  <c r="G47" i="2"/>
  <c r="D459" i="32"/>
  <c r="D422" i="32"/>
  <c r="D388" i="32"/>
  <c r="D355" i="32"/>
  <c r="D322" i="32"/>
  <c r="D287" i="32"/>
  <c r="D253" i="32"/>
  <c r="D217" i="32"/>
  <c r="D150" i="32"/>
  <c r="D84" i="32"/>
  <c r="C64" i="32"/>
  <c r="D16" i="32"/>
  <c r="D51" i="32"/>
  <c r="C727" i="32"/>
  <c r="C726" i="32"/>
  <c r="C725" i="32"/>
  <c r="C684" i="32"/>
  <c r="C683" i="32"/>
  <c r="C672" i="32"/>
  <c r="C671" i="32"/>
  <c r="H1183" i="32" l="1"/>
  <c r="H1219" i="32"/>
  <c r="H1220" i="32"/>
  <c r="H1140" i="32"/>
  <c r="H1137" i="32"/>
  <c r="H1175" i="32"/>
  <c r="I1179" i="32" s="1"/>
  <c r="D1182" i="32"/>
  <c r="F1182" i="32" s="1"/>
  <c r="H1182" i="32" s="1"/>
  <c r="H1215" i="32"/>
  <c r="I1216" i="32" s="1"/>
  <c r="H1139" i="32"/>
  <c r="H1145" i="32"/>
  <c r="H1144" i="32"/>
  <c r="H1138" i="32"/>
  <c r="I1184" i="32" l="1"/>
  <c r="I1221" i="32"/>
  <c r="I1141" i="32"/>
  <c r="I1146" i="32"/>
  <c r="E24" i="38" l="1"/>
  <c r="D704" i="32"/>
  <c r="D667" i="32"/>
  <c r="D629" i="32"/>
  <c r="F17" i="36"/>
  <c r="G727" i="32"/>
  <c r="G726" i="32"/>
  <c r="G725" i="32"/>
  <c r="F18" i="36"/>
  <c r="F19" i="36"/>
  <c r="D816" i="32" l="1"/>
  <c r="F788" i="32"/>
  <c r="H793" i="32" l="1"/>
  <c r="D784" i="32"/>
  <c r="D742" i="32"/>
  <c r="G888" i="32"/>
  <c r="G751" i="32"/>
  <c r="D847" i="32"/>
  <c r="G835" i="32"/>
  <c r="E834" i="32"/>
  <c r="E833" i="32"/>
  <c r="G830" i="32"/>
  <c r="G826" i="32"/>
  <c r="F825" i="32"/>
  <c r="H825" i="32" s="1"/>
  <c r="E825" i="32"/>
  <c r="C825" i="32"/>
  <c r="M824" i="32"/>
  <c r="F824" i="32"/>
  <c r="E824" i="32"/>
  <c r="C824" i="32"/>
  <c r="G821" i="32"/>
  <c r="F820" i="32"/>
  <c r="H820" i="32" s="1"/>
  <c r="C820" i="32"/>
  <c r="H792" i="32"/>
  <c r="I795" i="32" s="1"/>
  <c r="G865" i="32"/>
  <c r="G860" i="32"/>
  <c r="G859" i="32"/>
  <c r="F859" i="32"/>
  <c r="G856" i="32"/>
  <c r="F855" i="32"/>
  <c r="H855" i="32" s="1"/>
  <c r="E855" i="32"/>
  <c r="G852" i="32"/>
  <c r="G803" i="32"/>
  <c r="E802" i="32"/>
  <c r="G799" i="32"/>
  <c r="G795" i="32"/>
  <c r="G789" i="32"/>
  <c r="G788" i="32"/>
  <c r="C788" i="32"/>
  <c r="C689" i="32"/>
  <c r="C690" i="32"/>
  <c r="C688" i="32"/>
  <c r="C678" i="32"/>
  <c r="G652" i="32"/>
  <c r="G645" i="32"/>
  <c r="G647" i="32"/>
  <c r="G646" i="32"/>
  <c r="D595" i="32"/>
  <c r="H567" i="32"/>
  <c r="C567" i="32"/>
  <c r="D562" i="32"/>
  <c r="D471" i="32"/>
  <c r="G434" i="32"/>
  <c r="F262" i="32"/>
  <c r="H262" i="32" s="1"/>
  <c r="E262" i="32"/>
  <c r="C262" i="32"/>
  <c r="F227" i="32"/>
  <c r="H227" i="32" s="1"/>
  <c r="E227" i="32"/>
  <c r="C227" i="32"/>
  <c r="F191" i="32"/>
  <c r="H191" i="32" s="1"/>
  <c r="E191" i="32"/>
  <c r="C191" i="32"/>
  <c r="I48" i="8"/>
  <c r="G48" i="8"/>
  <c r="D182" i="32"/>
  <c r="F123" i="32"/>
  <c r="H123" i="32" s="1"/>
  <c r="K123" i="32" s="1"/>
  <c r="C123" i="32"/>
  <c r="D119" i="32"/>
  <c r="C102" i="32"/>
  <c r="G103" i="32"/>
  <c r="F64" i="32"/>
  <c r="M501" i="32"/>
  <c r="D32" i="27"/>
  <c r="E32" i="27"/>
  <c r="R32" i="27"/>
  <c r="H824" i="32" l="1"/>
  <c r="I821" i="32"/>
  <c r="K821" i="32" s="1"/>
  <c r="I830" i="32"/>
  <c r="H859" i="32"/>
  <c r="I860" i="32" s="1"/>
  <c r="I856" i="32"/>
  <c r="I799" i="32"/>
  <c r="H788" i="32"/>
  <c r="I124" i="32"/>
  <c r="F18" i="38"/>
  <c r="I826" i="32" l="1"/>
  <c r="K826" i="32" s="1"/>
  <c r="I852" i="32"/>
  <c r="I865" i="32"/>
  <c r="I789" i="32"/>
  <c r="K789" i="32" s="1"/>
  <c r="K795" i="32"/>
  <c r="I866" i="32" l="1"/>
  <c r="I867" i="32" l="1"/>
  <c r="I848" i="32" s="1"/>
  <c r="G32" i="39" l="1"/>
  <c r="G31" i="39"/>
  <c r="N64" i="31" l="1"/>
  <c r="E35" i="30"/>
  <c r="E34" i="30"/>
  <c r="O83" i="31"/>
  <c r="H93" i="32" l="1"/>
  <c r="H40" i="19" l="1"/>
  <c r="H23" i="39"/>
  <c r="J23" i="39" s="1"/>
  <c r="H24" i="39"/>
  <c r="J24" i="39" s="1"/>
  <c r="E19" i="39"/>
  <c r="E20" i="39"/>
  <c r="E18" i="39"/>
  <c r="E17" i="39"/>
  <c r="G30" i="39"/>
  <c r="C19" i="39"/>
  <c r="C18" i="39"/>
  <c r="C17" i="39"/>
  <c r="H7" i="39"/>
  <c r="C7" i="39"/>
  <c r="H33" i="19"/>
  <c r="E5" i="19"/>
  <c r="E4" i="19"/>
  <c r="J25" i="39" l="1"/>
  <c r="F17" i="35" l="1"/>
  <c r="F16" i="35"/>
  <c r="H31" i="35"/>
  <c r="H30" i="35"/>
  <c r="J30" i="35" s="1"/>
  <c r="H29" i="35"/>
  <c r="J29" i="35" s="1"/>
  <c r="F17" i="38"/>
  <c r="G30" i="38"/>
  <c r="H7" i="38"/>
  <c r="C7" i="38"/>
  <c r="H28" i="37"/>
  <c r="J28" i="37" s="1"/>
  <c r="H27" i="37"/>
  <c r="J27" i="37" s="1"/>
  <c r="H26" i="37"/>
  <c r="J26" i="37" s="1"/>
  <c r="H29" i="37"/>
  <c r="J29" i="37" s="1"/>
  <c r="H25" i="37"/>
  <c r="J25" i="37" s="1"/>
  <c r="H24" i="37"/>
  <c r="J24" i="37" s="1"/>
  <c r="H23" i="37"/>
  <c r="J23" i="37" s="1"/>
  <c r="H22" i="37"/>
  <c r="J22" i="37" s="1"/>
  <c r="H21" i="37"/>
  <c r="J21" i="37" s="1"/>
  <c r="H7" i="37"/>
  <c r="C7" i="37"/>
  <c r="H83" i="36"/>
  <c r="J83" i="36" s="1"/>
  <c r="J82" i="36" s="1"/>
  <c r="H81" i="36"/>
  <c r="J81" i="36" s="1"/>
  <c r="H80" i="36"/>
  <c r="J80" i="36" s="1"/>
  <c r="H77" i="36"/>
  <c r="J77" i="36" s="1"/>
  <c r="H78" i="36"/>
  <c r="J78" i="36" s="1"/>
  <c r="H76" i="36"/>
  <c r="J76" i="36" s="1"/>
  <c r="H72" i="36"/>
  <c r="J72" i="36" s="1"/>
  <c r="J71" i="36" s="1"/>
  <c r="H69" i="36"/>
  <c r="J69" i="36" s="1"/>
  <c r="H70" i="36"/>
  <c r="J70" i="36" s="1"/>
  <c r="H68" i="36"/>
  <c r="J68" i="36" s="1"/>
  <c r="H67" i="36"/>
  <c r="J67" i="36" s="1"/>
  <c r="J63" i="36"/>
  <c r="H62" i="36"/>
  <c r="J62" i="36" s="1"/>
  <c r="J61" i="36" s="1"/>
  <c r="H59" i="36"/>
  <c r="J59" i="36" s="1"/>
  <c r="H60" i="36"/>
  <c r="J60" i="36" s="1"/>
  <c r="H50" i="36"/>
  <c r="J50" i="36" s="1"/>
  <c r="H58" i="36"/>
  <c r="J58" i="36" s="1"/>
  <c r="H56" i="36"/>
  <c r="J56" i="36" s="1"/>
  <c r="H55" i="36"/>
  <c r="J55" i="36" s="1"/>
  <c r="H42" i="36"/>
  <c r="J42" i="36" s="1"/>
  <c r="H41" i="36"/>
  <c r="J41" i="36" s="1"/>
  <c r="H36" i="36"/>
  <c r="J36" i="36" s="1"/>
  <c r="H35" i="36"/>
  <c r="J35" i="36" s="1"/>
  <c r="H34" i="36"/>
  <c r="J34" i="36" s="1"/>
  <c r="H39" i="36"/>
  <c r="J39" i="36" s="1"/>
  <c r="H38" i="36"/>
  <c r="J38" i="36" s="1"/>
  <c r="H37" i="36"/>
  <c r="J37" i="36" s="1"/>
  <c r="H40" i="36"/>
  <c r="J40" i="36" s="1"/>
  <c r="H33" i="36"/>
  <c r="J33" i="36" s="1"/>
  <c r="H32" i="36"/>
  <c r="J32" i="36" s="1"/>
  <c r="H31" i="36"/>
  <c r="J31" i="36" s="1"/>
  <c r="H30" i="36"/>
  <c r="J30" i="36" s="1"/>
  <c r="H51" i="36"/>
  <c r="J51" i="36" s="1"/>
  <c r="H45" i="36"/>
  <c r="H46" i="36"/>
  <c r="H47" i="36"/>
  <c r="J47" i="36" s="1"/>
  <c r="H48" i="36"/>
  <c r="J48" i="36" s="1"/>
  <c r="H44" i="36"/>
  <c r="J79" i="36" l="1"/>
  <c r="J31" i="35"/>
  <c r="J20" i="37"/>
  <c r="J75" i="36"/>
  <c r="J84" i="36" s="1"/>
  <c r="J54" i="36"/>
  <c r="J66" i="36"/>
  <c r="J73" i="36" s="1"/>
  <c r="J57" i="36"/>
  <c r="J49" i="36"/>
  <c r="J29" i="36"/>
  <c r="H32" i="38" l="1"/>
  <c r="H24" i="36"/>
  <c r="J24" i="36" s="1"/>
  <c r="H25" i="36"/>
  <c r="J25" i="36" s="1"/>
  <c r="H26" i="36"/>
  <c r="J26" i="36" s="1"/>
  <c r="H27" i="36"/>
  <c r="J27" i="36" s="1"/>
  <c r="H28" i="36"/>
  <c r="J28" i="36" s="1"/>
  <c r="H23" i="36"/>
  <c r="J23" i="36" s="1"/>
  <c r="J22" i="36" l="1"/>
  <c r="J46" i="36"/>
  <c r="J45" i="36"/>
  <c r="J44" i="36"/>
  <c r="H7" i="36"/>
  <c r="C7" i="36"/>
  <c r="H33" i="35"/>
  <c r="J33" i="35" s="1"/>
  <c r="H28" i="35"/>
  <c r="J28" i="35" s="1"/>
  <c r="H27" i="35"/>
  <c r="J27" i="35" s="1"/>
  <c r="H26" i="35"/>
  <c r="J26" i="35" l="1"/>
  <c r="H32" i="35"/>
  <c r="J32" i="35" s="1"/>
  <c r="J43" i="36"/>
  <c r="J52" i="36" s="1"/>
  <c r="G40" i="35"/>
  <c r="J34" i="35" l="1"/>
  <c r="H7" i="35" l="1"/>
  <c r="C7" i="35"/>
  <c r="D24" i="34"/>
  <c r="I24" i="34" s="1"/>
  <c r="H24" i="34"/>
  <c r="F24" i="34"/>
  <c r="G1113" i="32" l="1"/>
  <c r="C1113" i="32"/>
  <c r="C1112" i="32"/>
  <c r="C1111" i="32"/>
  <c r="F1062" i="32"/>
  <c r="F1061" i="32"/>
  <c r="F993" i="32"/>
  <c r="F992" i="32"/>
  <c r="F954" i="32"/>
  <c r="C1062" i="32"/>
  <c r="C1061" i="32"/>
  <c r="C993" i="32"/>
  <c r="C992" i="32"/>
  <c r="C954" i="32"/>
  <c r="C934" i="32"/>
  <c r="C933" i="32"/>
  <c r="C932" i="32"/>
  <c r="F918" i="32"/>
  <c r="F917" i="32"/>
  <c r="C918" i="32"/>
  <c r="C917" i="32"/>
  <c r="F883" i="32"/>
  <c r="F884" i="32"/>
  <c r="C883" i="32"/>
  <c r="C884" i="32"/>
  <c r="C897" i="32"/>
  <c r="C898" i="32"/>
  <c r="C899" i="32"/>
  <c r="I32" i="10" l="1"/>
  <c r="D32" i="10"/>
  <c r="J32" i="10" s="1"/>
  <c r="I30" i="10"/>
  <c r="D30" i="10"/>
  <c r="J30" i="10" s="1"/>
  <c r="I29" i="10"/>
  <c r="D29" i="10"/>
  <c r="F29" i="10" s="1"/>
  <c r="I31" i="10"/>
  <c r="D31" i="10"/>
  <c r="J31" i="10" s="1"/>
  <c r="I28" i="10"/>
  <c r="D28" i="10"/>
  <c r="J28" i="10" s="1"/>
  <c r="I26" i="10"/>
  <c r="D26" i="10"/>
  <c r="I24" i="10"/>
  <c r="D24" i="10"/>
  <c r="J24" i="10" s="1"/>
  <c r="I23" i="10"/>
  <c r="D23" i="10"/>
  <c r="J23" i="10" s="1"/>
  <c r="I22" i="10"/>
  <c r="D22" i="10"/>
  <c r="J22" i="10" s="1"/>
  <c r="I21" i="10"/>
  <c r="D21" i="10"/>
  <c r="F21" i="10" s="1"/>
  <c r="I20" i="10"/>
  <c r="D20" i="10"/>
  <c r="J20" i="10" s="1"/>
  <c r="I17" i="10"/>
  <c r="I18" i="10"/>
  <c r="I19" i="10"/>
  <c r="I25" i="10"/>
  <c r="I27" i="10"/>
  <c r="I33" i="10"/>
  <c r="I16" i="10"/>
  <c r="D19" i="10"/>
  <c r="J19" i="10" s="1"/>
  <c r="D25" i="10"/>
  <c r="J25" i="10" s="1"/>
  <c r="D27" i="10"/>
  <c r="F27" i="10" s="1"/>
  <c r="D18" i="10"/>
  <c r="C38" i="10"/>
  <c r="E22" i="10" s="1"/>
  <c r="H17" i="34"/>
  <c r="H18" i="34"/>
  <c r="H19" i="34"/>
  <c r="H20" i="34"/>
  <c r="H21" i="34"/>
  <c r="H22" i="34"/>
  <c r="H23" i="34"/>
  <c r="H25" i="34"/>
  <c r="H26" i="34"/>
  <c r="H27" i="34"/>
  <c r="H16" i="34"/>
  <c r="D33" i="10"/>
  <c r="J33" i="10" s="1"/>
  <c r="D17" i="10"/>
  <c r="F17" i="10" s="1"/>
  <c r="D16" i="10"/>
  <c r="D22" i="34"/>
  <c r="E22" i="34" s="1"/>
  <c r="D21" i="34"/>
  <c r="E21" i="34" s="1"/>
  <c r="D20" i="34"/>
  <c r="E20" i="34" s="1"/>
  <c r="D26" i="34"/>
  <c r="I26" i="34" s="1"/>
  <c r="D27" i="34"/>
  <c r="I27" i="34" s="1"/>
  <c r="F26" i="34"/>
  <c r="D25" i="34"/>
  <c r="I25" i="34" s="1"/>
  <c r="D23" i="34"/>
  <c r="F23" i="34" s="1"/>
  <c r="D19" i="34"/>
  <c r="F19" i="34" s="1"/>
  <c r="D18" i="34"/>
  <c r="F18" i="34" s="1"/>
  <c r="D17" i="34"/>
  <c r="E17" i="34" s="1"/>
  <c r="D16" i="34"/>
  <c r="F16" i="34" s="1"/>
  <c r="F25" i="10" l="1"/>
  <c r="F19" i="10"/>
  <c r="F20" i="34"/>
  <c r="I21" i="34"/>
  <c r="E16" i="10"/>
  <c r="J29" i="10"/>
  <c r="G20" i="34"/>
  <c r="E30" i="10"/>
  <c r="F32" i="10"/>
  <c r="F27" i="34"/>
  <c r="F21" i="34"/>
  <c r="G21" i="34"/>
  <c r="I22" i="34"/>
  <c r="I20" i="34"/>
  <c r="E16" i="34"/>
  <c r="G16" i="34" s="1"/>
  <c r="E19" i="34"/>
  <c r="G19" i="34" s="1"/>
  <c r="E18" i="34"/>
  <c r="G18" i="34" s="1"/>
  <c r="E32" i="10"/>
  <c r="F23" i="10"/>
  <c r="F28" i="10"/>
  <c r="F30" i="10"/>
  <c r="E29" i="10"/>
  <c r="G29" i="10" s="1"/>
  <c r="E31" i="10"/>
  <c r="F31" i="10"/>
  <c r="E28" i="10"/>
  <c r="E21" i="10"/>
  <c r="G21" i="10" s="1"/>
  <c r="F22" i="10"/>
  <c r="G22" i="10" s="1"/>
  <c r="E26" i="10"/>
  <c r="J26" i="10"/>
  <c r="F26" i="10"/>
  <c r="E24" i="10"/>
  <c r="F20" i="10"/>
  <c r="F24" i="10"/>
  <c r="E23" i="10"/>
  <c r="J21" i="10"/>
  <c r="E19" i="10"/>
  <c r="E20" i="10"/>
  <c r="E27" i="10"/>
  <c r="G27" i="10" s="1"/>
  <c r="E17" i="10"/>
  <c r="G17" i="10" s="1"/>
  <c r="E18" i="10"/>
  <c r="J27" i="10"/>
  <c r="F16" i="10"/>
  <c r="E33" i="10"/>
  <c r="E25" i="10"/>
  <c r="F33" i="10"/>
  <c r="F18" i="10"/>
  <c r="J17" i="10"/>
  <c r="J18" i="10"/>
  <c r="F22" i="34"/>
  <c r="G22" i="34" s="1"/>
  <c r="I23" i="34"/>
  <c r="F25" i="34"/>
  <c r="F17" i="34"/>
  <c r="G17" i="34" s="1"/>
  <c r="G19" i="10" l="1"/>
  <c r="K19" i="10" s="1"/>
  <c r="D932" i="32" s="1"/>
  <c r="G25" i="10"/>
  <c r="K25" i="10" s="1"/>
  <c r="G16" i="10"/>
  <c r="K16" i="10" s="1"/>
  <c r="D34" i="32" s="1"/>
  <c r="G23" i="10"/>
  <c r="K23" i="10" s="1"/>
  <c r="N23" i="10" s="1"/>
  <c r="P23" i="10" s="1"/>
  <c r="D802" i="32"/>
  <c r="F802" i="32" s="1"/>
  <c r="H802" i="32" s="1"/>
  <c r="I803" i="32" s="1"/>
  <c r="G26" i="10"/>
  <c r="K26" i="10" s="1"/>
  <c r="N26" i="10" s="1"/>
  <c r="P26" i="10" s="1"/>
  <c r="D897" i="32"/>
  <c r="D612" i="32"/>
  <c r="D1040" i="32"/>
  <c r="D68" i="32"/>
  <c r="D166" i="32"/>
  <c r="D338" i="32"/>
  <c r="D404" i="32"/>
  <c r="D442" i="32"/>
  <c r="D725" i="32"/>
  <c r="D1076" i="32"/>
  <c r="G28" i="10"/>
  <c r="K28" i="10" s="1"/>
  <c r="N28" i="10" s="1"/>
  <c r="P28" i="10" s="1"/>
  <c r="G30" i="10"/>
  <c r="K30" i="10" s="1"/>
  <c r="N30" i="10" s="1"/>
  <c r="P30" i="10" s="1"/>
  <c r="G32" i="10"/>
  <c r="K32" i="10" s="1"/>
  <c r="N32" i="10" s="1"/>
  <c r="P32" i="10" s="1"/>
  <c r="G18" i="10"/>
  <c r="K18" i="10" s="1"/>
  <c r="D36" i="32" s="1"/>
  <c r="K17" i="10"/>
  <c r="G31" i="10"/>
  <c r="K31" i="10" s="1"/>
  <c r="N31" i="10" s="1"/>
  <c r="P31" i="10" s="1"/>
  <c r="K29" i="10"/>
  <c r="N29" i="10" s="1"/>
  <c r="P29" i="10" s="1"/>
  <c r="K21" i="10"/>
  <c r="N21" i="10" s="1"/>
  <c r="P21" i="10" s="1"/>
  <c r="G24" i="10"/>
  <c r="K24" i="10" s="1"/>
  <c r="N24" i="10" s="1"/>
  <c r="P24" i="10" s="1"/>
  <c r="K22" i="10"/>
  <c r="N22" i="10" s="1"/>
  <c r="P22" i="10" s="1"/>
  <c r="G33" i="10"/>
  <c r="K33" i="10" s="1"/>
  <c r="G20" i="10"/>
  <c r="K20" i="10" s="1"/>
  <c r="N20" i="10" s="1"/>
  <c r="P20" i="10" s="1"/>
  <c r="K27" i="10"/>
  <c r="D371" i="32" l="1"/>
  <c r="D970" i="32"/>
  <c r="D303" i="32"/>
  <c r="D761" i="32"/>
  <c r="D102" i="32"/>
  <c r="F102" i="32" s="1"/>
  <c r="H102" i="32" s="1"/>
  <c r="D545" i="32"/>
  <c r="D270" i="32"/>
  <c r="D688" i="32"/>
  <c r="D509" i="32"/>
  <c r="D235" i="32"/>
  <c r="D1007" i="32"/>
  <c r="D475" i="32"/>
  <c r="D199" i="32"/>
  <c r="D834" i="32"/>
  <c r="F834" i="32" s="1"/>
  <c r="H834" i="32" s="1"/>
  <c r="D1150" i="32"/>
  <c r="F1150" i="32" s="1"/>
  <c r="H1150" i="32" s="1"/>
  <c r="D1225" i="32"/>
  <c r="F1225" i="32" s="1"/>
  <c r="H1225" i="32" s="1"/>
  <c r="D1188" i="32"/>
  <c r="F1188" i="32" s="1"/>
  <c r="H1188" i="32" s="1"/>
  <c r="D833" i="32"/>
  <c r="F833" i="32" s="1"/>
  <c r="H833" i="32" s="1"/>
  <c r="D1224" i="32"/>
  <c r="F1224" i="32" s="1"/>
  <c r="H1224" i="32" s="1"/>
  <c r="D1149" i="32"/>
  <c r="F1149" i="32" s="1"/>
  <c r="H1149" i="32" s="1"/>
  <c r="D1187" i="32"/>
  <c r="F1187" i="32" s="1"/>
  <c r="H1187" i="32" s="1"/>
  <c r="D1226" i="32"/>
  <c r="F1226" i="32" s="1"/>
  <c r="H1226" i="32" s="1"/>
  <c r="D1189" i="32"/>
  <c r="F1189" i="32" s="1"/>
  <c r="H1189" i="32" s="1"/>
  <c r="D1151" i="32"/>
  <c r="F1151" i="32" s="1"/>
  <c r="H1151" i="32" s="1"/>
  <c r="I804" i="32"/>
  <c r="K804" i="32" s="1"/>
  <c r="K803" i="32"/>
  <c r="D580" i="32"/>
  <c r="D35" i="32"/>
  <c r="D37" i="32"/>
  <c r="D70" i="32"/>
  <c r="D103" i="32"/>
  <c r="D136" i="32"/>
  <c r="D202" i="32"/>
  <c r="D238" i="32"/>
  <c r="D272" i="32"/>
  <c r="D306" i="32"/>
  <c r="D341" i="32"/>
  <c r="D374" i="32"/>
  <c r="D407" i="32"/>
  <c r="D445" i="32"/>
  <c r="D478" i="32"/>
  <c r="D511" i="32"/>
  <c r="D548" i="32"/>
  <c r="D1042" i="32"/>
  <c r="D972" i="32"/>
  <c r="D615" i="32"/>
  <c r="D689" i="32"/>
  <c r="D934" i="32"/>
  <c r="D1113" i="32"/>
  <c r="D652" i="32"/>
  <c r="D1009" i="32"/>
  <c r="D899" i="32"/>
  <c r="D1079" i="32"/>
  <c r="D898" i="32"/>
  <c r="D690" i="32"/>
  <c r="D763" i="32"/>
  <c r="D69" i="32"/>
  <c r="D101" i="32"/>
  <c r="D135" i="32"/>
  <c r="D168" i="32"/>
  <c r="D201" i="32"/>
  <c r="D237" i="32"/>
  <c r="D305" i="32"/>
  <c r="D340" i="32"/>
  <c r="D373" i="32"/>
  <c r="D406" i="32"/>
  <c r="D444" i="32"/>
  <c r="D477" i="32"/>
  <c r="D510" i="32"/>
  <c r="D547" i="32"/>
  <c r="D727" i="32"/>
  <c r="D1078" i="32"/>
  <c r="D1041" i="32"/>
  <c r="D579" i="32"/>
  <c r="D614" i="32"/>
  <c r="D1112" i="32"/>
  <c r="D651" i="32"/>
  <c r="D933" i="32"/>
  <c r="D971" i="32"/>
  <c r="D1008" i="32"/>
  <c r="D762" i="32"/>
  <c r="D167" i="32"/>
  <c r="D200" i="32"/>
  <c r="D236" i="32"/>
  <c r="D271" i="32"/>
  <c r="D304" i="32"/>
  <c r="D339" i="32"/>
  <c r="D372" i="32"/>
  <c r="D405" i="32"/>
  <c r="D443" i="32"/>
  <c r="D476" i="32"/>
  <c r="D546" i="32"/>
  <c r="D726" i="32"/>
  <c r="D1077" i="32"/>
  <c r="D613" i="32"/>
  <c r="D1111" i="32"/>
  <c r="C31" i="34"/>
  <c r="M7" i="34"/>
  <c r="J5" i="34"/>
  <c r="J4" i="34"/>
  <c r="C7" i="34" s="1"/>
  <c r="I835" i="32" l="1"/>
  <c r="I836" i="32" s="1"/>
  <c r="K836" i="32" s="1"/>
  <c r="I1155" i="32"/>
  <c r="I1156" i="32" s="1"/>
  <c r="I1157" i="32" s="1"/>
  <c r="I1230" i="32"/>
  <c r="I1231" i="32" s="1"/>
  <c r="I1232" i="32" s="1"/>
  <c r="I1206" i="32" s="1"/>
  <c r="I1193" i="32"/>
  <c r="I805" i="32"/>
  <c r="E24" i="34"/>
  <c r="G24" i="34" s="1"/>
  <c r="J24" i="34" s="1"/>
  <c r="E27" i="34"/>
  <c r="G27" i="34" s="1"/>
  <c r="E26" i="34"/>
  <c r="G26" i="34" s="1"/>
  <c r="J26" i="34" s="1"/>
  <c r="E22" i="35" s="1"/>
  <c r="H22" i="35" s="1"/>
  <c r="J22" i="35" s="1"/>
  <c r="E25" i="34"/>
  <c r="G25" i="34" s="1"/>
  <c r="E23" i="34"/>
  <c r="G23" i="34" s="1"/>
  <c r="J21" i="34"/>
  <c r="J20" i="34"/>
  <c r="J22" i="34"/>
  <c r="J18" i="34"/>
  <c r="J17" i="34"/>
  <c r="J16" i="34"/>
  <c r="J19" i="34"/>
  <c r="K835" i="32" l="1"/>
  <c r="E28" i="30"/>
  <c r="E22" i="30"/>
  <c r="I1130" i="32"/>
  <c r="I1194" i="32"/>
  <c r="I1195" i="32" s="1"/>
  <c r="I785" i="32"/>
  <c r="I837" i="32"/>
  <c r="G41" i="31"/>
  <c r="M22" i="34"/>
  <c r="O22" i="34" s="1"/>
  <c r="E19" i="36"/>
  <c r="H19" i="36" s="1"/>
  <c r="J19" i="36" s="1"/>
  <c r="H18" i="38"/>
  <c r="J18" i="38" s="1"/>
  <c r="E17" i="35"/>
  <c r="H17" i="35" s="1"/>
  <c r="J17" i="35" s="1"/>
  <c r="M20" i="34"/>
  <c r="O20" i="34" s="1"/>
  <c r="E17" i="36"/>
  <c r="H17" i="36" s="1"/>
  <c r="M21" i="34"/>
  <c r="O21" i="34" s="1"/>
  <c r="H19" i="38"/>
  <c r="J19" i="38" s="1"/>
  <c r="E18" i="36"/>
  <c r="H18" i="36" s="1"/>
  <c r="J18" i="36" s="1"/>
  <c r="D17" i="39"/>
  <c r="H17" i="38"/>
  <c r="J17" i="38" s="1"/>
  <c r="E16" i="35"/>
  <c r="H16" i="35" s="1"/>
  <c r="J16" i="35" s="1"/>
  <c r="E19" i="35"/>
  <c r="H19" i="35" s="1"/>
  <c r="J19" i="35" s="1"/>
  <c r="D19" i="39"/>
  <c r="D18" i="39"/>
  <c r="E18" i="35"/>
  <c r="H18" i="35" s="1"/>
  <c r="J18" i="35" s="1"/>
  <c r="M24" i="34"/>
  <c r="O24" i="34" s="1"/>
  <c r="E17" i="37"/>
  <c r="H17" i="37" s="1"/>
  <c r="J17" i="37" s="1"/>
  <c r="J18" i="37" s="1"/>
  <c r="J30" i="37" s="1"/>
  <c r="H69" i="31" s="1"/>
  <c r="J27" i="34"/>
  <c r="E23" i="35" s="1"/>
  <c r="H23" i="35" s="1"/>
  <c r="J23" i="35" s="1"/>
  <c r="J25" i="34"/>
  <c r="J23" i="34"/>
  <c r="M26" i="34"/>
  <c r="O26" i="34" s="1"/>
  <c r="M27" i="34"/>
  <c r="O27" i="34" s="1"/>
  <c r="M19" i="34"/>
  <c r="O19" i="34" s="1"/>
  <c r="M16" i="34"/>
  <c r="O16" i="34" s="1"/>
  <c r="I1168" i="32" l="1"/>
  <c r="E21" i="30"/>
  <c r="I817" i="32"/>
  <c r="G42" i="31"/>
  <c r="D20" i="39"/>
  <c r="E21" i="35"/>
  <c r="H21" i="35" s="1"/>
  <c r="J21" i="35" s="1"/>
  <c r="J17" i="36"/>
  <c r="J20" i="36" s="1"/>
  <c r="J85" i="36" s="1"/>
  <c r="H20" i="36"/>
  <c r="H73" i="36" s="1"/>
  <c r="C27" i="27"/>
  <c r="H20" i="38"/>
  <c r="J20" i="38" s="1"/>
  <c r="J21" i="38" s="1"/>
  <c r="E20" i="35"/>
  <c r="H20" i="35" s="1"/>
  <c r="J20" i="35" s="1"/>
  <c r="M17" i="34"/>
  <c r="O17" i="34" s="1"/>
  <c r="M23" i="34"/>
  <c r="O23" i="34" s="1"/>
  <c r="M25" i="34"/>
  <c r="O25" i="34" s="1"/>
  <c r="J24" i="35" l="1"/>
  <c r="C28" i="27"/>
  <c r="J27" i="27"/>
  <c r="N27" i="27"/>
  <c r="F27" i="27"/>
  <c r="G27" i="27"/>
  <c r="K27" i="27"/>
  <c r="O27" i="27"/>
  <c r="H27" i="27"/>
  <c r="L27" i="27"/>
  <c r="P27" i="27"/>
  <c r="I27" i="27"/>
  <c r="M27" i="27"/>
  <c r="Q27" i="27"/>
  <c r="M18" i="34"/>
  <c r="O18" i="34" s="1"/>
  <c r="O28" i="34" s="1"/>
  <c r="J28" i="27" l="1"/>
  <c r="N28" i="27"/>
  <c r="F28" i="27"/>
  <c r="G28" i="27"/>
  <c r="K28" i="27"/>
  <c r="O28" i="27"/>
  <c r="H28" i="27"/>
  <c r="L28" i="27"/>
  <c r="P28" i="27"/>
  <c r="I28" i="27"/>
  <c r="M28" i="27"/>
  <c r="Q28" i="27"/>
  <c r="P28" i="34"/>
  <c r="F43" i="31" l="1"/>
  <c r="H43" i="31" s="1"/>
  <c r="F42" i="31"/>
  <c r="H42" i="31" s="1"/>
  <c r="U42" i="31" s="1"/>
  <c r="F41" i="31"/>
  <c r="H41" i="31" s="1"/>
  <c r="U41" i="31" s="1"/>
  <c r="G709" i="32"/>
  <c r="G678" i="32"/>
  <c r="G832" i="5"/>
  <c r="L712" i="32"/>
  <c r="D683" i="32" l="1"/>
  <c r="G1117" i="32" l="1"/>
  <c r="G1108" i="32"/>
  <c r="G1106" i="32"/>
  <c r="D1106" i="32"/>
  <c r="F1106" i="32" s="1"/>
  <c r="G1103" i="32"/>
  <c r="F1102" i="32"/>
  <c r="H1102" i="32" s="1"/>
  <c r="E1102" i="32"/>
  <c r="C1102" i="32"/>
  <c r="F1101" i="32"/>
  <c r="H1101" i="32" s="1"/>
  <c r="E1101" i="32"/>
  <c r="C1101" i="32"/>
  <c r="I1098" i="32"/>
  <c r="G1098" i="32"/>
  <c r="B1094" i="32"/>
  <c r="G1080" i="32"/>
  <c r="G1079" i="32"/>
  <c r="C1079" i="32"/>
  <c r="C1078" i="32"/>
  <c r="C1077" i="32"/>
  <c r="C1076" i="32"/>
  <c r="G1073" i="32"/>
  <c r="D1072" i="32"/>
  <c r="F1072" i="32" s="1"/>
  <c r="G1069" i="32"/>
  <c r="F1068" i="32"/>
  <c r="H1068" i="32" s="1"/>
  <c r="E1068" i="32"/>
  <c r="C1068" i="32"/>
  <c r="F1067" i="32"/>
  <c r="E1067" i="32"/>
  <c r="C1067" i="32"/>
  <c r="F1066" i="32"/>
  <c r="H1066" i="32" s="1"/>
  <c r="E1066" i="32"/>
  <c r="C1066" i="32"/>
  <c r="G1063" i="32"/>
  <c r="H1062" i="32"/>
  <c r="H1061" i="32"/>
  <c r="B1058" i="32"/>
  <c r="G1043" i="32"/>
  <c r="G1042" i="32"/>
  <c r="C1042" i="32"/>
  <c r="C1041" i="32"/>
  <c r="C1040" i="32"/>
  <c r="G1037" i="32"/>
  <c r="D1036" i="32"/>
  <c r="F1036" i="32" s="1"/>
  <c r="G1033" i="32"/>
  <c r="F1032" i="32"/>
  <c r="H1032" i="32" s="1"/>
  <c r="E1032" i="32"/>
  <c r="C1032" i="32"/>
  <c r="F1031" i="32"/>
  <c r="H1031" i="32" s="1"/>
  <c r="E1031" i="32"/>
  <c r="C1031" i="32"/>
  <c r="G1028" i="32"/>
  <c r="H1027" i="32"/>
  <c r="B1024" i="32"/>
  <c r="G1010" i="32"/>
  <c r="G1009" i="32"/>
  <c r="C1009" i="32"/>
  <c r="C1008" i="32"/>
  <c r="C1007" i="32"/>
  <c r="I1004" i="32"/>
  <c r="G1004" i="32"/>
  <c r="G1000" i="32"/>
  <c r="F999" i="32"/>
  <c r="H999" i="32" s="1"/>
  <c r="E999" i="32"/>
  <c r="C999" i="32"/>
  <c r="F998" i="32"/>
  <c r="H998" i="32" s="1"/>
  <c r="E998" i="32"/>
  <c r="C998" i="32"/>
  <c r="G995" i="32"/>
  <c r="H993" i="32"/>
  <c r="H992" i="32"/>
  <c r="B989" i="32"/>
  <c r="G975" i="32"/>
  <c r="G972" i="32"/>
  <c r="C972" i="32"/>
  <c r="C971" i="32"/>
  <c r="C970" i="32"/>
  <c r="G967" i="32"/>
  <c r="H966" i="32"/>
  <c r="I967" i="32" s="1"/>
  <c r="D966" i="32"/>
  <c r="G963" i="32"/>
  <c r="G962" i="32"/>
  <c r="F962" i="32"/>
  <c r="E962" i="32"/>
  <c r="C962" i="32"/>
  <c r="F961" i="32"/>
  <c r="H961" i="32" s="1"/>
  <c r="E961" i="32"/>
  <c r="C961" i="32"/>
  <c r="F960" i="32"/>
  <c r="H960" i="32" s="1"/>
  <c r="E960" i="32"/>
  <c r="C960" i="32"/>
  <c r="F959" i="32"/>
  <c r="H959" i="32" s="1"/>
  <c r="E959" i="32"/>
  <c r="C959" i="32"/>
  <c r="F958" i="32"/>
  <c r="H958" i="32" s="1"/>
  <c r="E958" i="32"/>
  <c r="C958" i="32"/>
  <c r="G955" i="32"/>
  <c r="H954" i="32"/>
  <c r="B951" i="32"/>
  <c r="G936" i="32"/>
  <c r="F934" i="32"/>
  <c r="H934" i="32" s="1"/>
  <c r="F933" i="32"/>
  <c r="F932" i="32"/>
  <c r="H932" i="32" s="1"/>
  <c r="G929" i="32"/>
  <c r="G928" i="32"/>
  <c r="C928" i="32"/>
  <c r="G927" i="32"/>
  <c r="C927" i="32"/>
  <c r="G924" i="32"/>
  <c r="G923" i="32"/>
  <c r="D928" i="32" s="1"/>
  <c r="F928" i="32" s="1"/>
  <c r="F923" i="32"/>
  <c r="E923" i="32"/>
  <c r="C923" i="32"/>
  <c r="G922" i="32"/>
  <c r="D927" i="32" s="1"/>
  <c r="F927" i="32" s="1"/>
  <c r="F922" i="32"/>
  <c r="E922" i="32"/>
  <c r="C922" i="32"/>
  <c r="G919" i="32"/>
  <c r="H918" i="32"/>
  <c r="H917" i="32"/>
  <c r="B914" i="32"/>
  <c r="G900" i="32"/>
  <c r="G894" i="32"/>
  <c r="F893" i="32"/>
  <c r="G890" i="32"/>
  <c r="F889" i="32"/>
  <c r="H889" i="32" s="1"/>
  <c r="E889" i="32"/>
  <c r="C889" i="32"/>
  <c r="F888" i="32"/>
  <c r="E888" i="32"/>
  <c r="C888" i="32"/>
  <c r="G885" i="32"/>
  <c r="H884" i="32"/>
  <c r="H883" i="32"/>
  <c r="B880" i="32"/>
  <c r="G765" i="32"/>
  <c r="E763" i="32"/>
  <c r="E762" i="32"/>
  <c r="E761" i="32"/>
  <c r="I758" i="32"/>
  <c r="G758" i="32"/>
  <c r="G752" i="32"/>
  <c r="F751" i="32"/>
  <c r="E751" i="32"/>
  <c r="C751" i="32"/>
  <c r="F750" i="32"/>
  <c r="E750" i="32"/>
  <c r="C750" i="32"/>
  <c r="G747" i="32"/>
  <c r="H746" i="32"/>
  <c r="I747" i="32" s="1"/>
  <c r="B743" i="32"/>
  <c r="G743" i="32" s="1"/>
  <c r="K750" i="32" s="1"/>
  <c r="G729" i="32"/>
  <c r="E727" i="32"/>
  <c r="E726" i="32"/>
  <c r="E725" i="32"/>
  <c r="G722" i="32"/>
  <c r="F721" i="32"/>
  <c r="G718" i="32"/>
  <c r="G717" i="32"/>
  <c r="F717" i="32"/>
  <c r="E717" i="32"/>
  <c r="C717" i="32"/>
  <c r="E716" i="32"/>
  <c r="C716" i="32"/>
  <c r="G713" i="32"/>
  <c r="F712" i="32"/>
  <c r="F711" i="32"/>
  <c r="F710" i="32"/>
  <c r="F709" i="32"/>
  <c r="H709" i="32" s="1"/>
  <c r="F708" i="32"/>
  <c r="H708" i="32" s="1"/>
  <c r="G691" i="32"/>
  <c r="G689" i="32"/>
  <c r="G685" i="32"/>
  <c r="D684" i="32"/>
  <c r="F684" i="32" s="1"/>
  <c r="F683" i="32"/>
  <c r="G680" i="32"/>
  <c r="F679" i="32"/>
  <c r="E679" i="32"/>
  <c r="C679" i="32"/>
  <c r="F678" i="32"/>
  <c r="H678" i="32" s="1"/>
  <c r="E678" i="32"/>
  <c r="F677" i="32"/>
  <c r="H677" i="32" s="1"/>
  <c r="E677" i="32"/>
  <c r="C677" i="32"/>
  <c r="G674" i="32"/>
  <c r="F673" i="32"/>
  <c r="H673" i="32" s="1"/>
  <c r="F672" i="32"/>
  <c r="H672" i="32" s="1"/>
  <c r="F671" i="32"/>
  <c r="H671" i="32" s="1"/>
  <c r="B668" i="32"/>
  <c r="G654" i="32"/>
  <c r="C652" i="32"/>
  <c r="C651" i="32"/>
  <c r="G648" i="32"/>
  <c r="C647" i="32"/>
  <c r="C646" i="32"/>
  <c r="D645" i="32"/>
  <c r="F645" i="32" s="1"/>
  <c r="C645" i="32"/>
  <c r="G642" i="32"/>
  <c r="G641" i="32"/>
  <c r="F641" i="32"/>
  <c r="E641" i="32"/>
  <c r="C641" i="32"/>
  <c r="G640" i="32"/>
  <c r="F640" i="32"/>
  <c r="E640" i="32"/>
  <c r="C640" i="32"/>
  <c r="F639" i="32"/>
  <c r="H639" i="32" s="1"/>
  <c r="E639" i="32"/>
  <c r="C639" i="32"/>
  <c r="G636" i="32"/>
  <c r="F635" i="32"/>
  <c r="H635" i="32" s="1"/>
  <c r="C635" i="32"/>
  <c r="F634" i="32"/>
  <c r="H634" i="32" s="1"/>
  <c r="C634" i="32"/>
  <c r="F633" i="32"/>
  <c r="H633" i="32" s="1"/>
  <c r="C633" i="32"/>
  <c r="B630" i="32"/>
  <c r="G617" i="32"/>
  <c r="G615" i="32"/>
  <c r="C615" i="32"/>
  <c r="E614" i="32"/>
  <c r="C614" i="32"/>
  <c r="E613" i="32"/>
  <c r="C613" i="32"/>
  <c r="E612" i="32"/>
  <c r="C612" i="32"/>
  <c r="I609" i="32"/>
  <c r="G609" i="32"/>
  <c r="G605" i="32"/>
  <c r="F604" i="32"/>
  <c r="E604" i="32"/>
  <c r="C604" i="32"/>
  <c r="F603" i="32"/>
  <c r="H603" i="32" s="1"/>
  <c r="E603" i="32"/>
  <c r="C603" i="32"/>
  <c r="G600" i="32"/>
  <c r="H599" i="32"/>
  <c r="I600" i="32" s="1"/>
  <c r="B596" i="32"/>
  <c r="G582" i="32"/>
  <c r="C580" i="32"/>
  <c r="C579" i="32"/>
  <c r="G576" i="32"/>
  <c r="H575" i="32"/>
  <c r="I576" i="32" s="1"/>
  <c r="G572" i="32"/>
  <c r="H571" i="32"/>
  <c r="I572" i="32" s="1"/>
  <c r="G568" i="32"/>
  <c r="H566" i="32"/>
  <c r="I568" i="32" s="1"/>
  <c r="C566" i="32"/>
  <c r="B563" i="32"/>
  <c r="G549" i="32"/>
  <c r="C548" i="32"/>
  <c r="C547" i="32"/>
  <c r="C546" i="32"/>
  <c r="C545" i="32"/>
  <c r="I542" i="32"/>
  <c r="G542" i="32"/>
  <c r="G538" i="32"/>
  <c r="F537" i="32"/>
  <c r="H537" i="32" s="1"/>
  <c r="E537" i="32"/>
  <c r="C537" i="32"/>
  <c r="F536" i="32"/>
  <c r="E536" i="32"/>
  <c r="C536" i="32"/>
  <c r="F535" i="32"/>
  <c r="H535" i="32" s="1"/>
  <c r="E535" i="32"/>
  <c r="C535" i="32"/>
  <c r="F534" i="32"/>
  <c r="H534" i="32" s="1"/>
  <c r="E534" i="32"/>
  <c r="C534" i="32"/>
  <c r="G531" i="32"/>
  <c r="H530" i="32"/>
  <c r="I531" i="32" s="1"/>
  <c r="B527" i="32"/>
  <c r="G513" i="32"/>
  <c r="G511" i="32"/>
  <c r="C511" i="32"/>
  <c r="C510" i="32"/>
  <c r="C509" i="32"/>
  <c r="G506" i="32"/>
  <c r="D505" i="32"/>
  <c r="F505" i="32" s="1"/>
  <c r="G502" i="32"/>
  <c r="F501" i="32"/>
  <c r="H501" i="32" s="1"/>
  <c r="I502" i="32" s="1"/>
  <c r="E501" i="32"/>
  <c r="C501" i="32"/>
  <c r="G498" i="32"/>
  <c r="I498" i="32"/>
  <c r="B494" i="32"/>
  <c r="G480" i="32"/>
  <c r="G478" i="32"/>
  <c r="C478" i="32"/>
  <c r="C477" i="32"/>
  <c r="C476" i="32"/>
  <c r="C475" i="32"/>
  <c r="G472" i="32"/>
  <c r="F471" i="32"/>
  <c r="H471" i="32" s="1"/>
  <c r="G468" i="32"/>
  <c r="F467" i="32"/>
  <c r="H467" i="32" s="1"/>
  <c r="I468" i="32" s="1"/>
  <c r="E467" i="32"/>
  <c r="C467" i="32"/>
  <c r="G464" i="32"/>
  <c r="H463" i="32"/>
  <c r="I464" i="32" s="1"/>
  <c r="B460" i="32"/>
  <c r="G446" i="32"/>
  <c r="G445" i="32"/>
  <c r="C445" i="32"/>
  <c r="C444" i="32"/>
  <c r="C443" i="32"/>
  <c r="C442" i="32"/>
  <c r="G439" i="32"/>
  <c r="H438" i="32"/>
  <c r="I439" i="32" s="1"/>
  <c r="G435" i="32"/>
  <c r="F434" i="32"/>
  <c r="E434" i="32"/>
  <c r="C434" i="32"/>
  <c r="F433" i="32"/>
  <c r="E433" i="32"/>
  <c r="C433" i="32"/>
  <c r="F432" i="32"/>
  <c r="H432" i="32" s="1"/>
  <c r="E432" i="32"/>
  <c r="C432" i="32"/>
  <c r="F431" i="32"/>
  <c r="H431" i="32" s="1"/>
  <c r="E431" i="32"/>
  <c r="C431" i="32"/>
  <c r="G428" i="32"/>
  <c r="H427" i="32"/>
  <c r="H426" i="32"/>
  <c r="B423" i="32"/>
  <c r="G408" i="32"/>
  <c r="G407" i="32"/>
  <c r="C407" i="32"/>
  <c r="C406" i="32"/>
  <c r="C405" i="32"/>
  <c r="C404" i="32"/>
  <c r="G401" i="32"/>
  <c r="H400" i="32"/>
  <c r="I401" i="32" s="1"/>
  <c r="G397" i="32"/>
  <c r="E396" i="32"/>
  <c r="C396" i="32"/>
  <c r="G393" i="32"/>
  <c r="H392" i="32"/>
  <c r="I393" i="32" s="1"/>
  <c r="B389" i="32"/>
  <c r="G375" i="32"/>
  <c r="G374" i="32"/>
  <c r="C374" i="32"/>
  <c r="C373" i="32"/>
  <c r="C372" i="32"/>
  <c r="C371" i="32"/>
  <c r="G368" i="32"/>
  <c r="H367" i="32"/>
  <c r="I368" i="32" s="1"/>
  <c r="G364" i="32"/>
  <c r="F363" i="32"/>
  <c r="E363" i="32"/>
  <c r="C363" i="32"/>
  <c r="G360" i="32"/>
  <c r="H359" i="32"/>
  <c r="I360" i="32" s="1"/>
  <c r="B356" i="32"/>
  <c r="G342" i="32"/>
  <c r="G341" i="32"/>
  <c r="C341" i="32"/>
  <c r="C340" i="32"/>
  <c r="C339" i="32"/>
  <c r="C338" i="32"/>
  <c r="G335" i="32"/>
  <c r="H334" i="32"/>
  <c r="I335" i="32" s="1"/>
  <c r="G331" i="32"/>
  <c r="F330" i="32"/>
  <c r="E330" i="32"/>
  <c r="C330" i="32"/>
  <c r="G327" i="32"/>
  <c r="H326" i="32"/>
  <c r="I327" i="32" s="1"/>
  <c r="B323" i="32"/>
  <c r="G308" i="32"/>
  <c r="G306" i="32"/>
  <c r="C306" i="32"/>
  <c r="C305" i="32"/>
  <c r="C304" i="32"/>
  <c r="C303" i="32"/>
  <c r="G300" i="32"/>
  <c r="H299" i="32"/>
  <c r="I300" i="32" s="1"/>
  <c r="G296" i="32"/>
  <c r="E295" i="32"/>
  <c r="C295" i="32"/>
  <c r="G292" i="32"/>
  <c r="H291" i="32"/>
  <c r="I292" i="32" s="1"/>
  <c r="B288" i="32"/>
  <c r="G274" i="32"/>
  <c r="G272" i="32"/>
  <c r="C272" i="32"/>
  <c r="C271" i="32"/>
  <c r="C270" i="32"/>
  <c r="G267" i="32"/>
  <c r="H266" i="32"/>
  <c r="I267" i="32" s="1"/>
  <c r="G263" i="32"/>
  <c r="G261" i="32"/>
  <c r="F261" i="32"/>
  <c r="E261" i="32"/>
  <c r="C261" i="32"/>
  <c r="G258" i="32"/>
  <c r="H257" i="32"/>
  <c r="I258" i="32" s="1"/>
  <c r="B254" i="32"/>
  <c r="G240" i="32"/>
  <c r="G238" i="32"/>
  <c r="C238" i="32"/>
  <c r="C237" i="32"/>
  <c r="C236" i="32"/>
  <c r="C235" i="32"/>
  <c r="G232" i="32"/>
  <c r="H231" i="32"/>
  <c r="I232" i="32" s="1"/>
  <c r="G228" i="32"/>
  <c r="F226" i="32"/>
  <c r="H226" i="32" s="1"/>
  <c r="E226" i="32"/>
  <c r="C226" i="32"/>
  <c r="G225" i="32"/>
  <c r="F225" i="32"/>
  <c r="E225" i="32"/>
  <c r="C225" i="32"/>
  <c r="G222" i="32"/>
  <c r="H221" i="32"/>
  <c r="I222" i="32" s="1"/>
  <c r="B218" i="32"/>
  <c r="G204" i="32"/>
  <c r="G202" i="32"/>
  <c r="C202" i="32"/>
  <c r="C201" i="32"/>
  <c r="C200" i="32"/>
  <c r="C199" i="32"/>
  <c r="G196" i="32"/>
  <c r="H195" i="32"/>
  <c r="I196" i="32" s="1"/>
  <c r="G192" i="32"/>
  <c r="F190" i="32"/>
  <c r="H190" i="32" s="1"/>
  <c r="I192" i="32" s="1"/>
  <c r="E190" i="32"/>
  <c r="C190" i="32"/>
  <c r="G187" i="32"/>
  <c r="H186" i="32"/>
  <c r="I187" i="32" s="1"/>
  <c r="B183" i="32"/>
  <c r="G183" i="32" s="1"/>
  <c r="G170" i="32"/>
  <c r="C168" i="32"/>
  <c r="C167" i="32"/>
  <c r="C166" i="32"/>
  <c r="G163" i="32"/>
  <c r="I163" i="32"/>
  <c r="G159" i="32"/>
  <c r="F158" i="32"/>
  <c r="H158" i="32" s="1"/>
  <c r="I159" i="32" s="1"/>
  <c r="E158" i="32"/>
  <c r="C158" i="32"/>
  <c r="G155" i="32"/>
  <c r="H154" i="32"/>
  <c r="I155" i="32" s="1"/>
  <c r="B151" i="32"/>
  <c r="G151" i="32" s="1"/>
  <c r="G138" i="32"/>
  <c r="G136" i="32"/>
  <c r="C136" i="32"/>
  <c r="C135" i="32"/>
  <c r="G132" i="32"/>
  <c r="G131" i="32"/>
  <c r="F131" i="32"/>
  <c r="C131" i="32"/>
  <c r="G128" i="32"/>
  <c r="H127" i="32"/>
  <c r="I128" i="32" s="1"/>
  <c r="G124" i="32"/>
  <c r="B120" i="32"/>
  <c r="G105" i="32"/>
  <c r="C103" i="32"/>
  <c r="C101" i="32"/>
  <c r="I98" i="32"/>
  <c r="G98" i="32"/>
  <c r="G94" i="32"/>
  <c r="I94" i="32"/>
  <c r="G90" i="32"/>
  <c r="F89" i="32"/>
  <c r="H89" i="32" s="1"/>
  <c r="C89" i="32"/>
  <c r="F88" i="32"/>
  <c r="H88" i="32" s="1"/>
  <c r="C88" i="32"/>
  <c r="B85" i="32"/>
  <c r="G71" i="32"/>
  <c r="G70" i="32"/>
  <c r="C70" i="32"/>
  <c r="C69" i="32"/>
  <c r="C68" i="32"/>
  <c r="G65" i="32"/>
  <c r="G64" i="32"/>
  <c r="G61" i="32"/>
  <c r="H60" i="32"/>
  <c r="I61" i="32" s="1"/>
  <c r="G57" i="32"/>
  <c r="F56" i="32"/>
  <c r="H56" i="32" s="1"/>
  <c r="C56" i="32"/>
  <c r="F55" i="32"/>
  <c r="H55" i="32" s="1"/>
  <c r="C55" i="32"/>
  <c r="B52" i="32"/>
  <c r="G38" i="32"/>
  <c r="G37" i="32"/>
  <c r="C37" i="32"/>
  <c r="C36" i="32"/>
  <c r="C35" i="32"/>
  <c r="C34" i="32"/>
  <c r="I31" i="32"/>
  <c r="G31" i="32"/>
  <c r="G27" i="32"/>
  <c r="F26" i="32"/>
  <c r="H26" i="32" s="1"/>
  <c r="E26" i="32"/>
  <c r="C26" i="32"/>
  <c r="F25" i="32"/>
  <c r="H25" i="32" s="1"/>
  <c r="E25" i="32"/>
  <c r="C25" i="32"/>
  <c r="F24" i="32"/>
  <c r="H24" i="32" s="1"/>
  <c r="E24" i="32"/>
  <c r="C24" i="32"/>
  <c r="G21" i="32"/>
  <c r="F20" i="32"/>
  <c r="H20" i="32" s="1"/>
  <c r="I21" i="32" s="1"/>
  <c r="C20" i="32"/>
  <c r="G7" i="32"/>
  <c r="C7" i="32"/>
  <c r="D867" i="5"/>
  <c r="E40" i="31"/>
  <c r="E39" i="31"/>
  <c r="H7" i="31"/>
  <c r="C7" i="31"/>
  <c r="D643" i="5"/>
  <c r="B644" i="5"/>
  <c r="B602" i="5"/>
  <c r="D601" i="5"/>
  <c r="B561" i="5"/>
  <c r="D560" i="5"/>
  <c r="B508" i="5"/>
  <c r="B507" i="5"/>
  <c r="G494" i="5"/>
  <c r="G493" i="5"/>
  <c r="C493" i="5"/>
  <c r="C492" i="5"/>
  <c r="C491" i="5"/>
  <c r="C490" i="5"/>
  <c r="G487" i="5"/>
  <c r="H486" i="5"/>
  <c r="I487" i="5" s="1"/>
  <c r="G483" i="5"/>
  <c r="E482" i="5"/>
  <c r="C482" i="5"/>
  <c r="G479" i="5"/>
  <c r="H478" i="5"/>
  <c r="I479" i="5" s="1"/>
  <c r="B475" i="5"/>
  <c r="D474" i="5"/>
  <c r="D392" i="5"/>
  <c r="D350" i="5"/>
  <c r="B467" i="5"/>
  <c r="B466" i="5"/>
  <c r="G453" i="5"/>
  <c r="G452" i="5"/>
  <c r="C452" i="5"/>
  <c r="C451" i="5"/>
  <c r="C450" i="5"/>
  <c r="C449" i="5"/>
  <c r="G446" i="5"/>
  <c r="H445" i="5"/>
  <c r="I446" i="5" s="1"/>
  <c r="G442" i="5"/>
  <c r="F441" i="5"/>
  <c r="H441" i="5" s="1"/>
  <c r="I442" i="5" s="1"/>
  <c r="E441" i="5"/>
  <c r="C441" i="5"/>
  <c r="G438" i="5"/>
  <c r="H437" i="5"/>
  <c r="I438" i="5" s="1"/>
  <c r="B434" i="5"/>
  <c r="D433" i="5"/>
  <c r="B516" i="5"/>
  <c r="D515" i="5"/>
  <c r="B351" i="5"/>
  <c r="B393" i="5"/>
  <c r="F191" i="5"/>
  <c r="E191" i="5"/>
  <c r="C191" i="5"/>
  <c r="I18" i="2"/>
  <c r="F104" i="5"/>
  <c r="F103" i="5"/>
  <c r="J19" i="9"/>
  <c r="I25" i="2"/>
  <c r="J25" i="2" s="1"/>
  <c r="G54" i="31" l="1"/>
  <c r="H261" i="32"/>
  <c r="I263" i="32" s="1"/>
  <c r="D646" i="32"/>
  <c r="F646" i="32" s="1"/>
  <c r="H646" i="32" s="1"/>
  <c r="D647" i="32"/>
  <c r="F647" i="32" s="1"/>
  <c r="H888" i="32"/>
  <c r="I890" i="32" s="1"/>
  <c r="H225" i="32"/>
  <c r="I228" i="32" s="1"/>
  <c r="I1028" i="32"/>
  <c r="H1106" i="32"/>
  <c r="I1108" i="32" s="1"/>
  <c r="H64" i="32"/>
  <c r="I65" i="32" s="1"/>
  <c r="H604" i="32"/>
  <c r="I605" i="32" s="1"/>
  <c r="H640" i="32"/>
  <c r="H641" i="32"/>
  <c r="H684" i="32"/>
  <c r="H710" i="32"/>
  <c r="H922" i="32"/>
  <c r="H923" i="32"/>
  <c r="H712" i="32"/>
  <c r="H683" i="32"/>
  <c r="H717" i="32"/>
  <c r="I472" i="32"/>
  <c r="H505" i="32"/>
  <c r="I506" i="32" s="1"/>
  <c r="H131" i="32"/>
  <c r="I132" i="32" s="1"/>
  <c r="H711" i="32"/>
  <c r="H751" i="32"/>
  <c r="I752" i="32" s="1"/>
  <c r="H1072" i="32"/>
  <c r="I1073" i="32" s="1"/>
  <c r="I397" i="32"/>
  <c r="G59" i="31"/>
  <c r="H59" i="31" s="1"/>
  <c r="U59" i="31" s="1"/>
  <c r="G53" i="31"/>
  <c r="I296" i="32"/>
  <c r="I331" i="32"/>
  <c r="I364" i="32"/>
  <c r="I995" i="32"/>
  <c r="F725" i="32"/>
  <c r="H725" i="32" s="1"/>
  <c r="F727" i="32"/>
  <c r="H727" i="32" s="1"/>
  <c r="I636" i="32"/>
  <c r="F897" i="32"/>
  <c r="H897" i="32" s="1"/>
  <c r="F899" i="32"/>
  <c r="H899" i="32" s="1"/>
  <c r="F762" i="32"/>
  <c r="H762" i="32" s="1"/>
  <c r="F1112" i="32"/>
  <c r="H1112" i="32" s="1"/>
  <c r="F1113" i="32"/>
  <c r="H1113" i="32" s="1"/>
  <c r="I955" i="32"/>
  <c r="I428" i="32"/>
  <c r="H893" i="32"/>
  <c r="I894" i="32" s="1"/>
  <c r="H927" i="32"/>
  <c r="I919" i="32"/>
  <c r="I885" i="32"/>
  <c r="H721" i="32"/>
  <c r="I722" i="32" s="1"/>
  <c r="F726" i="32"/>
  <c r="H726" i="32" s="1"/>
  <c r="F761" i="32"/>
  <c r="H761" i="32" s="1"/>
  <c r="F763" i="32"/>
  <c r="H763" i="32" s="1"/>
  <c r="F898" i="32"/>
  <c r="H898" i="32" s="1"/>
  <c r="H933" i="32"/>
  <c r="H1036" i="32"/>
  <c r="I1037" i="32" s="1"/>
  <c r="G56" i="31"/>
  <c r="G57" i="31"/>
  <c r="I90" i="32"/>
  <c r="I1000" i="32"/>
  <c r="I1103" i="32"/>
  <c r="I680" i="32"/>
  <c r="H928" i="32"/>
  <c r="I674" i="32"/>
  <c r="I27" i="32"/>
  <c r="I1069" i="32"/>
  <c r="I57" i="32"/>
  <c r="K88" i="32"/>
  <c r="H645" i="32"/>
  <c r="H647" i="32"/>
  <c r="I538" i="32"/>
  <c r="I1033" i="32"/>
  <c r="I1063" i="32"/>
  <c r="H962" i="32"/>
  <c r="I963" i="32" s="1"/>
  <c r="F1111" i="32"/>
  <c r="H1111" i="32" s="1"/>
  <c r="I924" i="32" l="1"/>
  <c r="I642" i="32"/>
  <c r="I936" i="32"/>
  <c r="I937" i="32" s="1"/>
  <c r="I685" i="32"/>
  <c r="I713" i="32"/>
  <c r="I765" i="32"/>
  <c r="I766" i="32" s="1"/>
  <c r="I767" i="32" s="1"/>
  <c r="I900" i="32"/>
  <c r="I901" i="32" s="1"/>
  <c r="I729" i="32"/>
  <c r="I730" i="32" s="1"/>
  <c r="I929" i="32"/>
  <c r="I1117" i="32"/>
  <c r="I1118" i="32" s="1"/>
  <c r="I1119" i="32" s="1"/>
  <c r="I718" i="32"/>
  <c r="I648" i="32"/>
  <c r="H434" i="32"/>
  <c r="I435" i="32" s="1"/>
  <c r="I902" i="32" l="1"/>
  <c r="I938" i="32"/>
  <c r="I1094" i="32"/>
  <c r="I743" i="32"/>
  <c r="I731" i="32"/>
  <c r="I880" i="32" l="1"/>
  <c r="G51" i="31"/>
  <c r="G40" i="31"/>
  <c r="I914" i="32"/>
  <c r="I705" i="32"/>
  <c r="G45" i="31" l="1"/>
  <c r="G39" i="31"/>
  <c r="G46" i="31"/>
  <c r="P879" i="5" l="1"/>
  <c r="G1075" i="5" l="1"/>
  <c r="G526" i="5"/>
  <c r="F23" i="9"/>
  <c r="G23" i="9" s="1"/>
  <c r="G28" i="9"/>
  <c r="G17" i="9"/>
  <c r="G20" i="9"/>
  <c r="G21" i="9"/>
  <c r="G24" i="9"/>
  <c r="G26" i="9"/>
  <c r="G29" i="9"/>
  <c r="F18" i="9"/>
  <c r="G18" i="9" s="1"/>
  <c r="G40" i="2"/>
  <c r="G35" i="2"/>
  <c r="G43" i="2"/>
  <c r="G36" i="2"/>
  <c r="G37" i="2"/>
  <c r="G38" i="2"/>
  <c r="G39" i="2"/>
  <c r="G41" i="2"/>
  <c r="G42" i="2"/>
  <c r="G44" i="2"/>
  <c r="G45" i="2"/>
  <c r="G46" i="2"/>
  <c r="G50" i="2"/>
  <c r="G17" i="8"/>
  <c r="G18" i="8"/>
  <c r="G19" i="8"/>
  <c r="G20" i="8"/>
  <c r="G21" i="8"/>
  <c r="G23" i="8"/>
  <c r="G24" i="8"/>
  <c r="G25" i="8"/>
  <c r="G26" i="8"/>
  <c r="G27" i="8"/>
  <c r="G28" i="8"/>
  <c r="G30" i="8"/>
  <c r="G32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9" i="8"/>
  <c r="G883" i="5"/>
  <c r="G884" i="5"/>
  <c r="G885" i="5"/>
  <c r="G886" i="5"/>
  <c r="C20" i="5"/>
  <c r="C24" i="5"/>
  <c r="C25" i="5"/>
  <c r="C26" i="5"/>
  <c r="C35" i="5"/>
  <c r="C36" i="5"/>
  <c r="C37" i="5"/>
  <c r="C38" i="5"/>
  <c r="C62" i="5"/>
  <c r="C63" i="5"/>
  <c r="C71" i="5"/>
  <c r="C75" i="5"/>
  <c r="C76" i="5"/>
  <c r="C77" i="5"/>
  <c r="C78" i="5"/>
  <c r="C103" i="5"/>
  <c r="C104" i="5"/>
  <c r="C116" i="5"/>
  <c r="C117" i="5"/>
  <c r="C118" i="5"/>
  <c r="C119" i="5"/>
  <c r="C154" i="5"/>
  <c r="C158" i="5"/>
  <c r="C159" i="5"/>
  <c r="C160" i="5"/>
  <c r="C161" i="5"/>
  <c r="C201" i="5"/>
  <c r="C202" i="5"/>
  <c r="C203" i="5"/>
  <c r="C204" i="5"/>
  <c r="C234" i="5"/>
  <c r="C242" i="5"/>
  <c r="C243" i="5"/>
  <c r="C244" i="5"/>
  <c r="C245" i="5"/>
  <c r="C275" i="5"/>
  <c r="C276" i="5"/>
  <c r="C284" i="5"/>
  <c r="C285" i="5"/>
  <c r="C286" i="5"/>
  <c r="C287" i="5"/>
  <c r="C317" i="5"/>
  <c r="C325" i="5"/>
  <c r="C326" i="5"/>
  <c r="C327" i="5"/>
  <c r="C328" i="5"/>
  <c r="C358" i="5"/>
  <c r="C366" i="5"/>
  <c r="C367" i="5"/>
  <c r="C368" i="5"/>
  <c r="C369" i="5"/>
  <c r="C400" i="5"/>
  <c r="C408" i="5"/>
  <c r="C409" i="5"/>
  <c r="C410" i="5"/>
  <c r="C411" i="5"/>
  <c r="C524" i="5"/>
  <c r="C525" i="5"/>
  <c r="C526" i="5"/>
  <c r="C527" i="5"/>
  <c r="C535" i="5"/>
  <c r="C536" i="5"/>
  <c r="C537" i="5"/>
  <c r="C538" i="5"/>
  <c r="C564" i="5"/>
  <c r="C568" i="5"/>
  <c r="C572" i="5"/>
  <c r="C576" i="5"/>
  <c r="C577" i="5"/>
  <c r="C578" i="5"/>
  <c r="C579" i="5"/>
  <c r="C605" i="5"/>
  <c r="C609" i="5"/>
  <c r="C613" i="5"/>
  <c r="C617" i="5"/>
  <c r="C618" i="5"/>
  <c r="C619" i="5"/>
  <c r="C620" i="5"/>
  <c r="C651" i="5"/>
  <c r="C652" i="5"/>
  <c r="C653" i="5"/>
  <c r="C654" i="5"/>
  <c r="C662" i="5"/>
  <c r="C663" i="5"/>
  <c r="C664" i="5"/>
  <c r="C665" i="5"/>
  <c r="C690" i="5"/>
  <c r="C691" i="5"/>
  <c r="C692" i="5"/>
  <c r="C704" i="5"/>
  <c r="C705" i="5"/>
  <c r="C706" i="5"/>
  <c r="C707" i="5"/>
  <c r="C708" i="5"/>
  <c r="C738" i="5"/>
  <c r="C739" i="5"/>
  <c r="C747" i="5"/>
  <c r="C748" i="5"/>
  <c r="C749" i="5"/>
  <c r="C750" i="5"/>
  <c r="C776" i="5"/>
  <c r="C777" i="5"/>
  <c r="C778" i="5"/>
  <c r="C779" i="5"/>
  <c r="C783" i="5"/>
  <c r="C784" i="5"/>
  <c r="C785" i="5"/>
  <c r="C789" i="5"/>
  <c r="C790" i="5"/>
  <c r="C791" i="5"/>
  <c r="C795" i="5"/>
  <c r="C796" i="5"/>
  <c r="C797" i="5"/>
  <c r="C798" i="5"/>
  <c r="C799" i="5"/>
  <c r="C825" i="5"/>
  <c r="C826" i="5"/>
  <c r="C827" i="5"/>
  <c r="C831" i="5"/>
  <c r="C832" i="5"/>
  <c r="C833" i="5"/>
  <c r="C837" i="5"/>
  <c r="C838" i="5"/>
  <c r="C842" i="5"/>
  <c r="C843" i="5"/>
  <c r="C844" i="5"/>
  <c r="C845" i="5"/>
  <c r="C846" i="5"/>
  <c r="C871" i="5"/>
  <c r="C872" i="5"/>
  <c r="C873" i="5"/>
  <c r="C874" i="5"/>
  <c r="C875" i="5"/>
  <c r="C876" i="5"/>
  <c r="C877" i="5"/>
  <c r="C878" i="5"/>
  <c r="C882" i="5"/>
  <c r="C883" i="5"/>
  <c r="C884" i="5"/>
  <c r="C885" i="5"/>
  <c r="C886" i="5"/>
  <c r="C887" i="5"/>
  <c r="C888" i="5"/>
  <c r="C896" i="5"/>
  <c r="C897" i="5"/>
  <c r="C898" i="5"/>
  <c r="C899" i="5"/>
  <c r="C900" i="5"/>
  <c r="C930" i="5"/>
  <c r="C931" i="5"/>
  <c r="C941" i="5"/>
  <c r="C942" i="5"/>
  <c r="C943" i="5"/>
  <c r="C970" i="5"/>
  <c r="C971" i="5"/>
  <c r="C972" i="5"/>
  <c r="C973" i="5"/>
  <c r="C977" i="5"/>
  <c r="C978" i="5"/>
  <c r="C982" i="5"/>
  <c r="C986" i="5"/>
  <c r="C987" i="5"/>
  <c r="C988" i="5"/>
  <c r="C989" i="5"/>
  <c r="C990" i="5"/>
  <c r="C1015" i="5"/>
  <c r="C1016" i="5"/>
  <c r="C1017" i="5"/>
  <c r="C1021" i="5"/>
  <c r="C1022" i="5"/>
  <c r="C1026" i="5"/>
  <c r="C1027" i="5"/>
  <c r="C1028" i="5"/>
  <c r="C1032" i="5"/>
  <c r="C1033" i="5"/>
  <c r="C1034" i="5"/>
  <c r="C1035" i="5"/>
  <c r="C1036" i="5"/>
  <c r="C1063" i="5"/>
  <c r="C1064" i="5"/>
  <c r="C1071" i="5"/>
  <c r="C1072" i="5"/>
  <c r="C1073" i="5"/>
  <c r="C1074" i="5"/>
  <c r="C1075" i="5"/>
  <c r="C1079" i="5"/>
  <c r="C1083" i="5"/>
  <c r="C1084" i="5"/>
  <c r="C1085" i="5"/>
  <c r="C1086" i="5"/>
  <c r="C1114" i="5"/>
  <c r="C1115" i="5"/>
  <c r="C1120" i="5"/>
  <c r="C1121" i="5"/>
  <c r="C1129" i="5"/>
  <c r="C1130" i="5"/>
  <c r="C1131" i="5"/>
  <c r="C1132" i="5"/>
  <c r="C1163" i="5"/>
  <c r="C1164" i="5"/>
  <c r="C1169" i="5"/>
  <c r="C1174" i="5"/>
  <c r="C1175" i="5"/>
  <c r="C1176" i="5"/>
  <c r="C1177" i="5"/>
  <c r="C1203" i="5"/>
  <c r="C1204" i="5"/>
  <c r="C1205" i="5"/>
  <c r="C1209" i="5"/>
  <c r="C1210" i="5"/>
  <c r="C1211" i="5"/>
  <c r="C1215" i="5"/>
  <c r="C1219" i="5"/>
  <c r="C1220" i="5"/>
  <c r="C1221" i="5"/>
  <c r="C1222" i="5"/>
  <c r="C1251" i="5"/>
  <c r="C1252" i="5"/>
  <c r="C1256" i="5"/>
  <c r="C1261" i="5"/>
  <c r="C1262" i="5"/>
  <c r="C1263" i="5"/>
  <c r="C1300" i="5"/>
  <c r="C1301" i="5"/>
  <c r="C1302" i="5"/>
  <c r="C1303" i="5"/>
  <c r="C1304" i="5"/>
  <c r="C1305" i="5"/>
  <c r="C1314" i="5"/>
  <c r="C1315" i="5"/>
  <c r="C1316" i="5"/>
  <c r="C1349" i="5"/>
  <c r="C1350" i="5"/>
  <c r="C1351" i="5"/>
  <c r="C1352" i="5"/>
  <c r="C1353" i="5"/>
  <c r="C1354" i="5"/>
  <c r="C1363" i="5"/>
  <c r="C1364" i="5"/>
  <c r="C1365" i="5"/>
  <c r="C1400" i="5"/>
  <c r="C1401" i="5"/>
  <c r="C1402" i="5"/>
  <c r="C1403" i="5"/>
  <c r="C1404" i="5"/>
  <c r="C1413" i="5"/>
  <c r="C1414" i="5"/>
  <c r="C1415" i="5"/>
  <c r="C1450" i="5"/>
  <c r="C1451" i="5"/>
  <c r="C1452" i="5"/>
  <c r="C1453" i="5"/>
  <c r="C1454" i="5"/>
  <c r="C1455" i="5"/>
  <c r="C1456" i="5"/>
  <c r="C1465" i="5"/>
  <c r="C1466" i="5"/>
  <c r="C1467" i="5"/>
  <c r="C1502" i="5"/>
  <c r="C1503" i="5"/>
  <c r="C1504" i="5"/>
  <c r="C1505" i="5"/>
  <c r="C1506" i="5"/>
  <c r="C1507" i="5"/>
  <c r="C1508" i="5"/>
  <c r="C1517" i="5"/>
  <c r="C1518" i="5"/>
  <c r="C1519" i="5"/>
  <c r="C1554" i="5"/>
  <c r="C1555" i="5"/>
  <c r="C1556" i="5"/>
  <c r="C1557" i="5"/>
  <c r="C1558" i="5"/>
  <c r="C1559" i="5"/>
  <c r="C1560" i="5"/>
  <c r="C1569" i="5"/>
  <c r="C1570" i="5"/>
  <c r="C1571" i="5"/>
  <c r="C1606" i="5"/>
  <c r="C1607" i="5"/>
  <c r="C1608" i="5"/>
  <c r="C1609" i="5"/>
  <c r="C1610" i="5"/>
  <c r="C1611" i="5"/>
  <c r="C1612" i="5"/>
  <c r="C1621" i="5"/>
  <c r="C1622" i="5"/>
  <c r="C1623" i="5"/>
  <c r="C1658" i="5"/>
  <c r="C1659" i="5"/>
  <c r="C1660" i="5"/>
  <c r="C1661" i="5"/>
  <c r="C1662" i="5"/>
  <c r="C1671" i="5"/>
  <c r="C1672" i="5"/>
  <c r="C1673" i="5"/>
  <c r="D4" i="5"/>
  <c r="C7" i="5" s="1"/>
  <c r="D5" i="5"/>
  <c r="G7" i="5"/>
  <c r="G9" i="5"/>
  <c r="D10" i="5"/>
  <c r="D11" i="5"/>
  <c r="D12" i="5"/>
  <c r="D13" i="5"/>
  <c r="D16" i="5"/>
  <c r="F20" i="5"/>
  <c r="H20" i="5" s="1"/>
  <c r="I21" i="5" s="1"/>
  <c r="G21" i="5"/>
  <c r="E24" i="5"/>
  <c r="F24" i="5"/>
  <c r="H24" i="5" s="1"/>
  <c r="E25" i="5"/>
  <c r="F25" i="5"/>
  <c r="H25" i="5" s="1"/>
  <c r="E26" i="5"/>
  <c r="F26" i="5"/>
  <c r="H26" i="5" s="1"/>
  <c r="G28" i="5"/>
  <c r="G32" i="5"/>
  <c r="I32" i="5"/>
  <c r="G38" i="5"/>
  <c r="G39" i="5"/>
  <c r="B52" i="5"/>
  <c r="B53" i="5"/>
  <c r="D58" i="5"/>
  <c r="B59" i="5"/>
  <c r="F62" i="5"/>
  <c r="H62" i="5" s="1"/>
  <c r="F63" i="5"/>
  <c r="H63" i="5" s="1"/>
  <c r="G64" i="5"/>
  <c r="H67" i="5"/>
  <c r="I68" i="5" s="1"/>
  <c r="G68" i="5"/>
  <c r="F71" i="5"/>
  <c r="G71" i="5"/>
  <c r="G72" i="5"/>
  <c r="G78" i="5"/>
  <c r="G79" i="5"/>
  <c r="B92" i="5"/>
  <c r="B93" i="5"/>
  <c r="D99" i="5"/>
  <c r="B100" i="5"/>
  <c r="H103" i="5"/>
  <c r="L103" i="5" s="1"/>
  <c r="H104" i="5"/>
  <c r="G105" i="5"/>
  <c r="H108" i="5"/>
  <c r="I109" i="5" s="1"/>
  <c r="G109" i="5"/>
  <c r="G113" i="5"/>
  <c r="I113" i="5"/>
  <c r="G119" i="5"/>
  <c r="G121" i="5"/>
  <c r="B134" i="5"/>
  <c r="B135" i="5"/>
  <c r="D142" i="5"/>
  <c r="B143" i="5"/>
  <c r="G147" i="5"/>
  <c r="I147" i="5"/>
  <c r="H150" i="5"/>
  <c r="I151" i="5" s="1"/>
  <c r="G151" i="5"/>
  <c r="F154" i="5"/>
  <c r="G154" i="5"/>
  <c r="G155" i="5"/>
  <c r="G161" i="5"/>
  <c r="G163" i="5"/>
  <c r="B176" i="5"/>
  <c r="B177" i="5"/>
  <c r="D183" i="5"/>
  <c r="B184" i="5"/>
  <c r="G184" i="5" s="1"/>
  <c r="H187" i="5"/>
  <c r="I188" i="5" s="1"/>
  <c r="G188" i="5"/>
  <c r="H191" i="5"/>
  <c r="I192" i="5" s="1"/>
  <c r="G192" i="5"/>
  <c r="H195" i="5"/>
  <c r="I198" i="5" s="1"/>
  <c r="G198" i="5"/>
  <c r="G206" i="5"/>
  <c r="B219" i="5"/>
  <c r="B220" i="5"/>
  <c r="D226" i="5"/>
  <c r="B227" i="5"/>
  <c r="G227" i="5" s="1"/>
  <c r="H230" i="5"/>
  <c r="I231" i="5" s="1"/>
  <c r="G231" i="5"/>
  <c r="E234" i="5"/>
  <c r="F234" i="5"/>
  <c r="H234" i="5" s="1"/>
  <c r="I235" i="5" s="1"/>
  <c r="G235" i="5"/>
  <c r="H238" i="5"/>
  <c r="I239" i="5" s="1"/>
  <c r="G239" i="5"/>
  <c r="G245" i="5"/>
  <c r="G247" i="5"/>
  <c r="B260" i="5"/>
  <c r="B261" i="5"/>
  <c r="D267" i="5"/>
  <c r="B268" i="5"/>
  <c r="H271" i="5"/>
  <c r="I272" i="5" s="1"/>
  <c r="G272" i="5"/>
  <c r="E275" i="5"/>
  <c r="F275" i="5"/>
  <c r="G275" i="5"/>
  <c r="E276" i="5"/>
  <c r="F276" i="5"/>
  <c r="H276" i="5" s="1"/>
  <c r="G277" i="5"/>
  <c r="H280" i="5"/>
  <c r="I281" i="5" s="1"/>
  <c r="G281" i="5"/>
  <c r="G287" i="5"/>
  <c r="G289" i="5"/>
  <c r="B302" i="5"/>
  <c r="B303" i="5"/>
  <c r="D309" i="5"/>
  <c r="B310" i="5"/>
  <c r="H313" i="5"/>
  <c r="I314" i="5" s="1"/>
  <c r="G314" i="5"/>
  <c r="E317" i="5"/>
  <c r="F317" i="5"/>
  <c r="G317" i="5"/>
  <c r="G318" i="5"/>
  <c r="H321" i="5"/>
  <c r="I322" i="5" s="1"/>
  <c r="G322" i="5"/>
  <c r="G328" i="5"/>
  <c r="G330" i="5"/>
  <c r="B343" i="5"/>
  <c r="B344" i="5"/>
  <c r="H354" i="5"/>
  <c r="I355" i="5" s="1"/>
  <c r="G355" i="5"/>
  <c r="E358" i="5"/>
  <c r="G359" i="5"/>
  <c r="H362" i="5"/>
  <c r="I363" i="5" s="1"/>
  <c r="G363" i="5"/>
  <c r="G369" i="5"/>
  <c r="G371" i="5"/>
  <c r="B384" i="5"/>
  <c r="B385" i="5"/>
  <c r="H396" i="5"/>
  <c r="I397" i="5" s="1"/>
  <c r="G397" i="5"/>
  <c r="E400" i="5"/>
  <c r="G401" i="5"/>
  <c r="H404" i="5"/>
  <c r="I405" i="5" s="1"/>
  <c r="G405" i="5"/>
  <c r="G411" i="5"/>
  <c r="G412" i="5"/>
  <c r="B425" i="5"/>
  <c r="B426" i="5"/>
  <c r="G516" i="5"/>
  <c r="E519" i="5"/>
  <c r="F519" i="5"/>
  <c r="H519" i="5" s="1"/>
  <c r="E520" i="5"/>
  <c r="F520" i="5"/>
  <c r="H520" i="5" s="1"/>
  <c r="G521" i="5"/>
  <c r="E524" i="5"/>
  <c r="F524" i="5"/>
  <c r="H524" i="5" s="1"/>
  <c r="E525" i="5"/>
  <c r="F525" i="5"/>
  <c r="H525" i="5" s="1"/>
  <c r="E526" i="5"/>
  <c r="F526" i="5"/>
  <c r="E527" i="5"/>
  <c r="F527" i="5"/>
  <c r="G528" i="5"/>
  <c r="H531" i="5"/>
  <c r="I532" i="5" s="1"/>
  <c r="G532" i="5"/>
  <c r="G538" i="5"/>
  <c r="G539" i="5"/>
  <c r="B552" i="5"/>
  <c r="B553" i="5"/>
  <c r="F564" i="5"/>
  <c r="H564" i="5" s="1"/>
  <c r="I565" i="5" s="1"/>
  <c r="G565" i="5"/>
  <c r="E568" i="5"/>
  <c r="F568" i="5"/>
  <c r="H568" i="5" s="1"/>
  <c r="I569" i="5" s="1"/>
  <c r="G569" i="5"/>
  <c r="D572" i="5"/>
  <c r="F572" i="5" s="1"/>
  <c r="G572" i="5"/>
  <c r="G573" i="5"/>
  <c r="G579" i="5"/>
  <c r="G581" i="5"/>
  <c r="B594" i="5"/>
  <c r="B595" i="5"/>
  <c r="G602" i="5"/>
  <c r="E605" i="5"/>
  <c r="F605" i="5"/>
  <c r="H605" i="5" s="1"/>
  <c r="I606" i="5" s="1"/>
  <c r="G606" i="5"/>
  <c r="E609" i="5"/>
  <c r="F609" i="5"/>
  <c r="H609" i="5" s="1"/>
  <c r="I610" i="5" s="1"/>
  <c r="G610" i="5"/>
  <c r="D613" i="5"/>
  <c r="F613" i="5" s="1"/>
  <c r="G613" i="5"/>
  <c r="G614" i="5"/>
  <c r="G620" i="5"/>
  <c r="G622" i="5"/>
  <c r="B635" i="5"/>
  <c r="B636" i="5"/>
  <c r="F647" i="5"/>
  <c r="H647" i="5" s="1"/>
  <c r="I648" i="5" s="1"/>
  <c r="G648" i="5"/>
  <c r="E651" i="5"/>
  <c r="F651" i="5"/>
  <c r="H651" i="5" s="1"/>
  <c r="E652" i="5"/>
  <c r="F652" i="5"/>
  <c r="H652" i="5" s="1"/>
  <c r="E653" i="5"/>
  <c r="F653" i="5"/>
  <c r="H653" i="5" s="1"/>
  <c r="E654" i="5"/>
  <c r="F654" i="5"/>
  <c r="H654" i="5" s="1"/>
  <c r="G655" i="5"/>
  <c r="G659" i="5"/>
  <c r="I659" i="5"/>
  <c r="G666" i="5"/>
  <c r="B679" i="5"/>
  <c r="B680" i="5"/>
  <c r="D686" i="5"/>
  <c r="B687" i="5"/>
  <c r="F690" i="5"/>
  <c r="H690" i="5" s="1"/>
  <c r="F691" i="5"/>
  <c r="G691" i="5"/>
  <c r="F692" i="5"/>
  <c r="G692" i="5"/>
  <c r="G693" i="5"/>
  <c r="H696" i="5"/>
  <c r="I697" i="5" s="1"/>
  <c r="G697" i="5"/>
  <c r="H700" i="5"/>
  <c r="I701" i="5" s="1"/>
  <c r="G701" i="5"/>
  <c r="G706" i="5"/>
  <c r="G707" i="5"/>
  <c r="G708" i="5"/>
  <c r="G705" i="5" s="1"/>
  <c r="G710" i="5"/>
  <c r="B723" i="5"/>
  <c r="B724" i="5"/>
  <c r="D730" i="5"/>
  <c r="B731" i="5"/>
  <c r="H734" i="5"/>
  <c r="I735" i="5" s="1"/>
  <c r="G735" i="5"/>
  <c r="E738" i="5"/>
  <c r="F738" i="5"/>
  <c r="H738" i="5" s="1"/>
  <c r="E739" i="5"/>
  <c r="F739" i="5"/>
  <c r="G739" i="5"/>
  <c r="G740" i="5"/>
  <c r="G744" i="5"/>
  <c r="I744" i="5"/>
  <c r="E747" i="5"/>
  <c r="E748" i="5"/>
  <c r="E749" i="5"/>
  <c r="G750" i="5"/>
  <c r="G752" i="5"/>
  <c r="B765" i="5"/>
  <c r="B766" i="5"/>
  <c r="D772" i="5"/>
  <c r="B773" i="5"/>
  <c r="F776" i="5"/>
  <c r="H776" i="5" s="1"/>
  <c r="F777" i="5"/>
  <c r="H777" i="5" s="1"/>
  <c r="F778" i="5"/>
  <c r="H778" i="5" s="1"/>
  <c r="F779" i="5"/>
  <c r="H779" i="5" s="1"/>
  <c r="G780" i="5"/>
  <c r="E783" i="5"/>
  <c r="F783" i="5"/>
  <c r="H783" i="5" s="1"/>
  <c r="E784" i="5"/>
  <c r="F784" i="5"/>
  <c r="G784" i="5"/>
  <c r="D790" i="5" s="1"/>
  <c r="F790" i="5" s="1"/>
  <c r="E785" i="5"/>
  <c r="F785" i="5"/>
  <c r="G785" i="5"/>
  <c r="D791" i="5" s="1"/>
  <c r="F791" i="5" s="1"/>
  <c r="G786" i="5"/>
  <c r="D789" i="5"/>
  <c r="F789" i="5" s="1"/>
  <c r="G789" i="5"/>
  <c r="G790" i="5"/>
  <c r="G791" i="5"/>
  <c r="G792" i="5"/>
  <c r="D799" i="5"/>
  <c r="F799" i="5" s="1"/>
  <c r="H799" i="5" s="1"/>
  <c r="G801" i="5"/>
  <c r="B814" i="5"/>
  <c r="B815" i="5"/>
  <c r="D821" i="5"/>
  <c r="B822" i="5"/>
  <c r="F825" i="5"/>
  <c r="H825" i="5" s="1"/>
  <c r="F826" i="5"/>
  <c r="H826" i="5" s="1"/>
  <c r="F827" i="5"/>
  <c r="H827" i="5" s="1"/>
  <c r="G828" i="5"/>
  <c r="E831" i="5"/>
  <c r="F831" i="5"/>
  <c r="H831" i="5" s="1"/>
  <c r="E832" i="5"/>
  <c r="F832" i="5"/>
  <c r="E833" i="5"/>
  <c r="F833" i="5"/>
  <c r="H833" i="5" s="1"/>
  <c r="G834" i="5"/>
  <c r="D837" i="5"/>
  <c r="F837" i="5" s="1"/>
  <c r="G837" i="5"/>
  <c r="D838" i="5"/>
  <c r="F838" i="5" s="1"/>
  <c r="G838" i="5"/>
  <c r="G839" i="5"/>
  <c r="G843" i="5"/>
  <c r="G847" i="5"/>
  <c r="B860" i="5"/>
  <c r="B861" i="5"/>
  <c r="F871" i="5"/>
  <c r="H871" i="5" s="1"/>
  <c r="F872" i="5"/>
  <c r="G872" i="5"/>
  <c r="F873" i="5"/>
  <c r="G873" i="5"/>
  <c r="F874" i="5"/>
  <c r="G874" i="5"/>
  <c r="F875" i="5"/>
  <c r="G875" i="5"/>
  <c r="F876" i="5"/>
  <c r="G876" i="5"/>
  <c r="F877" i="5"/>
  <c r="G877" i="5"/>
  <c r="F878" i="5"/>
  <c r="G878" i="5"/>
  <c r="G879" i="5"/>
  <c r="E882" i="5"/>
  <c r="F882" i="5"/>
  <c r="H882" i="5" s="1"/>
  <c r="E883" i="5"/>
  <c r="F883" i="5"/>
  <c r="E884" i="5"/>
  <c r="F884" i="5"/>
  <c r="H884" i="5" s="1"/>
  <c r="E885" i="5"/>
  <c r="F885" i="5"/>
  <c r="H885" i="5" s="1"/>
  <c r="E886" i="5"/>
  <c r="F886" i="5"/>
  <c r="H886" i="5" s="1"/>
  <c r="E887" i="5"/>
  <c r="F887" i="5"/>
  <c r="H887" i="5" s="1"/>
  <c r="E888" i="5"/>
  <c r="F888" i="5"/>
  <c r="H888" i="5" s="1"/>
  <c r="G889" i="5"/>
  <c r="F892" i="5"/>
  <c r="G892" i="5"/>
  <c r="G893" i="5"/>
  <c r="D896" i="5"/>
  <c r="E896" i="5"/>
  <c r="G896" i="5"/>
  <c r="D897" i="5"/>
  <c r="E897" i="5"/>
  <c r="G897" i="5"/>
  <c r="D898" i="5"/>
  <c r="E898" i="5"/>
  <c r="G898" i="5"/>
  <c r="D899" i="5"/>
  <c r="E899" i="5"/>
  <c r="D900" i="5"/>
  <c r="E900" i="5"/>
  <c r="G902" i="5"/>
  <c r="B915" i="5"/>
  <c r="B916" i="5"/>
  <c r="D922" i="5"/>
  <c r="B923" i="5"/>
  <c r="G923" i="5" s="1"/>
  <c r="H926" i="5"/>
  <c r="I927" i="5" s="1"/>
  <c r="G927" i="5"/>
  <c r="E930" i="5"/>
  <c r="F930" i="5"/>
  <c r="H930" i="5" s="1"/>
  <c r="E931" i="5"/>
  <c r="F931" i="5"/>
  <c r="G931" i="5"/>
  <c r="G932" i="5"/>
  <c r="G938" i="5"/>
  <c r="I938" i="5"/>
  <c r="D941" i="5"/>
  <c r="E941" i="5"/>
  <c r="D942" i="5"/>
  <c r="E942" i="5"/>
  <c r="D943" i="5"/>
  <c r="E943" i="5"/>
  <c r="G945" i="5"/>
  <c r="B958" i="5"/>
  <c r="B959" i="5"/>
  <c r="D966" i="5"/>
  <c r="B967" i="5"/>
  <c r="F970" i="5"/>
  <c r="H970" i="5" s="1"/>
  <c r="F971" i="5"/>
  <c r="H971" i="5" s="1"/>
  <c r="F972" i="5"/>
  <c r="H972" i="5" s="1"/>
  <c r="F973" i="5"/>
  <c r="H973" i="5" s="1"/>
  <c r="G974" i="5"/>
  <c r="E977" i="5"/>
  <c r="F977" i="5"/>
  <c r="G977" i="5"/>
  <c r="E978" i="5"/>
  <c r="F978" i="5"/>
  <c r="H978" i="5" s="1"/>
  <c r="G979" i="5"/>
  <c r="F982" i="5"/>
  <c r="G982" i="5"/>
  <c r="G983" i="5"/>
  <c r="D986" i="5"/>
  <c r="E986" i="5"/>
  <c r="D987" i="5"/>
  <c r="E987" i="5"/>
  <c r="D988" i="5"/>
  <c r="E988" i="5"/>
  <c r="D989" i="5"/>
  <c r="E989" i="5"/>
  <c r="D990" i="5"/>
  <c r="E990" i="5"/>
  <c r="G991" i="5"/>
  <c r="B1004" i="5"/>
  <c r="B1005" i="5"/>
  <c r="D1011" i="5"/>
  <c r="B1012" i="5"/>
  <c r="F1015" i="5"/>
  <c r="H1015" i="5" s="1"/>
  <c r="F1016" i="5"/>
  <c r="H1016" i="5" s="1"/>
  <c r="F1017" i="5"/>
  <c r="H1017" i="5" s="1"/>
  <c r="G1018" i="5"/>
  <c r="E1021" i="5"/>
  <c r="F1021" i="5"/>
  <c r="G1021" i="5"/>
  <c r="D1026" i="5" s="1"/>
  <c r="F1026" i="5" s="1"/>
  <c r="E1022" i="5"/>
  <c r="F1022" i="5"/>
  <c r="G1022" i="5"/>
  <c r="D1027" i="5" s="1"/>
  <c r="F1027" i="5" s="1"/>
  <c r="G1023" i="5"/>
  <c r="G1026" i="5"/>
  <c r="G1027" i="5"/>
  <c r="D1028" i="5"/>
  <c r="F1028" i="5" s="1"/>
  <c r="G1028" i="5"/>
  <c r="G1029" i="5"/>
  <c r="D1032" i="5"/>
  <c r="F1032" i="5" s="1"/>
  <c r="H1032" i="5" s="1"/>
  <c r="D1033" i="5"/>
  <c r="F1033" i="5" s="1"/>
  <c r="G1033" i="5"/>
  <c r="D1034" i="5"/>
  <c r="F1034" i="5" s="1"/>
  <c r="G1034" i="5"/>
  <c r="D1035" i="5"/>
  <c r="F1035" i="5" s="1"/>
  <c r="H1035" i="5" s="1"/>
  <c r="D1036" i="5"/>
  <c r="F1036" i="5" s="1"/>
  <c r="H1036" i="5" s="1"/>
  <c r="G1038" i="5"/>
  <c r="B1051" i="5"/>
  <c r="B1052" i="5"/>
  <c r="D1059" i="5"/>
  <c r="B1060" i="5"/>
  <c r="F1063" i="5"/>
  <c r="H1063" i="5" s="1"/>
  <c r="F1064" i="5"/>
  <c r="H1064" i="5" s="1"/>
  <c r="G1068" i="5"/>
  <c r="E1071" i="5"/>
  <c r="F1071" i="5"/>
  <c r="H1071" i="5" s="1"/>
  <c r="E1072" i="5"/>
  <c r="F1072" i="5"/>
  <c r="H1072" i="5" s="1"/>
  <c r="E1073" i="5"/>
  <c r="F1073" i="5"/>
  <c r="H1073" i="5" s="1"/>
  <c r="E1074" i="5"/>
  <c r="F1074" i="5"/>
  <c r="H1074" i="5" s="1"/>
  <c r="E1075" i="5"/>
  <c r="F1075" i="5"/>
  <c r="H1075" i="5" s="1"/>
  <c r="G1076" i="5"/>
  <c r="D1079" i="5"/>
  <c r="G1079" i="5"/>
  <c r="H1079" i="5" s="1"/>
  <c r="I1080" i="5" s="1"/>
  <c r="G1080" i="5"/>
  <c r="G1086" i="5"/>
  <c r="G1089" i="5"/>
  <c r="B1102" i="5"/>
  <c r="B1103" i="5"/>
  <c r="D1110" i="5"/>
  <c r="B1111" i="5"/>
  <c r="F1114" i="5"/>
  <c r="H1114" i="5" s="1"/>
  <c r="F1115" i="5"/>
  <c r="H1115" i="5" s="1"/>
  <c r="G1117" i="5"/>
  <c r="E1120" i="5"/>
  <c r="F1120" i="5"/>
  <c r="H1120" i="5" s="1"/>
  <c r="E1121" i="5"/>
  <c r="F1121" i="5"/>
  <c r="H1121" i="5" s="1"/>
  <c r="G1122" i="5"/>
  <c r="G1126" i="5"/>
  <c r="I1126" i="5"/>
  <c r="G1132" i="5"/>
  <c r="G1133" i="5"/>
  <c r="B1146" i="5"/>
  <c r="B1147" i="5"/>
  <c r="D1153" i="5"/>
  <c r="B1154" i="5"/>
  <c r="H1157" i="5"/>
  <c r="H1158" i="5"/>
  <c r="G1160" i="5"/>
  <c r="E1163" i="5"/>
  <c r="F1163" i="5"/>
  <c r="H1163" i="5" s="1"/>
  <c r="E1164" i="5"/>
  <c r="F1164" i="5"/>
  <c r="H1164" i="5" s="1"/>
  <c r="G1166" i="5"/>
  <c r="D1169" i="5"/>
  <c r="F1169" i="5" s="1"/>
  <c r="G1169" i="5"/>
  <c r="G1171" i="5"/>
  <c r="G1177" i="5"/>
  <c r="G1178" i="5"/>
  <c r="B1191" i="5"/>
  <c r="B1192" i="5"/>
  <c r="D1199" i="5"/>
  <c r="B1200" i="5"/>
  <c r="F1203" i="5"/>
  <c r="H1203" i="5" s="1"/>
  <c r="F1204" i="5"/>
  <c r="H1204" i="5" s="1"/>
  <c r="F1205" i="5"/>
  <c r="H1205" i="5" s="1"/>
  <c r="G1206" i="5"/>
  <c r="E1209" i="5"/>
  <c r="F1209" i="5"/>
  <c r="H1209" i="5" s="1"/>
  <c r="E1210" i="5"/>
  <c r="F1210" i="5"/>
  <c r="H1210" i="5" s="1"/>
  <c r="E1211" i="5"/>
  <c r="F1211" i="5"/>
  <c r="H1211" i="5" s="1"/>
  <c r="G1212" i="5"/>
  <c r="D1215" i="5"/>
  <c r="F1215" i="5" s="1"/>
  <c r="G1215" i="5"/>
  <c r="G1216" i="5"/>
  <c r="G1222" i="5"/>
  <c r="G1223" i="5"/>
  <c r="B1236" i="5"/>
  <c r="B1237" i="5"/>
  <c r="D1243" i="5"/>
  <c r="B1244" i="5"/>
  <c r="G1248" i="5"/>
  <c r="I1248" i="5"/>
  <c r="E1251" i="5"/>
  <c r="F1251" i="5"/>
  <c r="H1251" i="5" s="1"/>
  <c r="E1252" i="5"/>
  <c r="F1252" i="5"/>
  <c r="H1252" i="5" s="1"/>
  <c r="G1253" i="5"/>
  <c r="D1256" i="5"/>
  <c r="F1256" i="5" s="1"/>
  <c r="G1256" i="5"/>
  <c r="G1258" i="5"/>
  <c r="D1261" i="5"/>
  <c r="E1261" i="5"/>
  <c r="D1262" i="5"/>
  <c r="E1262" i="5"/>
  <c r="D1263" i="5"/>
  <c r="E1263" i="5"/>
  <c r="G1267" i="5"/>
  <c r="B1280" i="5"/>
  <c r="B1281" i="5"/>
  <c r="D1287" i="5"/>
  <c r="B1288" i="5"/>
  <c r="G1288" i="5" s="1"/>
  <c r="G1297" i="5"/>
  <c r="I1297" i="5"/>
  <c r="E1300" i="5"/>
  <c r="F1300" i="5"/>
  <c r="H1300" i="5" s="1"/>
  <c r="E1301" i="5"/>
  <c r="F1301" i="5"/>
  <c r="H1301" i="5" s="1"/>
  <c r="E1302" i="5"/>
  <c r="F1302" i="5"/>
  <c r="H1302" i="5" s="1"/>
  <c r="E1303" i="5"/>
  <c r="F1303" i="5"/>
  <c r="H1303" i="5" s="1"/>
  <c r="E1304" i="5"/>
  <c r="F1304" i="5"/>
  <c r="H1304" i="5" s="1"/>
  <c r="E1305" i="5"/>
  <c r="F1305" i="5"/>
  <c r="H1305" i="5" s="1"/>
  <c r="G1306" i="5"/>
  <c r="H1309" i="5"/>
  <c r="I1311" i="5" s="1"/>
  <c r="G1311" i="5"/>
  <c r="D1314" i="5"/>
  <c r="E1314" i="5"/>
  <c r="D1315" i="5"/>
  <c r="E1315" i="5"/>
  <c r="D1316" i="5"/>
  <c r="E1316" i="5"/>
  <c r="G1318" i="5"/>
  <c r="B1331" i="5"/>
  <c r="B1332" i="5"/>
  <c r="D1339" i="5"/>
  <c r="B1340" i="5"/>
  <c r="G1340" i="5" s="1"/>
  <c r="G1346" i="5"/>
  <c r="I1346" i="5"/>
  <c r="E1349" i="5"/>
  <c r="F1349" i="5"/>
  <c r="H1349" i="5" s="1"/>
  <c r="E1350" i="5"/>
  <c r="F1350" i="5"/>
  <c r="H1350" i="5" s="1"/>
  <c r="E1351" i="5"/>
  <c r="F1351" i="5"/>
  <c r="H1351" i="5" s="1"/>
  <c r="E1352" i="5"/>
  <c r="F1352" i="5"/>
  <c r="H1352" i="5" s="1"/>
  <c r="E1353" i="5"/>
  <c r="F1353" i="5"/>
  <c r="H1353" i="5" s="1"/>
  <c r="E1354" i="5"/>
  <c r="F1354" i="5"/>
  <c r="H1354" i="5" s="1"/>
  <c r="G1355" i="5"/>
  <c r="G1360" i="5"/>
  <c r="I1360" i="5"/>
  <c r="D1363" i="5"/>
  <c r="E1363" i="5"/>
  <c r="D1364" i="5"/>
  <c r="E1364" i="5"/>
  <c r="D1365" i="5"/>
  <c r="E1365" i="5"/>
  <c r="G1369" i="5"/>
  <c r="B1382" i="5"/>
  <c r="B1383" i="5"/>
  <c r="D1390" i="5"/>
  <c r="B1391" i="5"/>
  <c r="G1391" i="5" s="1"/>
  <c r="G1397" i="5"/>
  <c r="I1397" i="5"/>
  <c r="E1400" i="5"/>
  <c r="F1400" i="5"/>
  <c r="H1400" i="5" s="1"/>
  <c r="E1401" i="5"/>
  <c r="F1401" i="5"/>
  <c r="H1401" i="5" s="1"/>
  <c r="E1402" i="5"/>
  <c r="F1402" i="5"/>
  <c r="H1402" i="5" s="1"/>
  <c r="E1403" i="5"/>
  <c r="F1403" i="5"/>
  <c r="H1403" i="5" s="1"/>
  <c r="E1404" i="5"/>
  <c r="F1404" i="5"/>
  <c r="H1404" i="5" s="1"/>
  <c r="G1405" i="5"/>
  <c r="G1410" i="5"/>
  <c r="I1410" i="5"/>
  <c r="D1413" i="5"/>
  <c r="E1413" i="5"/>
  <c r="D1414" i="5"/>
  <c r="E1414" i="5"/>
  <c r="D1415" i="5"/>
  <c r="E1415" i="5"/>
  <c r="G1419" i="5"/>
  <c r="B1432" i="5"/>
  <c r="B1433" i="5"/>
  <c r="D1440" i="5"/>
  <c r="B1441" i="5"/>
  <c r="G1441" i="5" s="1"/>
  <c r="G1447" i="5"/>
  <c r="I1447" i="5"/>
  <c r="E1450" i="5"/>
  <c r="F1450" i="5"/>
  <c r="H1450" i="5" s="1"/>
  <c r="E1451" i="5"/>
  <c r="F1451" i="5"/>
  <c r="H1451" i="5" s="1"/>
  <c r="E1452" i="5"/>
  <c r="F1452" i="5"/>
  <c r="H1452" i="5" s="1"/>
  <c r="E1453" i="5"/>
  <c r="F1453" i="5"/>
  <c r="H1453" i="5" s="1"/>
  <c r="E1454" i="5"/>
  <c r="F1454" i="5"/>
  <c r="H1454" i="5" s="1"/>
  <c r="E1455" i="5"/>
  <c r="F1455" i="5"/>
  <c r="H1455" i="5" s="1"/>
  <c r="E1456" i="5"/>
  <c r="F1456" i="5"/>
  <c r="H1456" i="5" s="1"/>
  <c r="G1457" i="5"/>
  <c r="G1462" i="5"/>
  <c r="I1462" i="5"/>
  <c r="D1465" i="5"/>
  <c r="E1465" i="5"/>
  <c r="D1466" i="5"/>
  <c r="E1466" i="5"/>
  <c r="D1467" i="5"/>
  <c r="E1467" i="5"/>
  <c r="G1471" i="5"/>
  <c r="B1484" i="5"/>
  <c r="B1485" i="5"/>
  <c r="D1492" i="5"/>
  <c r="B1493" i="5"/>
  <c r="G1493" i="5" s="1"/>
  <c r="G1499" i="5"/>
  <c r="I1499" i="5"/>
  <c r="E1502" i="5"/>
  <c r="F1502" i="5"/>
  <c r="H1502" i="5" s="1"/>
  <c r="E1503" i="5"/>
  <c r="F1503" i="5"/>
  <c r="H1503" i="5" s="1"/>
  <c r="E1504" i="5"/>
  <c r="F1504" i="5"/>
  <c r="H1504" i="5" s="1"/>
  <c r="E1505" i="5"/>
  <c r="F1505" i="5"/>
  <c r="H1505" i="5" s="1"/>
  <c r="E1506" i="5"/>
  <c r="F1506" i="5"/>
  <c r="H1506" i="5" s="1"/>
  <c r="E1507" i="5"/>
  <c r="F1507" i="5"/>
  <c r="H1507" i="5" s="1"/>
  <c r="E1508" i="5"/>
  <c r="F1508" i="5"/>
  <c r="H1508" i="5" s="1"/>
  <c r="G1509" i="5"/>
  <c r="G1514" i="5"/>
  <c r="I1514" i="5"/>
  <c r="D1517" i="5"/>
  <c r="E1517" i="5"/>
  <c r="D1518" i="5"/>
  <c r="E1518" i="5"/>
  <c r="D1519" i="5"/>
  <c r="E1519" i="5"/>
  <c r="G1523" i="5"/>
  <c r="B1536" i="5"/>
  <c r="B1537" i="5"/>
  <c r="D1544" i="5"/>
  <c r="B1545" i="5"/>
  <c r="G1545" i="5" s="1"/>
  <c r="G1551" i="5"/>
  <c r="I1551" i="5"/>
  <c r="E1554" i="5"/>
  <c r="F1554" i="5"/>
  <c r="H1554" i="5" s="1"/>
  <c r="E1555" i="5"/>
  <c r="F1555" i="5"/>
  <c r="H1555" i="5" s="1"/>
  <c r="E1556" i="5"/>
  <c r="F1556" i="5"/>
  <c r="H1556" i="5" s="1"/>
  <c r="E1557" i="5"/>
  <c r="F1557" i="5"/>
  <c r="H1557" i="5" s="1"/>
  <c r="E1558" i="5"/>
  <c r="F1558" i="5"/>
  <c r="H1558" i="5" s="1"/>
  <c r="E1559" i="5"/>
  <c r="F1559" i="5"/>
  <c r="H1559" i="5" s="1"/>
  <c r="E1560" i="5"/>
  <c r="F1560" i="5"/>
  <c r="H1560" i="5" s="1"/>
  <c r="G1561" i="5"/>
  <c r="G1566" i="5"/>
  <c r="I1566" i="5"/>
  <c r="D1569" i="5"/>
  <c r="E1569" i="5"/>
  <c r="D1570" i="5"/>
  <c r="E1570" i="5"/>
  <c r="D1571" i="5"/>
  <c r="E1571" i="5"/>
  <c r="G1575" i="5"/>
  <c r="B1588" i="5"/>
  <c r="B1589" i="5"/>
  <c r="D1596" i="5"/>
  <c r="B1597" i="5"/>
  <c r="G1597" i="5" s="1"/>
  <c r="G1603" i="5"/>
  <c r="I1603" i="5"/>
  <c r="E1606" i="5"/>
  <c r="F1606" i="5"/>
  <c r="H1606" i="5" s="1"/>
  <c r="E1607" i="5"/>
  <c r="F1607" i="5"/>
  <c r="H1607" i="5" s="1"/>
  <c r="E1608" i="5"/>
  <c r="F1608" i="5"/>
  <c r="H1608" i="5" s="1"/>
  <c r="E1609" i="5"/>
  <c r="F1609" i="5"/>
  <c r="H1609" i="5" s="1"/>
  <c r="E1610" i="5"/>
  <c r="F1610" i="5"/>
  <c r="H1610" i="5" s="1"/>
  <c r="E1611" i="5"/>
  <c r="F1611" i="5"/>
  <c r="H1611" i="5" s="1"/>
  <c r="E1612" i="5"/>
  <c r="F1612" i="5"/>
  <c r="H1612" i="5" s="1"/>
  <c r="G1613" i="5"/>
  <c r="G1618" i="5"/>
  <c r="I1618" i="5"/>
  <c r="D1621" i="5"/>
  <c r="E1621" i="5"/>
  <c r="D1622" i="5"/>
  <c r="E1622" i="5"/>
  <c r="D1623" i="5"/>
  <c r="E1623" i="5"/>
  <c r="G1627" i="5"/>
  <c r="B1640" i="5"/>
  <c r="B1641" i="5"/>
  <c r="D1648" i="5"/>
  <c r="B1649" i="5"/>
  <c r="G1649" i="5" s="1"/>
  <c r="G1655" i="5"/>
  <c r="I1655" i="5"/>
  <c r="E1658" i="5"/>
  <c r="F1658" i="5"/>
  <c r="H1658" i="5" s="1"/>
  <c r="E1659" i="5"/>
  <c r="F1659" i="5"/>
  <c r="H1659" i="5" s="1"/>
  <c r="E1660" i="5"/>
  <c r="F1660" i="5"/>
  <c r="H1660" i="5" s="1"/>
  <c r="E1661" i="5"/>
  <c r="F1661" i="5"/>
  <c r="H1661" i="5" s="1"/>
  <c r="E1662" i="5"/>
  <c r="F1662" i="5"/>
  <c r="H1662" i="5" s="1"/>
  <c r="G1663" i="5"/>
  <c r="G1668" i="5"/>
  <c r="I1668" i="5"/>
  <c r="D1671" i="5"/>
  <c r="E1671" i="5"/>
  <c r="D1672" i="5"/>
  <c r="E1672" i="5"/>
  <c r="D1673" i="5"/>
  <c r="E1673" i="5"/>
  <c r="G1677" i="5"/>
  <c r="B1690" i="5"/>
  <c r="B1691" i="5"/>
  <c r="G18" i="30"/>
  <c r="G19" i="30"/>
  <c r="G22" i="30"/>
  <c r="G24" i="30"/>
  <c r="G25" i="30"/>
  <c r="G26" i="30"/>
  <c r="G27" i="30"/>
  <c r="G28" i="30"/>
  <c r="G30" i="30"/>
  <c r="G31" i="30"/>
  <c r="G32" i="30"/>
  <c r="G37" i="30"/>
  <c r="K526" i="5"/>
  <c r="E36" i="30"/>
  <c r="I17" i="30"/>
  <c r="E33" i="30"/>
  <c r="H275" i="5" l="1"/>
  <c r="I277" i="5" s="1"/>
  <c r="F400" i="5"/>
  <c r="H400" i="5" s="1"/>
  <c r="I401" i="5" s="1"/>
  <c r="F482" i="5"/>
  <c r="H482" i="5" s="1"/>
  <c r="I483" i="5" s="1"/>
  <c r="F396" i="32"/>
  <c r="G33" i="30"/>
  <c r="F295" i="32"/>
  <c r="E25" i="31"/>
  <c r="E21" i="31"/>
  <c r="E18" i="31"/>
  <c r="E24" i="31"/>
  <c r="E20" i="31"/>
  <c r="E23" i="31"/>
  <c r="E22" i="31"/>
  <c r="E26" i="31"/>
  <c r="E45" i="31"/>
  <c r="E30" i="31"/>
  <c r="E35" i="31"/>
  <c r="E33" i="31"/>
  <c r="E36" i="31"/>
  <c r="E27" i="31"/>
  <c r="E31" i="31"/>
  <c r="E29" i="31"/>
  <c r="E38" i="31"/>
  <c r="E28" i="31"/>
  <c r="E32" i="31"/>
  <c r="E37" i="31"/>
  <c r="E50" i="31"/>
  <c r="E51" i="31"/>
  <c r="E47" i="31"/>
  <c r="E46" i="31"/>
  <c r="E49" i="31"/>
  <c r="E32" i="6"/>
  <c r="H1027" i="5"/>
  <c r="H691" i="5"/>
  <c r="E25" i="6"/>
  <c r="E26" i="6"/>
  <c r="E27" i="6"/>
  <c r="E33" i="6"/>
  <c r="E28" i="6"/>
  <c r="E29" i="6"/>
  <c r="E34" i="6"/>
  <c r="E31" i="6"/>
  <c r="E30" i="6"/>
  <c r="G36" i="30"/>
  <c r="F358" i="5"/>
  <c r="H358" i="5" s="1"/>
  <c r="I359" i="5" s="1"/>
  <c r="H977" i="5"/>
  <c r="I979" i="5" s="1"/>
  <c r="H572" i="5"/>
  <c r="I573" i="5" s="1"/>
  <c r="H71" i="5"/>
  <c r="I72" i="5" s="1"/>
  <c r="H875" i="5"/>
  <c r="H873" i="5"/>
  <c r="F1519" i="5"/>
  <c r="H1519" i="5" s="1"/>
  <c r="F1466" i="5"/>
  <c r="H1466" i="5" s="1"/>
  <c r="H613" i="5"/>
  <c r="I614" i="5" s="1"/>
  <c r="H1256" i="5"/>
  <c r="I1258" i="5" s="1"/>
  <c r="F1571" i="5"/>
  <c r="H1571" i="5" s="1"/>
  <c r="F1570" i="5"/>
  <c r="H1570" i="5" s="1"/>
  <c r="F990" i="5"/>
  <c r="H990" i="5" s="1"/>
  <c r="F988" i="5"/>
  <c r="H988" i="5" s="1"/>
  <c r="F986" i="5"/>
  <c r="H986" i="5" s="1"/>
  <c r="F941" i="5"/>
  <c r="H941" i="5" s="1"/>
  <c r="F1518" i="5"/>
  <c r="H1518" i="5" s="1"/>
  <c r="H1034" i="5"/>
  <c r="F1415" i="5"/>
  <c r="H1415" i="5" s="1"/>
  <c r="F1413" i="5"/>
  <c r="H1413" i="5" s="1"/>
  <c r="H837" i="5"/>
  <c r="F1314" i="5"/>
  <c r="H1314" i="5" s="1"/>
  <c r="F896" i="5"/>
  <c r="H896" i="5" s="1"/>
  <c r="F1621" i="5"/>
  <c r="H1621" i="5" s="1"/>
  <c r="F1465" i="5"/>
  <c r="H1465" i="5" s="1"/>
  <c r="F1673" i="5"/>
  <c r="H1673" i="5" s="1"/>
  <c r="F900" i="5"/>
  <c r="H900" i="5" s="1"/>
  <c r="F898" i="5"/>
  <c r="H898" i="5" s="1"/>
  <c r="H791" i="5"/>
  <c r="I1509" i="5"/>
  <c r="F1622" i="5"/>
  <c r="H1622" i="5" s="1"/>
  <c r="F1263" i="5"/>
  <c r="H1263" i="5" s="1"/>
  <c r="H1169" i="5"/>
  <c r="I1171" i="5" s="1"/>
  <c r="H1026" i="5"/>
  <c r="H789" i="5"/>
  <c r="H785" i="5"/>
  <c r="H692" i="5"/>
  <c r="F1467" i="5"/>
  <c r="H1467" i="5" s="1"/>
  <c r="F1364" i="5"/>
  <c r="H1364" i="5" s="1"/>
  <c r="F1315" i="5"/>
  <c r="H1315" i="5" s="1"/>
  <c r="F987" i="5"/>
  <c r="H987" i="5" s="1"/>
  <c r="H982" i="5"/>
  <c r="I983" i="5" s="1"/>
  <c r="H892" i="5"/>
  <c r="I893" i="5" s="1"/>
  <c r="H883" i="5"/>
  <c r="I889" i="5" s="1"/>
  <c r="H877" i="5"/>
  <c r="H876" i="5"/>
  <c r="H872" i="5"/>
  <c r="F1569" i="5"/>
  <c r="H1569" i="5" s="1"/>
  <c r="F1363" i="5"/>
  <c r="H1363" i="5" s="1"/>
  <c r="H1033" i="5"/>
  <c r="I1038" i="5" s="1"/>
  <c r="I1039" i="5" s="1"/>
  <c r="H154" i="5"/>
  <c r="I155" i="5" s="1"/>
  <c r="I1122" i="5"/>
  <c r="I1253" i="5"/>
  <c r="I1405" i="5"/>
  <c r="F1672" i="5"/>
  <c r="H1672" i="5" s="1"/>
  <c r="I1613" i="5"/>
  <c r="F1261" i="5"/>
  <c r="H1261" i="5" s="1"/>
  <c r="H1215" i="5"/>
  <c r="I1216" i="5" s="1"/>
  <c r="I1160" i="5"/>
  <c r="I1117" i="5"/>
  <c r="F897" i="5"/>
  <c r="H897" i="5" s="1"/>
  <c r="H838" i="5"/>
  <c r="F1517" i="5"/>
  <c r="H1517" i="5" s="1"/>
  <c r="F1623" i="5"/>
  <c r="H1623" i="5" s="1"/>
  <c r="F1414" i="5"/>
  <c r="H1414" i="5" s="1"/>
  <c r="F1365" i="5"/>
  <c r="H1365" i="5" s="1"/>
  <c r="F1316" i="5"/>
  <c r="H1316" i="5" s="1"/>
  <c r="I1068" i="5"/>
  <c r="H1021" i="5"/>
  <c r="H878" i="5"/>
  <c r="H874" i="5"/>
  <c r="H832" i="5"/>
  <c r="I834" i="5" s="1"/>
  <c r="H790" i="5"/>
  <c r="I521" i="5"/>
  <c r="I1206" i="5"/>
  <c r="F1671" i="5"/>
  <c r="H1671" i="5" s="1"/>
  <c r="I1663" i="5"/>
  <c r="F1262" i="5"/>
  <c r="H1262" i="5" s="1"/>
  <c r="H1022" i="5"/>
  <c r="F943" i="5"/>
  <c r="H943" i="5" s="1"/>
  <c r="F899" i="5"/>
  <c r="H899" i="5" s="1"/>
  <c r="H784" i="5"/>
  <c r="H739" i="5"/>
  <c r="I740" i="5" s="1"/>
  <c r="H317" i="5"/>
  <c r="I318" i="5" s="1"/>
  <c r="I105" i="5"/>
  <c r="I1212" i="5"/>
  <c r="I64" i="5"/>
  <c r="I1166" i="5"/>
  <c r="I1076" i="5"/>
  <c r="H931" i="5"/>
  <c r="I932" i="5" s="1"/>
  <c r="I828" i="5"/>
  <c r="I28" i="5"/>
  <c r="I1355" i="5"/>
  <c r="I1306" i="5"/>
  <c r="I1457" i="5"/>
  <c r="I1561" i="5"/>
  <c r="I974" i="5"/>
  <c r="I1018" i="5"/>
  <c r="F942" i="5"/>
  <c r="H942" i="5" s="1"/>
  <c r="I655" i="5"/>
  <c r="H1028" i="5"/>
  <c r="F989" i="5"/>
  <c r="H989" i="5" s="1"/>
  <c r="I780" i="5"/>
  <c r="H526" i="5"/>
  <c r="G527" i="5"/>
  <c r="G55" i="31" l="1"/>
  <c r="G58" i="31"/>
  <c r="I693" i="5"/>
  <c r="I945" i="5"/>
  <c r="I946" i="5" s="1"/>
  <c r="I947" i="5" s="1"/>
  <c r="I1419" i="5"/>
  <c r="I1420" i="5" s="1"/>
  <c r="I1471" i="5"/>
  <c r="I1523" i="5"/>
  <c r="I1524" i="5" s="1"/>
  <c r="I1525" i="5" s="1"/>
  <c r="I1575" i="5"/>
  <c r="I1576" i="5" s="1"/>
  <c r="I1577" i="5" s="1"/>
  <c r="I1029" i="5"/>
  <c r="I1369" i="5"/>
  <c r="I1370" i="5" s="1"/>
  <c r="I1371" i="5" s="1"/>
  <c r="I1267" i="5"/>
  <c r="I1268" i="5" s="1"/>
  <c r="I1269" i="5" s="1"/>
  <c r="I991" i="5"/>
  <c r="I992" i="5" s="1"/>
  <c r="I993" i="5" s="1"/>
  <c r="I902" i="5"/>
  <c r="I903" i="5" s="1"/>
  <c r="I1627" i="5"/>
  <c r="I1628" i="5" s="1"/>
  <c r="I1629" i="5" s="1"/>
  <c r="I879" i="5"/>
  <c r="I1318" i="5"/>
  <c r="I1319" i="5" s="1"/>
  <c r="I792" i="5"/>
  <c r="I839" i="5"/>
  <c r="I786" i="5"/>
  <c r="I1677" i="5"/>
  <c r="I1678" i="5" s="1"/>
  <c r="I1679" i="5" s="1"/>
  <c r="I1023" i="5"/>
  <c r="I1472" i="5"/>
  <c r="I1473" i="5" s="1"/>
  <c r="H527" i="5"/>
  <c r="I528" i="5" s="1"/>
  <c r="K527" i="5"/>
  <c r="I1421" i="5" l="1"/>
  <c r="G1423" i="5" s="1"/>
  <c r="I1320" i="5"/>
  <c r="I1288" i="5" s="1"/>
  <c r="I1040" i="5"/>
  <c r="G1042" i="5" s="1"/>
  <c r="I904" i="5"/>
  <c r="I868" i="5" s="1"/>
  <c r="G1478" i="5"/>
  <c r="G1475" i="5"/>
  <c r="G1476" i="5"/>
  <c r="I1441" i="5"/>
  <c r="G1477" i="5"/>
  <c r="G950" i="5"/>
  <c r="G951" i="5"/>
  <c r="I923" i="5"/>
  <c r="G949" i="5"/>
  <c r="G952" i="5"/>
  <c r="G1681" i="5"/>
  <c r="G1682" i="5"/>
  <c r="G1684" i="5"/>
  <c r="I1649" i="5"/>
  <c r="G1683" i="5"/>
  <c r="G1374" i="5"/>
  <c r="I1340" i="5"/>
  <c r="G1375" i="5"/>
  <c r="G1376" i="5"/>
  <c r="G1373" i="5"/>
  <c r="G996" i="5"/>
  <c r="G997" i="5"/>
  <c r="I967" i="5"/>
  <c r="G995" i="5"/>
  <c r="G998" i="5"/>
  <c r="I1493" i="5"/>
  <c r="G1529" i="5"/>
  <c r="G1530" i="5"/>
  <c r="G1527" i="5"/>
  <c r="G1528" i="5"/>
  <c r="G1271" i="5"/>
  <c r="I1244" i="5"/>
  <c r="G1272" i="5"/>
  <c r="G1273" i="5"/>
  <c r="G1274" i="5"/>
  <c r="G1631" i="5"/>
  <c r="G1632" i="5"/>
  <c r="I1597" i="5"/>
  <c r="G1633" i="5"/>
  <c r="G1634" i="5"/>
  <c r="G1580" i="5"/>
  <c r="I1545" i="5"/>
  <c r="G1581" i="5"/>
  <c r="G1582" i="5"/>
  <c r="G1579" i="5"/>
  <c r="I1391" i="5" l="1"/>
  <c r="G1425" i="5"/>
  <c r="G1426" i="5"/>
  <c r="G1325" i="5"/>
  <c r="G1424" i="5"/>
  <c r="G1324" i="5"/>
  <c r="G1322" i="5"/>
  <c r="G1323" i="5"/>
  <c r="I1012" i="5"/>
  <c r="G1044" i="5"/>
  <c r="G1045" i="5"/>
  <c r="G1043" i="5"/>
  <c r="G908" i="5"/>
  <c r="G907" i="5"/>
  <c r="G909" i="5"/>
  <c r="G906" i="5"/>
  <c r="I1635" i="5"/>
  <c r="I1636" i="5" s="1"/>
  <c r="I1583" i="5"/>
  <c r="I1584" i="5" s="1"/>
  <c r="I1531" i="5"/>
  <c r="I1532" i="5" s="1"/>
  <c r="I1275" i="5"/>
  <c r="I1276" i="5" s="1"/>
  <c r="I1685" i="5"/>
  <c r="I1686" i="5" s="1"/>
  <c r="I1479" i="5"/>
  <c r="I1480" i="5" s="1"/>
  <c r="I999" i="5"/>
  <c r="I1000" i="5" s="1"/>
  <c r="I1377" i="5"/>
  <c r="I1378" i="5" s="1"/>
  <c r="I953" i="5"/>
  <c r="I954" i="5" s="1"/>
  <c r="I1427" i="5" l="1"/>
  <c r="I1428" i="5" s="1"/>
  <c r="I1326" i="5"/>
  <c r="I1327" i="5" s="1"/>
  <c r="I1046" i="5"/>
  <c r="I1047" i="5" s="1"/>
  <c r="I910" i="5"/>
  <c r="I911" i="5" s="1"/>
  <c r="H34" i="30" l="1"/>
  <c r="E38" i="30"/>
  <c r="G38" i="30" s="1"/>
  <c r="H33" i="30"/>
  <c r="I33" i="30" s="1"/>
  <c r="H32" i="30"/>
  <c r="H31" i="30"/>
  <c r="H30" i="30"/>
  <c r="G35" i="30"/>
  <c r="H29" i="30"/>
  <c r="G34" i="30"/>
  <c r="I28" i="30"/>
  <c r="I27" i="30"/>
  <c r="I26" i="30"/>
  <c r="I25" i="30"/>
  <c r="I24" i="30"/>
  <c r="I23" i="30"/>
  <c r="I22" i="30"/>
  <c r="I21" i="30"/>
  <c r="I20" i="30"/>
  <c r="I19" i="30"/>
  <c r="I18" i="30"/>
  <c r="I16" i="30"/>
  <c r="G16" i="30"/>
  <c r="D7" i="30"/>
  <c r="B7" i="30"/>
  <c r="G29" i="8"/>
  <c r="K705" i="5"/>
  <c r="K704" i="5"/>
  <c r="K890" i="5"/>
  <c r="K878" i="5"/>
  <c r="E48" i="6" l="1"/>
  <c r="E49" i="6"/>
  <c r="I35" i="30"/>
  <c r="I36" i="30"/>
  <c r="I29" i="30"/>
  <c r="I31" i="30"/>
  <c r="I30" i="30"/>
  <c r="I32" i="30"/>
  <c r="I34" i="30"/>
  <c r="N7" i="10" l="1"/>
  <c r="C7" i="10"/>
  <c r="I19" i="2"/>
  <c r="J19" i="2" s="1"/>
  <c r="I22" i="2"/>
  <c r="J22" i="2" s="1"/>
  <c r="I27" i="2"/>
  <c r="I28" i="2"/>
  <c r="J28" i="2" s="1"/>
  <c r="I29" i="2"/>
  <c r="I30" i="2"/>
  <c r="J30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50" i="2"/>
  <c r="J50" i="2" s="1"/>
  <c r="G17" i="2"/>
  <c r="G19" i="2"/>
  <c r="G20" i="2"/>
  <c r="G25" i="2"/>
  <c r="G26" i="2"/>
  <c r="G28" i="2"/>
  <c r="G29" i="2"/>
  <c r="G30" i="2"/>
  <c r="G32" i="2"/>
  <c r="G33" i="2"/>
  <c r="G34" i="2"/>
  <c r="F615" i="32" l="1"/>
  <c r="H615" i="32" s="1"/>
  <c r="F511" i="32"/>
  <c r="H511" i="32" s="1"/>
  <c r="F478" i="32"/>
  <c r="H478" i="32" s="1"/>
  <c r="F341" i="32"/>
  <c r="H341" i="32" s="1"/>
  <c r="F306" i="32"/>
  <c r="H306" i="32" s="1"/>
  <c r="F136" i="32"/>
  <c r="H136" i="32" s="1"/>
  <c r="F1079" i="32"/>
  <c r="H1079" i="32" s="1"/>
  <c r="F652" i="32"/>
  <c r="H652" i="32" s="1"/>
  <c r="F70" i="32"/>
  <c r="H70" i="32" s="1"/>
  <c r="F1042" i="32"/>
  <c r="H1042" i="32" s="1"/>
  <c r="F1009" i="32"/>
  <c r="H1009" i="32" s="1"/>
  <c r="F972" i="32"/>
  <c r="H972" i="32" s="1"/>
  <c r="F689" i="32"/>
  <c r="H689" i="32" s="1"/>
  <c r="F445" i="32"/>
  <c r="H445" i="32" s="1"/>
  <c r="F103" i="32"/>
  <c r="H103" i="32" s="1"/>
  <c r="F37" i="32"/>
  <c r="H37" i="32" s="1"/>
  <c r="F548" i="32"/>
  <c r="H548" i="32" s="1"/>
  <c r="F407" i="32"/>
  <c r="H407" i="32" s="1"/>
  <c r="F272" i="32"/>
  <c r="H272" i="32" s="1"/>
  <c r="F238" i="32"/>
  <c r="H238" i="32" s="1"/>
  <c r="F202" i="32"/>
  <c r="H202" i="32" s="1"/>
  <c r="F374" i="32"/>
  <c r="H374" i="32" s="1"/>
  <c r="D493" i="5"/>
  <c r="F493" i="5" s="1"/>
  <c r="H493" i="5" s="1"/>
  <c r="D452" i="5"/>
  <c r="F452" i="5" s="1"/>
  <c r="H452" i="5" s="1"/>
  <c r="N33" i="10"/>
  <c r="P33" i="10" s="1"/>
  <c r="D204" i="5"/>
  <c r="D245" i="5"/>
  <c r="F245" i="5" s="1"/>
  <c r="H245" i="5" s="1"/>
  <c r="D287" i="5"/>
  <c r="F287" i="5" s="1"/>
  <c r="H287" i="5" s="1"/>
  <c r="D411" i="5"/>
  <c r="F411" i="5" s="1"/>
  <c r="H411" i="5" s="1"/>
  <c r="D538" i="5"/>
  <c r="F538" i="5" s="1"/>
  <c r="H538" i="5" s="1"/>
  <c r="D579" i="5"/>
  <c r="F579" i="5" s="1"/>
  <c r="H579" i="5" s="1"/>
  <c r="D843" i="5"/>
  <c r="F843" i="5" s="1"/>
  <c r="H843" i="5" s="1"/>
  <c r="D1222" i="5"/>
  <c r="F1222" i="5" s="1"/>
  <c r="H1222" i="5" s="1"/>
  <c r="D78" i="5"/>
  <c r="F78" i="5" s="1"/>
  <c r="H78" i="5" s="1"/>
  <c r="D620" i="5"/>
  <c r="F620" i="5" s="1"/>
  <c r="H620" i="5" s="1"/>
  <c r="D665" i="5"/>
  <c r="F665" i="5" s="1"/>
  <c r="H665" i="5" s="1"/>
  <c r="D798" i="5"/>
  <c r="F798" i="5" s="1"/>
  <c r="H798" i="5" s="1"/>
  <c r="D1086" i="5"/>
  <c r="F1086" i="5" s="1"/>
  <c r="H1086" i="5" s="1"/>
  <c r="D1132" i="5"/>
  <c r="F1132" i="5" s="1"/>
  <c r="H1132" i="5" s="1"/>
  <c r="D1177" i="5"/>
  <c r="F1177" i="5" s="1"/>
  <c r="H1177" i="5" s="1"/>
  <c r="D119" i="5"/>
  <c r="F119" i="5" s="1"/>
  <c r="H119" i="5" s="1"/>
  <c r="D369" i="5"/>
  <c r="F369" i="5" s="1"/>
  <c r="H369" i="5" s="1"/>
  <c r="D705" i="5"/>
  <c r="F705" i="5" s="1"/>
  <c r="H705" i="5" s="1"/>
  <c r="D750" i="5"/>
  <c r="F750" i="5" s="1"/>
  <c r="H750" i="5" s="1"/>
  <c r="D38" i="5"/>
  <c r="F38" i="5" s="1"/>
  <c r="H38" i="5" s="1"/>
  <c r="D161" i="5"/>
  <c r="F161" i="5" s="1"/>
  <c r="H161" i="5" s="1"/>
  <c r="D328" i="5"/>
  <c r="F328" i="5" s="1"/>
  <c r="H328" i="5" s="1"/>
  <c r="F1040" i="32" l="1"/>
  <c r="H1040" i="32" s="1"/>
  <c r="F1007" i="32"/>
  <c r="H1007" i="32" s="1"/>
  <c r="F970" i="32"/>
  <c r="H970" i="32" s="1"/>
  <c r="F688" i="32"/>
  <c r="H688" i="32" s="1"/>
  <c r="F442" i="32"/>
  <c r="H442" i="32" s="1"/>
  <c r="F166" i="32"/>
  <c r="H166" i="32" s="1"/>
  <c r="F270" i="32"/>
  <c r="H270" i="32" s="1"/>
  <c r="F545" i="32"/>
  <c r="H545" i="32" s="1"/>
  <c r="F235" i="32"/>
  <c r="H235" i="32" s="1"/>
  <c r="F199" i="32"/>
  <c r="H199" i="32" s="1"/>
  <c r="F509" i="32"/>
  <c r="H509" i="32" s="1"/>
  <c r="F475" i="32"/>
  <c r="H475" i="32" s="1"/>
  <c r="F338" i="32"/>
  <c r="H338" i="32" s="1"/>
  <c r="F303" i="32"/>
  <c r="H303" i="32" s="1"/>
  <c r="F1076" i="32"/>
  <c r="H1076" i="32" s="1"/>
  <c r="F371" i="32"/>
  <c r="H371" i="32" s="1"/>
  <c r="F68" i="32"/>
  <c r="H68" i="32" s="1"/>
  <c r="D490" i="5"/>
  <c r="F490" i="5" s="1"/>
  <c r="H490" i="5" s="1"/>
  <c r="D449" i="5"/>
  <c r="F449" i="5" s="1"/>
  <c r="H449" i="5" s="1"/>
  <c r="F612" i="32"/>
  <c r="H612" i="32" s="1"/>
  <c r="F404" i="32"/>
  <c r="H404" i="32" s="1"/>
  <c r="F580" i="32"/>
  <c r="H580" i="32" s="1"/>
  <c r="F35" i="32"/>
  <c r="H35" i="32" s="1"/>
  <c r="F1041" i="32"/>
  <c r="H1041" i="32" s="1"/>
  <c r="F1008" i="32"/>
  <c r="H1008" i="32" s="1"/>
  <c r="F971" i="32"/>
  <c r="H971" i="32" s="1"/>
  <c r="F579" i="32"/>
  <c r="H579" i="32" s="1"/>
  <c r="F444" i="32"/>
  <c r="H444" i="32" s="1"/>
  <c r="F168" i="32"/>
  <c r="H168" i="32" s="1"/>
  <c r="F101" i="32"/>
  <c r="H101" i="32" s="1"/>
  <c r="F406" i="32"/>
  <c r="H406" i="32" s="1"/>
  <c r="F237" i="32"/>
  <c r="H237" i="32" s="1"/>
  <c r="F201" i="32"/>
  <c r="H201" i="32" s="1"/>
  <c r="F690" i="32"/>
  <c r="H690" i="32" s="1"/>
  <c r="F510" i="32"/>
  <c r="H510" i="32" s="1"/>
  <c r="F477" i="32"/>
  <c r="H477" i="32" s="1"/>
  <c r="F340" i="32"/>
  <c r="H340" i="32" s="1"/>
  <c r="F305" i="32"/>
  <c r="H305" i="32" s="1"/>
  <c r="F135" i="32"/>
  <c r="H135" i="32" s="1"/>
  <c r="F1078" i="32"/>
  <c r="H1078" i="32" s="1"/>
  <c r="F651" i="32"/>
  <c r="H651" i="32" s="1"/>
  <c r="F373" i="32"/>
  <c r="H373" i="32" s="1"/>
  <c r="F69" i="32"/>
  <c r="H69" i="32" s="1"/>
  <c r="F614" i="32"/>
  <c r="H614" i="32" s="1"/>
  <c r="D492" i="5"/>
  <c r="F492" i="5" s="1"/>
  <c r="H492" i="5" s="1"/>
  <c r="D451" i="5"/>
  <c r="F451" i="5" s="1"/>
  <c r="H451" i="5" s="1"/>
  <c r="F547" i="32"/>
  <c r="H547" i="32" s="1"/>
  <c r="F34" i="32"/>
  <c r="H34" i="32" s="1"/>
  <c r="F476" i="32"/>
  <c r="H476" i="32" s="1"/>
  <c r="F339" i="32"/>
  <c r="H339" i="32" s="1"/>
  <c r="F304" i="32"/>
  <c r="H304" i="32" s="1"/>
  <c r="F372" i="32"/>
  <c r="H372" i="32" s="1"/>
  <c r="F1077" i="32"/>
  <c r="H1077" i="32" s="1"/>
  <c r="D450" i="5"/>
  <c r="F450" i="5" s="1"/>
  <c r="H450" i="5" s="1"/>
  <c r="F613" i="32"/>
  <c r="H613" i="32" s="1"/>
  <c r="F443" i="32"/>
  <c r="H443" i="32" s="1"/>
  <c r="F167" i="32"/>
  <c r="H167" i="32" s="1"/>
  <c r="F405" i="32"/>
  <c r="H405" i="32" s="1"/>
  <c r="F271" i="32"/>
  <c r="H271" i="32" s="1"/>
  <c r="F236" i="32"/>
  <c r="H236" i="32" s="1"/>
  <c r="F200" i="32"/>
  <c r="H200" i="32" s="1"/>
  <c r="D491" i="5"/>
  <c r="F491" i="5" s="1"/>
  <c r="H491" i="5" s="1"/>
  <c r="F546" i="32"/>
  <c r="H546" i="32" s="1"/>
  <c r="N25" i="10"/>
  <c r="P25" i="10" s="1"/>
  <c r="D76" i="5"/>
  <c r="F76" i="5" s="1"/>
  <c r="H76" i="5" s="1"/>
  <c r="D117" i="5"/>
  <c r="F117" i="5" s="1"/>
  <c r="H117" i="5" s="1"/>
  <c r="D159" i="5"/>
  <c r="F159" i="5" s="1"/>
  <c r="H159" i="5" s="1"/>
  <c r="D202" i="5"/>
  <c r="F202" i="5" s="1"/>
  <c r="H202" i="5" s="1"/>
  <c r="D536" i="5"/>
  <c r="F536" i="5" s="1"/>
  <c r="H536" i="5" s="1"/>
  <c r="D1220" i="5"/>
  <c r="F1220" i="5" s="1"/>
  <c r="H1220" i="5" s="1"/>
  <c r="D1130" i="5"/>
  <c r="F1130" i="5" s="1"/>
  <c r="H1130" i="5" s="1"/>
  <c r="D748" i="5"/>
  <c r="F748" i="5" s="1"/>
  <c r="H748" i="5" s="1"/>
  <c r="D796" i="5"/>
  <c r="F796" i="5" s="1"/>
  <c r="H796" i="5" s="1"/>
  <c r="D1084" i="5"/>
  <c r="F1084" i="5" s="1"/>
  <c r="H1084" i="5" s="1"/>
  <c r="D243" i="5"/>
  <c r="F243" i="5" s="1"/>
  <c r="H243" i="5" s="1"/>
  <c r="D326" i="5"/>
  <c r="F326" i="5" s="1"/>
  <c r="H326" i="5" s="1"/>
  <c r="D577" i="5"/>
  <c r="F577" i="5" s="1"/>
  <c r="H577" i="5" s="1"/>
  <c r="D367" i="5"/>
  <c r="F367" i="5" s="1"/>
  <c r="H367" i="5" s="1"/>
  <c r="D1175" i="5"/>
  <c r="F1175" i="5" s="1"/>
  <c r="H1175" i="5" s="1"/>
  <c r="D409" i="5"/>
  <c r="F409" i="5" s="1"/>
  <c r="H409" i="5" s="1"/>
  <c r="D285" i="5"/>
  <c r="F285" i="5" s="1"/>
  <c r="H285" i="5" s="1"/>
  <c r="D663" i="5"/>
  <c r="F663" i="5" s="1"/>
  <c r="H663" i="5" s="1"/>
  <c r="D618" i="5"/>
  <c r="F618" i="5" s="1"/>
  <c r="H618" i="5" s="1"/>
  <c r="N19" i="10"/>
  <c r="P19" i="10" s="1"/>
  <c r="D366" i="5"/>
  <c r="F366" i="5" s="1"/>
  <c r="H366" i="5" s="1"/>
  <c r="D747" i="5"/>
  <c r="F747" i="5" s="1"/>
  <c r="H747" i="5" s="1"/>
  <c r="D842" i="5"/>
  <c r="F842" i="5" s="1"/>
  <c r="H842" i="5" s="1"/>
  <c r="D1129" i="5"/>
  <c r="F1129" i="5" s="1"/>
  <c r="H1129" i="5" s="1"/>
  <c r="D1174" i="5"/>
  <c r="F1174" i="5" s="1"/>
  <c r="H1174" i="5" s="1"/>
  <c r="D1083" i="5"/>
  <c r="F1083" i="5" s="1"/>
  <c r="H1083" i="5" s="1"/>
  <c r="D158" i="5"/>
  <c r="F158" i="5" s="1"/>
  <c r="H158" i="5" s="1"/>
  <c r="D201" i="5"/>
  <c r="F201" i="5" s="1"/>
  <c r="H201" i="5" s="1"/>
  <c r="D704" i="5"/>
  <c r="F704" i="5" s="1"/>
  <c r="H704" i="5" s="1"/>
  <c r="D1219" i="5"/>
  <c r="F1219" i="5" s="1"/>
  <c r="H1219" i="5" s="1"/>
  <c r="D284" i="5"/>
  <c r="F284" i="5" s="1"/>
  <c r="H284" i="5" s="1"/>
  <c r="D408" i="5"/>
  <c r="F408" i="5" s="1"/>
  <c r="H408" i="5" s="1"/>
  <c r="D662" i="5"/>
  <c r="F662" i="5" s="1"/>
  <c r="H662" i="5" s="1"/>
  <c r="D795" i="5"/>
  <c r="F795" i="5" s="1"/>
  <c r="H795" i="5" s="1"/>
  <c r="D242" i="5"/>
  <c r="F242" i="5" s="1"/>
  <c r="H242" i="5" s="1"/>
  <c r="D617" i="5"/>
  <c r="F617" i="5" s="1"/>
  <c r="H617" i="5" s="1"/>
  <c r="D325" i="5"/>
  <c r="F325" i="5" s="1"/>
  <c r="H325" i="5" s="1"/>
  <c r="D576" i="5"/>
  <c r="F576" i="5" s="1"/>
  <c r="H576" i="5" s="1"/>
  <c r="D75" i="5"/>
  <c r="F75" i="5" s="1"/>
  <c r="H75" i="5" s="1"/>
  <c r="D116" i="5"/>
  <c r="F116" i="5" s="1"/>
  <c r="H116" i="5" s="1"/>
  <c r="D535" i="5"/>
  <c r="F535" i="5" s="1"/>
  <c r="H535" i="5" s="1"/>
  <c r="N27" i="10"/>
  <c r="P27" i="10" s="1"/>
  <c r="D244" i="5"/>
  <c r="F244" i="5" s="1"/>
  <c r="H244" i="5" s="1"/>
  <c r="D327" i="5"/>
  <c r="F327" i="5" s="1"/>
  <c r="H327" i="5" s="1"/>
  <c r="D578" i="5"/>
  <c r="F578" i="5" s="1"/>
  <c r="H578" i="5" s="1"/>
  <c r="D619" i="5"/>
  <c r="F619" i="5" s="1"/>
  <c r="H619" i="5" s="1"/>
  <c r="D706" i="5"/>
  <c r="F706" i="5" s="1"/>
  <c r="H706" i="5" s="1"/>
  <c r="D749" i="5"/>
  <c r="F749" i="5" s="1"/>
  <c r="H749" i="5" s="1"/>
  <c r="D1221" i="5"/>
  <c r="F1221" i="5" s="1"/>
  <c r="H1221" i="5" s="1"/>
  <c r="D844" i="5"/>
  <c r="F844" i="5" s="1"/>
  <c r="H844" i="5" s="1"/>
  <c r="D1176" i="5"/>
  <c r="F1176" i="5" s="1"/>
  <c r="H1176" i="5" s="1"/>
  <c r="D286" i="5"/>
  <c r="F286" i="5" s="1"/>
  <c r="H286" i="5" s="1"/>
  <c r="D410" i="5"/>
  <c r="F410" i="5" s="1"/>
  <c r="H410" i="5" s="1"/>
  <c r="D664" i="5"/>
  <c r="F664" i="5" s="1"/>
  <c r="H664" i="5" s="1"/>
  <c r="D77" i="5"/>
  <c r="F77" i="5" s="1"/>
  <c r="H77" i="5" s="1"/>
  <c r="D118" i="5"/>
  <c r="F118" i="5" s="1"/>
  <c r="H118" i="5" s="1"/>
  <c r="D160" i="5"/>
  <c r="F160" i="5" s="1"/>
  <c r="H160" i="5" s="1"/>
  <c r="D203" i="5"/>
  <c r="F203" i="5" s="1"/>
  <c r="H203" i="5" s="1"/>
  <c r="D537" i="5"/>
  <c r="F537" i="5" s="1"/>
  <c r="H537" i="5" s="1"/>
  <c r="D368" i="5"/>
  <c r="F368" i="5" s="1"/>
  <c r="H368" i="5" s="1"/>
  <c r="D1131" i="5"/>
  <c r="F1131" i="5" s="1"/>
  <c r="H1131" i="5" s="1"/>
  <c r="D797" i="5"/>
  <c r="F797" i="5" s="1"/>
  <c r="H797" i="5" s="1"/>
  <c r="D1085" i="5"/>
  <c r="F1085" i="5" s="1"/>
  <c r="H1085" i="5" s="1"/>
  <c r="D35" i="5"/>
  <c r="F35" i="5" s="1"/>
  <c r="H35" i="5" s="1"/>
  <c r="D708" i="5"/>
  <c r="F708" i="5" s="1"/>
  <c r="H708" i="5" s="1"/>
  <c r="D845" i="5"/>
  <c r="F845" i="5" s="1"/>
  <c r="H845" i="5" s="1"/>
  <c r="D36" i="5"/>
  <c r="F36" i="5" s="1"/>
  <c r="H36" i="5" s="1"/>
  <c r="D707" i="5"/>
  <c r="F707" i="5" s="1"/>
  <c r="H707" i="5" s="1"/>
  <c r="D846" i="5"/>
  <c r="F846" i="5" s="1"/>
  <c r="H846" i="5" s="1"/>
  <c r="N17" i="10"/>
  <c r="P17" i="10" s="1"/>
  <c r="N16" i="10"/>
  <c r="P16" i="10" l="1"/>
  <c r="I582" i="32"/>
  <c r="I105" i="32"/>
  <c r="I106" i="32" s="1"/>
  <c r="I107" i="32" s="1"/>
  <c r="I308" i="32"/>
  <c r="I309" i="32" s="1"/>
  <c r="I310" i="32" s="1"/>
  <c r="I288" i="32" s="1"/>
  <c r="I494" i="5"/>
  <c r="I495" i="5" s="1"/>
  <c r="I496" i="5" s="1"/>
  <c r="G499" i="5" s="1"/>
  <c r="I446" i="32"/>
  <c r="I447" i="32" s="1"/>
  <c r="I448" i="32" s="1"/>
  <c r="I1043" i="32"/>
  <c r="I1044" i="32" s="1"/>
  <c r="I1045" i="32" s="1"/>
  <c r="I480" i="32"/>
  <c r="I481" i="32" s="1"/>
  <c r="I482" i="32" s="1"/>
  <c r="I460" i="32" s="1"/>
  <c r="I240" i="32"/>
  <c r="I241" i="32" s="1"/>
  <c r="I242" i="32" s="1"/>
  <c r="I218" i="32" s="1"/>
  <c r="I1010" i="32"/>
  <c r="I1011" i="32" s="1"/>
  <c r="I1012" i="32" s="1"/>
  <c r="I617" i="32"/>
  <c r="I618" i="32" s="1"/>
  <c r="I619" i="32" s="1"/>
  <c r="I453" i="5"/>
  <c r="I454" i="5" s="1"/>
  <c r="I455" i="5" s="1"/>
  <c r="G459" i="5" s="1"/>
  <c r="I138" i="32"/>
  <c r="I139" i="32" s="1"/>
  <c r="I140" i="32" s="1"/>
  <c r="I513" i="32"/>
  <c r="I514" i="32" s="1"/>
  <c r="I515" i="32" s="1"/>
  <c r="I494" i="32" s="1"/>
  <c r="I375" i="32"/>
  <c r="I376" i="32" s="1"/>
  <c r="I377" i="32" s="1"/>
  <c r="I342" i="32"/>
  <c r="I343" i="32" s="1"/>
  <c r="I344" i="32" s="1"/>
  <c r="D37" i="5"/>
  <c r="F37" i="5" s="1"/>
  <c r="H37" i="5" s="1"/>
  <c r="F36" i="32"/>
  <c r="H36" i="32" s="1"/>
  <c r="I38" i="32" s="1"/>
  <c r="I39" i="32" s="1"/>
  <c r="I40" i="32" s="1"/>
  <c r="I408" i="32"/>
  <c r="I409" i="32" s="1"/>
  <c r="I410" i="32" s="1"/>
  <c r="I1080" i="32"/>
  <c r="I1081" i="32" s="1"/>
  <c r="I1082" i="32" s="1"/>
  <c r="I549" i="32"/>
  <c r="I550" i="32" s="1"/>
  <c r="I551" i="32" s="1"/>
  <c r="I654" i="32"/>
  <c r="I274" i="32"/>
  <c r="I275" i="32" s="1"/>
  <c r="I276" i="32" s="1"/>
  <c r="I691" i="32"/>
  <c r="I692" i="32" s="1"/>
  <c r="I693" i="32" s="1"/>
  <c r="I71" i="32"/>
  <c r="I204" i="32"/>
  <c r="I205" i="32" s="1"/>
  <c r="I206" i="32" s="1"/>
  <c r="I975" i="32"/>
  <c r="I170" i="32"/>
  <c r="I171" i="32" s="1"/>
  <c r="I172" i="32" s="1"/>
  <c r="I247" i="5"/>
  <c r="I248" i="5" s="1"/>
  <c r="I249" i="5" s="1"/>
  <c r="I227" i="5" s="1"/>
  <c r="I801" i="5"/>
  <c r="I802" i="5" s="1"/>
  <c r="I803" i="5" s="1"/>
  <c r="I773" i="5" s="1"/>
  <c r="I1223" i="5"/>
  <c r="I1224" i="5" s="1"/>
  <c r="I1225" i="5" s="1"/>
  <c r="G1228" i="5" s="1"/>
  <c r="I539" i="5"/>
  <c r="I540" i="5" s="1"/>
  <c r="I541" i="5" s="1"/>
  <c r="G544" i="5" s="1"/>
  <c r="I79" i="5"/>
  <c r="I80" i="5" s="1"/>
  <c r="I81" i="5" s="1"/>
  <c r="G85" i="5" s="1"/>
  <c r="I289" i="5"/>
  <c r="I290" i="5" s="1"/>
  <c r="I291" i="5" s="1"/>
  <c r="G293" i="5" s="1"/>
  <c r="I163" i="5"/>
  <c r="I164" i="5" s="1"/>
  <c r="I165" i="5" s="1"/>
  <c r="G168" i="5" s="1"/>
  <c r="I622" i="5"/>
  <c r="I623" i="5" s="1"/>
  <c r="I624" i="5" s="1"/>
  <c r="G629" i="5" s="1"/>
  <c r="I1133" i="5"/>
  <c r="I1134" i="5" s="1"/>
  <c r="I1135" i="5" s="1"/>
  <c r="G1139" i="5" s="1"/>
  <c r="I412" i="5"/>
  <c r="I413" i="5" s="1"/>
  <c r="I414" i="5" s="1"/>
  <c r="G416" i="5" s="1"/>
  <c r="I581" i="5"/>
  <c r="I582" i="5" s="1"/>
  <c r="I583" i="5" s="1"/>
  <c r="I561" i="5" s="1"/>
  <c r="I1089" i="5"/>
  <c r="I1090" i="5" s="1"/>
  <c r="I1091" i="5" s="1"/>
  <c r="G1094" i="5" s="1"/>
  <c r="I752" i="5"/>
  <c r="I753" i="5" s="1"/>
  <c r="I754" i="5" s="1"/>
  <c r="G758" i="5" s="1"/>
  <c r="I666" i="5"/>
  <c r="I667" i="5" s="1"/>
  <c r="I668" i="5" s="1"/>
  <c r="G670" i="5" s="1"/>
  <c r="I121" i="5"/>
  <c r="I122" i="5" s="1"/>
  <c r="I123" i="5" s="1"/>
  <c r="I330" i="5"/>
  <c r="I331" i="5" s="1"/>
  <c r="I332" i="5" s="1"/>
  <c r="G334" i="5" s="1"/>
  <c r="I1178" i="5"/>
  <c r="I1179" i="5" s="1"/>
  <c r="I1180" i="5" s="1"/>
  <c r="G1185" i="5" s="1"/>
  <c r="I371" i="5"/>
  <c r="I372" i="5" s="1"/>
  <c r="I373" i="5" s="1"/>
  <c r="G376" i="5" s="1"/>
  <c r="I847" i="5"/>
  <c r="I848" i="5" s="1"/>
  <c r="I849" i="5" s="1"/>
  <c r="G851" i="5" s="1"/>
  <c r="I710" i="5"/>
  <c r="I711" i="5" s="1"/>
  <c r="I712" i="5" s="1"/>
  <c r="G715" i="5" s="1"/>
  <c r="I206" i="5"/>
  <c r="I207" i="5" s="1"/>
  <c r="I208" i="5" s="1"/>
  <c r="N18" i="10"/>
  <c r="P18" i="10" s="1"/>
  <c r="P34" i="10" s="1"/>
  <c r="G24" i="31" l="1"/>
  <c r="G31" i="31"/>
  <c r="G26" i="31"/>
  <c r="G32" i="31"/>
  <c r="I85" i="32"/>
  <c r="G501" i="5"/>
  <c r="G500" i="5"/>
  <c r="I1024" i="32"/>
  <c r="G498" i="5"/>
  <c r="I475" i="5"/>
  <c r="I120" i="32"/>
  <c r="I989" i="32"/>
  <c r="G458" i="5"/>
  <c r="I596" i="32"/>
  <c r="I356" i="32"/>
  <c r="G457" i="5"/>
  <c r="I323" i="32"/>
  <c r="I434" i="5"/>
  <c r="G460" i="5"/>
  <c r="I39" i="5"/>
  <c r="I40" i="5" s="1"/>
  <c r="I41" i="5" s="1"/>
  <c r="G45" i="5" s="1"/>
  <c r="I17" i="32"/>
  <c r="I423" i="32"/>
  <c r="I655" i="32"/>
  <c r="I656" i="32" s="1"/>
  <c r="I1058" i="32"/>
  <c r="I976" i="32"/>
  <c r="I977" i="32" s="1"/>
  <c r="I389" i="32"/>
  <c r="I151" i="32"/>
  <c r="I183" i="32"/>
  <c r="I668" i="32"/>
  <c r="I72" i="32"/>
  <c r="I73" i="32" s="1"/>
  <c r="I254" i="32"/>
  <c r="I527" i="32"/>
  <c r="G253" i="5"/>
  <c r="G252" i="5"/>
  <c r="G254" i="5"/>
  <c r="G251" i="5"/>
  <c r="G807" i="5"/>
  <c r="G806" i="5"/>
  <c r="G805" i="5"/>
  <c r="G808" i="5"/>
  <c r="I1060" i="5"/>
  <c r="G296" i="5"/>
  <c r="G86" i="5"/>
  <c r="I516" i="5"/>
  <c r="G1229" i="5"/>
  <c r="I310" i="5"/>
  <c r="G1140" i="5"/>
  <c r="G1230" i="5"/>
  <c r="G1227" i="5"/>
  <c r="G1137" i="5"/>
  <c r="G83" i="5"/>
  <c r="G545" i="5"/>
  <c r="G1096" i="5"/>
  <c r="G84" i="5"/>
  <c r="I1200" i="5"/>
  <c r="I143" i="5"/>
  <c r="G336" i="5"/>
  <c r="G418" i="5"/>
  <c r="I644" i="5"/>
  <c r="G169" i="5"/>
  <c r="G417" i="5"/>
  <c r="G419" i="5"/>
  <c r="G375" i="5"/>
  <c r="G170" i="5"/>
  <c r="G671" i="5"/>
  <c r="G167" i="5"/>
  <c r="G673" i="5"/>
  <c r="G672" i="5"/>
  <c r="I393" i="5"/>
  <c r="G377" i="5"/>
  <c r="I351" i="5"/>
  <c r="G378" i="5"/>
  <c r="G1093" i="5"/>
  <c r="G716" i="5"/>
  <c r="I687" i="5"/>
  <c r="G585" i="5"/>
  <c r="G587" i="5"/>
  <c r="G628" i="5"/>
  <c r="I1154" i="5"/>
  <c r="G295" i="5"/>
  <c r="G543" i="5"/>
  <c r="G335" i="5"/>
  <c r="G337" i="5"/>
  <c r="G1095" i="5"/>
  <c r="G1138" i="5"/>
  <c r="I59" i="5"/>
  <c r="G757" i="5"/>
  <c r="G294" i="5"/>
  <c r="G546" i="5"/>
  <c r="G1182" i="5"/>
  <c r="I1111" i="5"/>
  <c r="G586" i="5"/>
  <c r="G626" i="5"/>
  <c r="G1183" i="5"/>
  <c r="G717" i="5"/>
  <c r="G1184" i="5"/>
  <c r="I731" i="5"/>
  <c r="G588" i="5"/>
  <c r="I602" i="5"/>
  <c r="G627" i="5"/>
  <c r="I268" i="5"/>
  <c r="I822" i="5"/>
  <c r="G759" i="5"/>
  <c r="G714" i="5"/>
  <c r="G756" i="5"/>
  <c r="G127" i="5"/>
  <c r="G125" i="5"/>
  <c r="G128" i="5"/>
  <c r="G126" i="5"/>
  <c r="I100" i="5"/>
  <c r="G853" i="5"/>
  <c r="G210" i="5"/>
  <c r="G213" i="5"/>
  <c r="I184" i="5"/>
  <c r="G211" i="5"/>
  <c r="G212" i="5"/>
  <c r="G852" i="5"/>
  <c r="G854" i="5"/>
  <c r="Q34" i="10"/>
  <c r="G33" i="31" l="1"/>
  <c r="G25" i="31"/>
  <c r="G22" i="31"/>
  <c r="G36" i="31"/>
  <c r="G20" i="31"/>
  <c r="G50" i="31"/>
  <c r="G28" i="31"/>
  <c r="G49" i="31"/>
  <c r="G38" i="31"/>
  <c r="G23" i="31"/>
  <c r="G29" i="31"/>
  <c r="G30" i="31"/>
  <c r="G27" i="31"/>
  <c r="G17" i="31"/>
  <c r="G48" i="31"/>
  <c r="G21" i="31"/>
  <c r="I502" i="5"/>
  <c r="I503" i="5" s="1"/>
  <c r="I461" i="5"/>
  <c r="I462" i="5" s="1"/>
  <c r="I17" i="5"/>
  <c r="G43" i="5"/>
  <c r="G44" i="5"/>
  <c r="G46" i="5"/>
  <c r="I951" i="32"/>
  <c r="I630" i="32"/>
  <c r="I52" i="32"/>
  <c r="G46" i="6"/>
  <c r="G28" i="6"/>
  <c r="G30" i="6"/>
  <c r="G29" i="6"/>
  <c r="I255" i="5"/>
  <c r="I256" i="5" s="1"/>
  <c r="I809" i="5"/>
  <c r="I810" i="5" s="1"/>
  <c r="I297" i="5"/>
  <c r="I298" i="5" s="1"/>
  <c r="I547" i="5"/>
  <c r="I548" i="5" s="1"/>
  <c r="I1141" i="5"/>
  <c r="I1142" i="5" s="1"/>
  <c r="I87" i="5"/>
  <c r="I88" i="5" s="1"/>
  <c r="I338" i="5"/>
  <c r="I339" i="5" s="1"/>
  <c r="I1231" i="5"/>
  <c r="I1232" i="5" s="1"/>
  <c r="I1097" i="5"/>
  <c r="I1098" i="5" s="1"/>
  <c r="I171" i="5"/>
  <c r="I172" i="5" s="1"/>
  <c r="I420" i="5"/>
  <c r="I421" i="5" s="1"/>
  <c r="I1186" i="5"/>
  <c r="I1187" i="5" s="1"/>
  <c r="I674" i="5"/>
  <c r="I675" i="5" s="1"/>
  <c r="I379" i="5"/>
  <c r="I380" i="5" s="1"/>
  <c r="I718" i="5"/>
  <c r="I719" i="5" s="1"/>
  <c r="I589" i="5"/>
  <c r="I590" i="5" s="1"/>
  <c r="I129" i="5"/>
  <c r="I130" i="5" s="1"/>
  <c r="I760" i="5"/>
  <c r="I761" i="5" s="1"/>
  <c r="I630" i="5"/>
  <c r="I631" i="5" s="1"/>
  <c r="I855" i="5"/>
  <c r="I856" i="5" s="1"/>
  <c r="I214" i="5"/>
  <c r="I215" i="5" s="1"/>
  <c r="G47" i="31" l="1"/>
  <c r="G37" i="31"/>
  <c r="G18" i="31"/>
  <c r="I47" i="5"/>
  <c r="I48" i="5" s="1"/>
  <c r="D26" i="19"/>
  <c r="D27" i="19" s="1"/>
  <c r="F27" i="19" s="1"/>
  <c r="D25" i="19"/>
  <c r="F25" i="19" s="1"/>
  <c r="F24" i="19"/>
  <c r="H23" i="19"/>
  <c r="F23" i="19"/>
  <c r="G22" i="19"/>
  <c r="G30" i="19" s="1"/>
  <c r="F19" i="19"/>
  <c r="F7" i="19"/>
  <c r="H20" i="19" l="1"/>
  <c r="H49" i="19" s="1"/>
  <c r="F17" i="39" s="1"/>
  <c r="H17" i="39" s="1"/>
  <c r="J17" i="39" s="1"/>
  <c r="F26" i="19"/>
  <c r="G29" i="19"/>
  <c r="F18" i="39" l="1"/>
  <c r="H18" i="39" s="1"/>
  <c r="J18" i="39" s="1"/>
  <c r="F19" i="39"/>
  <c r="H19" i="39" s="1"/>
  <c r="J19" i="39" s="1"/>
  <c r="F20" i="39"/>
  <c r="H20" i="39" s="1"/>
  <c r="J20" i="39" s="1"/>
  <c r="G28" i="19"/>
  <c r="I19" i="8"/>
  <c r="I20" i="8"/>
  <c r="I21" i="8"/>
  <c r="I22" i="8"/>
  <c r="I23" i="8"/>
  <c r="I24" i="8"/>
  <c r="I25" i="8"/>
  <c r="I26" i="8"/>
  <c r="I28" i="8"/>
  <c r="I46" i="8"/>
  <c r="I47" i="8"/>
  <c r="I29" i="8"/>
  <c r="I30" i="8"/>
  <c r="I31" i="8"/>
  <c r="I32" i="8"/>
  <c r="I33" i="8"/>
  <c r="I49" i="8"/>
  <c r="I34" i="8"/>
  <c r="I35" i="8"/>
  <c r="I36" i="8"/>
  <c r="I37" i="8"/>
  <c r="I38" i="8"/>
  <c r="I39" i="8"/>
  <c r="I40" i="8"/>
  <c r="I41" i="8"/>
  <c r="I42" i="8"/>
  <c r="I43" i="8"/>
  <c r="I16" i="8"/>
  <c r="I17" i="9"/>
  <c r="I18" i="9"/>
  <c r="I19" i="9"/>
  <c r="I20" i="9"/>
  <c r="I21" i="9"/>
  <c r="I22" i="9"/>
  <c r="I23" i="9"/>
  <c r="I24" i="9"/>
  <c r="I25" i="9"/>
  <c r="I26" i="9"/>
  <c r="I16" i="9"/>
  <c r="J21" i="39" l="1"/>
  <c r="E41" i="6" l="1"/>
  <c r="E40" i="6"/>
  <c r="J27" i="2" l="1"/>
  <c r="G27" i="2" l="1"/>
  <c r="J29" i="2"/>
  <c r="C13" i="19" l="1"/>
  <c r="C12" i="19"/>
  <c r="C11" i="19"/>
  <c r="C10" i="19"/>
  <c r="B7" i="19" l="1"/>
  <c r="G22" i="2" l="1"/>
  <c r="G23" i="2"/>
  <c r="E18" i="6"/>
  <c r="D10" i="6"/>
  <c r="D12" i="6"/>
  <c r="D7" i="9"/>
  <c r="D7" i="8"/>
  <c r="F7" i="2"/>
  <c r="B7" i="9"/>
  <c r="B7" i="8"/>
  <c r="D11" i="6"/>
  <c r="D13" i="6"/>
  <c r="H9" i="6"/>
  <c r="H7" i="6"/>
  <c r="D5" i="6"/>
  <c r="D4" i="6"/>
  <c r="C7" i="6" s="1"/>
  <c r="B7" i="2"/>
  <c r="C673" i="32" s="1"/>
  <c r="F9" i="2"/>
  <c r="G27" i="6" l="1"/>
  <c r="G33" i="6"/>
  <c r="E36" i="6"/>
  <c r="E37" i="6"/>
  <c r="E38" i="6"/>
  <c r="E39" i="6"/>
  <c r="G34" i="6"/>
  <c r="G32" i="6"/>
  <c r="G31" i="6"/>
  <c r="E19" i="6"/>
  <c r="E22" i="6"/>
  <c r="E21" i="6"/>
  <c r="E47" i="6"/>
  <c r="E43" i="6"/>
  <c r="E45" i="6"/>
  <c r="E44" i="6"/>
  <c r="E24" i="6"/>
  <c r="E23" i="6"/>
  <c r="F25" i="31" l="1"/>
  <c r="H25" i="31" s="1"/>
  <c r="U25" i="31" s="1"/>
  <c r="G37" i="6"/>
  <c r="G24" i="6"/>
  <c r="G25" i="6"/>
  <c r="G21" i="6"/>
  <c r="G23" i="6"/>
  <c r="G45" i="6"/>
  <c r="G19" i="6"/>
  <c r="G22" i="6"/>
  <c r="F26" i="6"/>
  <c r="G254" i="32" l="1"/>
  <c r="F33" i="31"/>
  <c r="H33" i="31" s="1"/>
  <c r="U33" i="31" s="1"/>
  <c r="F22" i="31"/>
  <c r="H22" i="31" s="1"/>
  <c r="U22" i="31" s="1"/>
  <c r="F51" i="31"/>
  <c r="H51" i="31" s="1"/>
  <c r="U51" i="31" s="1"/>
  <c r="F25" i="6"/>
  <c r="F23" i="6"/>
  <c r="F34" i="6"/>
  <c r="G310" i="5"/>
  <c r="K317" i="5" s="1"/>
  <c r="F24" i="31"/>
  <c r="H24" i="31" s="1"/>
  <c r="U24" i="31" s="1"/>
  <c r="G40" i="6"/>
  <c r="G36" i="6"/>
  <c r="G44" i="6"/>
  <c r="G26" i="6"/>
  <c r="H26" i="6" s="1"/>
  <c r="G41" i="6"/>
  <c r="G43" i="6"/>
  <c r="G38" i="6"/>
  <c r="G39" i="6"/>
  <c r="K261" i="32" l="1"/>
  <c r="N261" i="32"/>
  <c r="M261" i="32"/>
  <c r="O261" i="32"/>
  <c r="G644" i="5"/>
  <c r="K654" i="5" s="1"/>
  <c r="F28" i="31"/>
  <c r="H28" i="31" s="1"/>
  <c r="U28" i="31" s="1"/>
  <c r="F27" i="31"/>
  <c r="H27" i="31" s="1"/>
  <c r="U27" i="31" s="1"/>
  <c r="F29" i="31"/>
  <c r="H29" i="31" s="1"/>
  <c r="U29" i="31" s="1"/>
  <c r="H25" i="6"/>
  <c r="G268" i="5"/>
  <c r="K276" i="5" s="1"/>
  <c r="G31" i="8" s="1"/>
  <c r="G218" i="32"/>
  <c r="F28" i="6"/>
  <c r="F30" i="6"/>
  <c r="H23" i="6"/>
  <c r="F29" i="6"/>
  <c r="G527" i="32"/>
  <c r="F26" i="31"/>
  <c r="H26" i="31" s="1"/>
  <c r="U26" i="31" s="1"/>
  <c r="H34" i="6"/>
  <c r="K225" i="32" l="1"/>
  <c r="N225" i="32"/>
  <c r="M225" i="32"/>
  <c r="O225" i="32"/>
  <c r="M535" i="32"/>
  <c r="N535" i="32"/>
  <c r="O535" i="32"/>
  <c r="K653" i="5"/>
  <c r="G323" i="32"/>
  <c r="K330" i="32" s="1"/>
  <c r="G389" i="32"/>
  <c r="K396" i="32" s="1"/>
  <c r="K536" i="32"/>
  <c r="K535" i="32"/>
  <c r="K275" i="5"/>
  <c r="G393" i="5"/>
  <c r="H28" i="6"/>
  <c r="G356" i="32"/>
  <c r="K363" i="32" s="1"/>
  <c r="H30" i="6"/>
  <c r="G475" i="5"/>
  <c r="H29" i="6"/>
  <c r="G434" i="5"/>
  <c r="G21" i="30"/>
  <c r="F32" i="31" l="1"/>
  <c r="H32" i="31" s="1"/>
  <c r="U32" i="31" s="1"/>
  <c r="F56" i="31"/>
  <c r="H56" i="31" s="1"/>
  <c r="U56" i="31" s="1"/>
  <c r="F57" i="31"/>
  <c r="H57" i="31" s="1"/>
  <c r="U57" i="31" s="1"/>
  <c r="F58" i="31"/>
  <c r="H58" i="31" s="1"/>
  <c r="U58" i="31" s="1"/>
  <c r="F31" i="31"/>
  <c r="H31" i="31" s="1"/>
  <c r="U31" i="31" s="1"/>
  <c r="F32" i="6"/>
  <c r="G460" i="32" l="1"/>
  <c r="M468" i="32" s="1"/>
  <c r="G561" i="5"/>
  <c r="H32" i="6"/>
  <c r="F48" i="31" l="1"/>
  <c r="H48" i="31" s="1"/>
  <c r="U48" i="31" s="1"/>
  <c r="G49" i="6" l="1"/>
  <c r="G48" i="6" l="1"/>
  <c r="G47" i="6"/>
  <c r="F40" i="31" l="1"/>
  <c r="H40" i="31" s="1"/>
  <c r="U40" i="31" s="1"/>
  <c r="F40" i="6" l="1"/>
  <c r="F39" i="31"/>
  <c r="G848" i="32" l="1"/>
  <c r="F49" i="31"/>
  <c r="H49" i="31" s="1"/>
  <c r="U49" i="31" s="1"/>
  <c r="G705" i="32"/>
  <c r="H40" i="6"/>
  <c r="G868" i="5"/>
  <c r="L889" i="5" s="1"/>
  <c r="K39" i="31"/>
  <c r="H39" i="31"/>
  <c r="U39" i="31" s="1"/>
  <c r="F47" i="6"/>
  <c r="K856" i="32" l="1"/>
  <c r="K865" i="32"/>
  <c r="K852" i="32"/>
  <c r="K866" i="32"/>
  <c r="K716" i="32"/>
  <c r="K718" i="32"/>
  <c r="G1024" i="32"/>
  <c r="M1032" i="32" s="1"/>
  <c r="K713" i="32"/>
  <c r="K729" i="32"/>
  <c r="K730" i="32"/>
  <c r="K882" i="5"/>
  <c r="G23" i="30" s="1"/>
  <c r="K884" i="5"/>
  <c r="K886" i="5"/>
  <c r="G17" i="30" s="1"/>
  <c r="L902" i="5"/>
  <c r="K885" i="5"/>
  <c r="K888" i="5"/>
  <c r="K887" i="5"/>
  <c r="L879" i="5"/>
  <c r="L903" i="5"/>
  <c r="K871" i="5"/>
  <c r="K883" i="5"/>
  <c r="F16" i="9"/>
  <c r="G16" i="9" s="1"/>
  <c r="G1154" i="5"/>
  <c r="F22" i="9"/>
  <c r="G22" i="9" s="1"/>
  <c r="H47" i="6"/>
  <c r="F54" i="31" l="1"/>
  <c r="N55" i="31" l="1"/>
  <c r="N56" i="31" s="1"/>
  <c r="H54" i="31"/>
  <c r="U54" i="31" s="1"/>
  <c r="F20" i="31" l="1"/>
  <c r="H20" i="31" s="1"/>
  <c r="U20" i="31" s="1"/>
  <c r="F27" i="6"/>
  <c r="F21" i="6"/>
  <c r="G85" i="32" l="1"/>
  <c r="K90" i="32" s="1"/>
  <c r="G288" i="32"/>
  <c r="K295" i="32" s="1"/>
  <c r="G100" i="5"/>
  <c r="K104" i="5" s="1"/>
  <c r="G351" i="5"/>
  <c r="H27" i="6"/>
  <c r="H21" i="6"/>
  <c r="F55" i="31" l="1"/>
  <c r="H55" i="31" s="1"/>
  <c r="U55" i="31" s="1"/>
  <c r="K117" i="5"/>
  <c r="K116" i="5"/>
  <c r="K119" i="5"/>
  <c r="K118" i="5"/>
  <c r="K103" i="5"/>
  <c r="L105" i="5" s="1"/>
  <c r="F35" i="31" l="1"/>
  <c r="F38" i="31"/>
  <c r="H38" i="31" s="1"/>
  <c r="U38" i="31" s="1"/>
  <c r="F36" i="31"/>
  <c r="H36" i="31" s="1"/>
  <c r="U36" i="31" s="1"/>
  <c r="F39" i="6"/>
  <c r="F37" i="6"/>
  <c r="F36" i="6"/>
  <c r="G596" i="32" l="1"/>
  <c r="G563" i="32"/>
  <c r="G668" i="32"/>
  <c r="M679" i="32" s="1"/>
  <c r="F46" i="31"/>
  <c r="H46" i="31" s="1"/>
  <c r="U46" i="31" s="1"/>
  <c r="F45" i="31"/>
  <c r="H45" i="31" s="1"/>
  <c r="U45" i="31" s="1"/>
  <c r="G731" i="5"/>
  <c r="G687" i="5"/>
  <c r="K707" i="5" s="1"/>
  <c r="G822" i="5"/>
  <c r="K833" i="5" s="1"/>
  <c r="F44" i="6"/>
  <c r="H37" i="6"/>
  <c r="F43" i="6"/>
  <c r="H39" i="6"/>
  <c r="H36" i="6"/>
  <c r="K679" i="32" l="1"/>
  <c r="H53" i="31" s="1"/>
  <c r="U53" i="31" s="1"/>
  <c r="U52" i="31" s="1"/>
  <c r="L678" i="32"/>
  <c r="F21" i="31"/>
  <c r="H21" i="31" s="1"/>
  <c r="U21" i="31" s="1"/>
  <c r="K690" i="5"/>
  <c r="G914" i="32"/>
  <c r="G880" i="32"/>
  <c r="K708" i="5"/>
  <c r="K692" i="5"/>
  <c r="K706" i="5"/>
  <c r="K832" i="5"/>
  <c r="F27" i="9" s="1"/>
  <c r="G27" i="9" s="1"/>
  <c r="K691" i="5"/>
  <c r="G1012" i="5"/>
  <c r="G967" i="5"/>
  <c r="G29" i="30"/>
  <c r="G20" i="30"/>
  <c r="F25" i="9"/>
  <c r="G25" i="9" s="1"/>
  <c r="K843" i="5"/>
  <c r="K842" i="5"/>
  <c r="K844" i="5"/>
  <c r="K846" i="5"/>
  <c r="K845" i="5"/>
  <c r="K831" i="5"/>
  <c r="K825" i="5"/>
  <c r="K826" i="5"/>
  <c r="K827" i="5"/>
  <c r="G21" i="2"/>
  <c r="I21" i="2"/>
  <c r="J21" i="2" s="1"/>
  <c r="H44" i="6"/>
  <c r="H43" i="6"/>
  <c r="F22" i="6"/>
  <c r="K888" i="32" l="1"/>
  <c r="M888" i="32"/>
  <c r="O888" i="32"/>
  <c r="N888" i="32"/>
  <c r="G120" i="32"/>
  <c r="F37" i="31"/>
  <c r="H37" i="31" s="1"/>
  <c r="U37" i="31" s="1"/>
  <c r="G143" i="5"/>
  <c r="K154" i="5" s="1"/>
  <c r="G39" i="30"/>
  <c r="F33" i="6"/>
  <c r="H33" i="6" s="1"/>
  <c r="F38" i="6"/>
  <c r="F46" i="6"/>
  <c r="H22" i="6"/>
  <c r="G630" i="32" l="1"/>
  <c r="F50" i="31"/>
  <c r="H50" i="31" s="1"/>
  <c r="U50" i="31" s="1"/>
  <c r="K159" i="5"/>
  <c r="G989" i="32"/>
  <c r="M998" i="32" s="1"/>
  <c r="K158" i="5"/>
  <c r="K161" i="5"/>
  <c r="G773" i="5"/>
  <c r="K160" i="5"/>
  <c r="F47" i="31"/>
  <c r="H47" i="31" s="1"/>
  <c r="U47" i="31" s="1"/>
  <c r="G1111" i="5"/>
  <c r="F49" i="6"/>
  <c r="H46" i="6"/>
  <c r="F45" i="6"/>
  <c r="F48" i="6"/>
  <c r="H38" i="6"/>
  <c r="U44" i="31" l="1"/>
  <c r="H44" i="31"/>
  <c r="M641" i="32"/>
  <c r="M640" i="32"/>
  <c r="F23" i="31"/>
  <c r="H23" i="31" s="1"/>
  <c r="U23" i="31" s="1"/>
  <c r="G951" i="32"/>
  <c r="G1094" i="32"/>
  <c r="G1058" i="32"/>
  <c r="G1244" i="5"/>
  <c r="G1060" i="5"/>
  <c r="G1200" i="5"/>
  <c r="H49" i="6"/>
  <c r="K776" i="5"/>
  <c r="K795" i="5"/>
  <c r="K798" i="5"/>
  <c r="K789" i="5"/>
  <c r="K777" i="5"/>
  <c r="K799" i="5"/>
  <c r="K783" i="5"/>
  <c r="K778" i="5"/>
  <c r="K785" i="5"/>
  <c r="K779" i="5"/>
  <c r="K797" i="5"/>
  <c r="K790" i="5"/>
  <c r="K791" i="5"/>
  <c r="K796" i="5"/>
  <c r="K784" i="5"/>
  <c r="H45" i="6"/>
  <c r="H48" i="6"/>
  <c r="F41" i="6"/>
  <c r="F24" i="6"/>
  <c r="K1101" i="32" l="1"/>
  <c r="O1101" i="32"/>
  <c r="M1101" i="32"/>
  <c r="N1101" i="32"/>
  <c r="O1066" i="32"/>
  <c r="N1066" i="32"/>
  <c r="M1066" i="32"/>
  <c r="K958" i="32"/>
  <c r="P961" i="32"/>
  <c r="O958" i="32"/>
  <c r="M958" i="32"/>
  <c r="N958" i="32"/>
  <c r="M962" i="32"/>
  <c r="K1067" i="32"/>
  <c r="K1066" i="32"/>
  <c r="C19" i="27"/>
  <c r="H42" i="6"/>
  <c r="H41" i="6"/>
  <c r="H24" i="6"/>
  <c r="L19" i="27" l="1"/>
  <c r="N19" i="27"/>
  <c r="O19" i="27"/>
  <c r="M19" i="27"/>
  <c r="H19" i="27"/>
  <c r="P19" i="27"/>
  <c r="K19" i="27"/>
  <c r="I19" i="27"/>
  <c r="Q19" i="27"/>
  <c r="J19" i="27"/>
  <c r="G19" i="27"/>
  <c r="H35" i="6"/>
  <c r="G18" i="6" l="1"/>
  <c r="F18" i="31" l="1"/>
  <c r="H18" i="31" s="1"/>
  <c r="U18" i="31" s="1"/>
  <c r="F19" i="6"/>
  <c r="G52" i="32" l="1"/>
  <c r="K64" i="32"/>
  <c r="K56" i="32"/>
  <c r="K55" i="32"/>
  <c r="G59" i="5"/>
  <c r="K71" i="5" s="1"/>
  <c r="H19" i="6"/>
  <c r="L71" i="5" l="1"/>
  <c r="K62" i="5"/>
  <c r="L62" i="5" s="1"/>
  <c r="K63" i="5"/>
  <c r="L63" i="5" s="1"/>
  <c r="K38" i="5"/>
  <c r="F19" i="9"/>
  <c r="K77" i="5"/>
  <c r="K76" i="5"/>
  <c r="K78" i="5"/>
  <c r="K75" i="5"/>
  <c r="G19" i="9" l="1"/>
  <c r="G30" i="9" s="1"/>
  <c r="G18" i="2"/>
  <c r="J18" i="2"/>
  <c r="I24" i="2" l="1"/>
  <c r="J24" i="2" s="1"/>
  <c r="G24" i="2"/>
  <c r="F17" i="31" l="1"/>
  <c r="F18" i="6"/>
  <c r="H17" i="31" l="1"/>
  <c r="U17" i="31" s="1"/>
  <c r="U16" i="31" s="1"/>
  <c r="J56" i="6"/>
  <c r="G17" i="32"/>
  <c r="H18" i="6"/>
  <c r="G17" i="5"/>
  <c r="H16" i="31" l="1"/>
  <c r="K37" i="5"/>
  <c r="K20" i="5"/>
  <c r="H17" i="6"/>
  <c r="K36" i="5"/>
  <c r="K25" i="5"/>
  <c r="G22" i="8" s="1"/>
  <c r="K35" i="5"/>
  <c r="K26" i="5"/>
  <c r="K24" i="5"/>
  <c r="G16" i="8" s="1"/>
  <c r="I16" i="2"/>
  <c r="J16" i="2" s="1"/>
  <c r="J51" i="2" s="1"/>
  <c r="C16" i="27" l="1"/>
  <c r="G33" i="8"/>
  <c r="G50" i="8" s="1"/>
  <c r="G16" i="2"/>
  <c r="G51" i="2" s="1"/>
  <c r="M16" i="27" l="1"/>
  <c r="N16" i="27"/>
  <c r="G16" i="27"/>
  <c r="O16" i="27"/>
  <c r="H16" i="27"/>
  <c r="P16" i="27"/>
  <c r="I16" i="27"/>
  <c r="L16" i="27"/>
  <c r="J16" i="27"/>
  <c r="F16" i="27"/>
  <c r="Q16" i="27"/>
  <c r="Q21" i="27" s="1"/>
  <c r="K16" i="27"/>
  <c r="F31" i="6" l="1"/>
  <c r="F30" i="31"/>
  <c r="H30" i="31" s="1"/>
  <c r="H19" i="31" l="1"/>
  <c r="C17" i="27" s="1"/>
  <c r="U30" i="31"/>
  <c r="U19" i="31" s="1"/>
  <c r="G423" i="32"/>
  <c r="H31" i="6"/>
  <c r="H20" i="6" s="1"/>
  <c r="H51" i="6" s="1"/>
  <c r="O431" i="32" l="1"/>
  <c r="O1102" i="32" s="1"/>
  <c r="K431" i="32"/>
  <c r="M431" i="32"/>
  <c r="M1102" i="32" s="1"/>
  <c r="N431" i="32"/>
  <c r="N1102" i="32" s="1"/>
  <c r="K433" i="32"/>
  <c r="H52" i="31" s="1"/>
  <c r="H17" i="27"/>
  <c r="P17" i="27"/>
  <c r="I17" i="27"/>
  <c r="F17" i="27"/>
  <c r="J17" i="27"/>
  <c r="O17" i="27"/>
  <c r="K17" i="27"/>
  <c r="L17" i="27"/>
  <c r="M17" i="27"/>
  <c r="G17" i="27"/>
  <c r="N17" i="27"/>
  <c r="H52" i="6"/>
  <c r="H53" i="6"/>
  <c r="H54" i="6"/>
  <c r="H55" i="6"/>
  <c r="C20" i="27" l="1"/>
  <c r="H62" i="31"/>
  <c r="U62" i="31" s="1"/>
  <c r="H56" i="6"/>
  <c r="G28" i="38" l="1"/>
  <c r="G23" i="38" s="1"/>
  <c r="L32" i="38"/>
  <c r="J62" i="31"/>
  <c r="L20" i="27"/>
  <c r="L22" i="27" s="1"/>
  <c r="P20" i="27"/>
  <c r="P22" i="27" s="1"/>
  <c r="F20" i="27"/>
  <c r="F22" i="27" s="1"/>
  <c r="F24" i="27" s="1"/>
  <c r="F26" i="27" s="1"/>
  <c r="M20" i="27"/>
  <c r="M22" i="27" s="1"/>
  <c r="I20" i="27"/>
  <c r="I22" i="27" s="1"/>
  <c r="H20" i="27"/>
  <c r="H22" i="27" s="1"/>
  <c r="C22" i="27"/>
  <c r="Q20" i="27"/>
  <c r="Q22" i="27" s="1"/>
  <c r="Q24" i="27" s="1"/>
  <c r="Q26" i="27" s="1"/>
  <c r="K20" i="27"/>
  <c r="K22" i="27" s="1"/>
  <c r="J20" i="27"/>
  <c r="J22" i="27" s="1"/>
  <c r="O20" i="27"/>
  <c r="O22" i="27" s="1"/>
  <c r="G20" i="27"/>
  <c r="G22" i="27" s="1"/>
  <c r="N20" i="27"/>
  <c r="N22" i="27" s="1"/>
  <c r="H58" i="6"/>
  <c r="H29" i="38" l="1"/>
  <c r="G29" i="38"/>
  <c r="J29" i="38" s="1"/>
  <c r="O24" i="27"/>
  <c r="O26" i="27" s="1"/>
  <c r="J24" i="27"/>
  <c r="J26" i="27" s="1"/>
  <c r="P24" i="27"/>
  <c r="P26" i="27" s="1"/>
  <c r="G24" i="38"/>
  <c r="H24" i="38" s="1"/>
  <c r="J24" i="38" s="1"/>
  <c r="H23" i="38"/>
  <c r="J23" i="38" s="1"/>
  <c r="N24" i="27"/>
  <c r="N26" i="27" s="1"/>
  <c r="K24" i="27"/>
  <c r="K26" i="27" s="1"/>
  <c r="I24" i="27"/>
  <c r="I26" i="27" s="1"/>
  <c r="L24" i="27"/>
  <c r="L26" i="27" s="1"/>
  <c r="H24" i="27"/>
  <c r="H26" i="27" s="1"/>
  <c r="G24" i="27"/>
  <c r="G26" i="27" s="1"/>
  <c r="M24" i="27"/>
  <c r="M26" i="27" s="1"/>
  <c r="H60" i="6"/>
  <c r="J60" i="6" s="1"/>
  <c r="J25" i="38" l="1"/>
  <c r="J73" i="31"/>
  <c r="J28" i="38" l="1"/>
  <c r="J30" i="38" s="1"/>
  <c r="J32" i="38" l="1"/>
  <c r="H64" i="31" s="1"/>
  <c r="G64" i="31" l="1"/>
  <c r="U64" i="31"/>
  <c r="J65" i="31"/>
  <c r="J66" i="31" s="1"/>
  <c r="C24" i="27" l="1"/>
  <c r="C26" i="27" s="1"/>
  <c r="I583" i="32" l="1"/>
  <c r="I584" i="32" s="1"/>
  <c r="I563" i="32" l="1"/>
  <c r="G35" i="31" l="1"/>
  <c r="H35" i="31" s="1"/>
  <c r="H34" i="31" l="1"/>
  <c r="C18" i="27" s="1"/>
  <c r="J18" i="27" s="1"/>
  <c r="J21" i="27" s="1"/>
  <c r="U35" i="31"/>
  <c r="U34" i="31" s="1"/>
  <c r="H61" i="31"/>
  <c r="U61" i="31" s="1"/>
  <c r="F18" i="27"/>
  <c r="F21" i="27" s="1"/>
  <c r="N18" i="27"/>
  <c r="N21" i="27" s="1"/>
  <c r="O18" i="27" l="1"/>
  <c r="O21" i="27" s="1"/>
  <c r="P18" i="27"/>
  <c r="P21" i="27" s="1"/>
  <c r="M18" i="27"/>
  <c r="M21" i="27" s="1"/>
  <c r="G18" i="27"/>
  <c r="G21" i="27" s="1"/>
  <c r="C21" i="27"/>
  <c r="L18" i="27"/>
  <c r="L21" i="27" s="1"/>
  <c r="K18" i="27"/>
  <c r="K21" i="27" s="1"/>
  <c r="H18" i="27"/>
  <c r="H21" i="27" s="1"/>
  <c r="I18" i="27"/>
  <c r="I21" i="27" s="1"/>
  <c r="G37" i="35"/>
  <c r="G39" i="35" s="1"/>
  <c r="J39" i="35" s="1"/>
  <c r="H44" i="35"/>
  <c r="J61" i="31"/>
  <c r="J37" i="35" l="1"/>
  <c r="G38" i="35"/>
  <c r="J38" i="35" s="1"/>
  <c r="J40" i="35" l="1"/>
  <c r="H42" i="35" l="1"/>
  <c r="N63" i="31" l="1"/>
  <c r="O63" i="31" s="1"/>
  <c r="H46" i="35"/>
  <c r="H63" i="31" s="1"/>
  <c r="G63" i="31" l="1"/>
  <c r="U63" i="31"/>
  <c r="Q23" i="27"/>
  <c r="Q25" i="27" s="1"/>
  <c r="Q29" i="27" s="1"/>
  <c r="Q30" i="27" s="1"/>
  <c r="Q32" i="27" s="1"/>
  <c r="C23" i="27" l="1"/>
  <c r="C25" i="27" s="1"/>
  <c r="C29" i="27" s="1"/>
  <c r="K23" i="27"/>
  <c r="K25" i="27" s="1"/>
  <c r="K29" i="27" s="1"/>
  <c r="K30" i="27" s="1"/>
  <c r="K32" i="27" s="1"/>
  <c r="O23" i="27"/>
  <c r="O25" i="27" s="1"/>
  <c r="O29" i="27" s="1"/>
  <c r="O30" i="27" s="1"/>
  <c r="O32" i="27" s="1"/>
  <c r="H23" i="27"/>
  <c r="H25" i="27" s="1"/>
  <c r="H29" i="27" s="1"/>
  <c r="H30" i="27" s="1"/>
  <c r="H32" i="27" s="1"/>
  <c r="P23" i="27"/>
  <c r="P25" i="27" s="1"/>
  <c r="P29" i="27" s="1"/>
  <c r="P30" i="27" s="1"/>
  <c r="P32" i="27" s="1"/>
  <c r="N23" i="27"/>
  <c r="N25" i="27" s="1"/>
  <c r="N29" i="27" s="1"/>
  <c r="N30" i="27" s="1"/>
  <c r="N32" i="27" s="1"/>
  <c r="M23" i="27"/>
  <c r="M25" i="27" s="1"/>
  <c r="M29" i="27" s="1"/>
  <c r="M30" i="27" s="1"/>
  <c r="M32" i="27" s="1"/>
  <c r="F23" i="27"/>
  <c r="F25" i="27" s="1"/>
  <c r="F29" i="27" s="1"/>
  <c r="F30" i="27" s="1"/>
  <c r="F32" i="27" s="1"/>
  <c r="O64" i="31"/>
  <c r="L23" i="27"/>
  <c r="L25" i="27" s="1"/>
  <c r="L29" i="27" s="1"/>
  <c r="L30" i="27" s="1"/>
  <c r="L32" i="27" s="1"/>
  <c r="J23" i="27"/>
  <c r="J25" i="27" s="1"/>
  <c r="J29" i="27" s="1"/>
  <c r="J30" i="27" s="1"/>
  <c r="J32" i="27" s="1"/>
  <c r="H65" i="31"/>
  <c r="G23" i="27"/>
  <c r="G25" i="27" s="1"/>
  <c r="G29" i="27" s="1"/>
  <c r="G30" i="27" s="1"/>
  <c r="G32" i="27" s="1"/>
  <c r="I23" i="27"/>
  <c r="I25" i="27" s="1"/>
  <c r="I29" i="27" s="1"/>
  <c r="I30" i="27" s="1"/>
  <c r="I32" i="27" s="1"/>
  <c r="H71" i="31" l="1"/>
  <c r="U65" i="31"/>
  <c r="N71" i="31"/>
  <c r="H73" i="31" l="1"/>
  <c r="U73" i="31" s="1"/>
  <c r="U71" i="31"/>
  <c r="J71" i="31"/>
  <c r="J54" i="31"/>
  <c r="G28" i="39"/>
  <c r="J28" i="39" s="1"/>
  <c r="C30" i="27" l="1"/>
  <c r="C32" i="27" s="1"/>
  <c r="H75" i="31"/>
  <c r="G29" i="39"/>
  <c r="J29" i="39" s="1"/>
  <c r="J30" i="39" s="1"/>
  <c r="J31" i="39" s="1"/>
  <c r="J32" i="39" s="1"/>
  <c r="I78" i="31" l="1"/>
  <c r="I80" i="31" s="1"/>
  <c r="U75" i="31"/>
  <c r="K85" i="36"/>
  <c r="L85" i="36" s="1"/>
  <c r="I82" i="31" l="1"/>
</calcChain>
</file>

<file path=xl/sharedStrings.xml><?xml version="1.0" encoding="utf-8"?>
<sst xmlns="http://schemas.openxmlformats.org/spreadsheetml/2006/main" count="16082" uniqueCount="1603">
  <si>
    <t>MAT</t>
  </si>
  <si>
    <t>EQUI</t>
  </si>
  <si>
    <t>TRANSPORTE</t>
  </si>
  <si>
    <t>TRAN</t>
  </si>
  <si>
    <t>MDEO</t>
  </si>
  <si>
    <t>ADMINISTRACION</t>
  </si>
  <si>
    <t>UTILIDAD</t>
  </si>
  <si>
    <t>LOCALIZACION</t>
  </si>
  <si>
    <t>MUNICIPIO</t>
  </si>
  <si>
    <t>PROYECTO</t>
  </si>
  <si>
    <t>FECHA</t>
  </si>
  <si>
    <t>ITEM</t>
  </si>
  <si>
    <t>UNIDAD</t>
  </si>
  <si>
    <t>CANTIDAD</t>
  </si>
  <si>
    <t>I. EQUIPO</t>
  </si>
  <si>
    <t>III. TRANSPORTES</t>
  </si>
  <si>
    <t>MATERIAL</t>
  </si>
  <si>
    <t>TARIFA</t>
  </si>
  <si>
    <t>TRABAJADOR</t>
  </si>
  <si>
    <t>Descripción</t>
  </si>
  <si>
    <t>CONTIENE:</t>
  </si>
  <si>
    <t>UNIDAD EJECUTORA</t>
  </si>
  <si>
    <t>DIRECCION TERRITORIA</t>
  </si>
  <si>
    <t>APU PRESPUESTO CONTRACTUAL</t>
  </si>
  <si>
    <t>GESTOR TECNICO</t>
  </si>
  <si>
    <t>1.1</t>
  </si>
  <si>
    <t>M2</t>
  </si>
  <si>
    <t>V. UNITARIO:</t>
  </si>
  <si>
    <t>Tarifa/Hora</t>
  </si>
  <si>
    <t>Rendimiento</t>
  </si>
  <si>
    <t>Valor-Unit.</t>
  </si>
  <si>
    <t>E005</t>
  </si>
  <si>
    <t>Sub-Total</t>
  </si>
  <si>
    <t>EQUI-1.1</t>
  </si>
  <si>
    <t>II. MATERIALES EN OBRA</t>
  </si>
  <si>
    <t>DESCRIPCION</t>
  </si>
  <si>
    <t>V.UNIT</t>
  </si>
  <si>
    <t>CANT</t>
  </si>
  <si>
    <t>V.TOTAL</t>
  </si>
  <si>
    <t>M021</t>
  </si>
  <si>
    <t>M012</t>
  </si>
  <si>
    <t>M001</t>
  </si>
  <si>
    <t>MAT-1.1</t>
  </si>
  <si>
    <t xml:space="preserve">CAN </t>
  </si>
  <si>
    <t>DISTANCIA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</si>
  <si>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-Km / UN-KM</t>
    </r>
  </si>
  <si>
    <t>TRAN-1.1</t>
  </si>
  <si>
    <t>Trabajador</t>
  </si>
  <si>
    <t>JORNAL-HORA</t>
  </si>
  <si>
    <t>Jornal Total</t>
  </si>
  <si>
    <t>MO001</t>
  </si>
  <si>
    <t>MO002</t>
  </si>
  <si>
    <t>MO003</t>
  </si>
  <si>
    <t>MDEO-1.1</t>
  </si>
  <si>
    <t>Herramienta menor 5% de la mano de obra</t>
  </si>
  <si>
    <t>Total Costo Directo</t>
  </si>
  <si>
    <t>DESCRIPCION COSTOS INDIRECTOS</t>
  </si>
  <si>
    <t>PORCENTAJE</t>
  </si>
  <si>
    <t>V. COSTO INDERECTO</t>
  </si>
  <si>
    <t>Total Costo total Aproximado al peso$</t>
  </si>
  <si>
    <t>REPUBLICA DE COLOMBIA</t>
  </si>
  <si>
    <t>DEPARTAMENTO DE ANTIOQUIA</t>
  </si>
  <si>
    <t>NOM_PRO</t>
  </si>
  <si>
    <t>LOC_PRO</t>
  </si>
  <si>
    <t>NOM_MUN</t>
  </si>
  <si>
    <t>NORM</t>
  </si>
  <si>
    <t>NORMA</t>
  </si>
  <si>
    <t>INVIAS, RAS 2000, NORMAS EPM</t>
  </si>
  <si>
    <t>DATOS ESPECIFICOS</t>
  </si>
  <si>
    <t xml:space="preserve">ITEM : </t>
  </si>
  <si>
    <t>DESCRIPCION:</t>
  </si>
  <si>
    <t>COD NORMA</t>
  </si>
  <si>
    <t>INSUMO</t>
  </si>
  <si>
    <t>EQUIPO</t>
  </si>
  <si>
    <t>E001</t>
  </si>
  <si>
    <t>CODIGO</t>
  </si>
  <si>
    <t>E002</t>
  </si>
  <si>
    <t>E003</t>
  </si>
  <si>
    <t>E004</t>
  </si>
  <si>
    <t>E006</t>
  </si>
  <si>
    <t>E007</t>
  </si>
  <si>
    <t>E008</t>
  </si>
  <si>
    <t>E009</t>
  </si>
  <si>
    <t>E010</t>
  </si>
  <si>
    <t>E011</t>
  </si>
  <si>
    <t>E012</t>
  </si>
  <si>
    <t>E013</t>
  </si>
  <si>
    <t>E014</t>
  </si>
  <si>
    <t>E016</t>
  </si>
  <si>
    <t>E017</t>
  </si>
  <si>
    <t>E018</t>
  </si>
  <si>
    <t>E019</t>
  </si>
  <si>
    <t>E020</t>
  </si>
  <si>
    <t>E021</t>
  </si>
  <si>
    <t>E022</t>
  </si>
  <si>
    <t>E024</t>
  </si>
  <si>
    <t>E025</t>
  </si>
  <si>
    <t>E026</t>
  </si>
  <si>
    <t>E027</t>
  </si>
  <si>
    <t>E028</t>
  </si>
  <si>
    <t>E029</t>
  </si>
  <si>
    <t>E030</t>
  </si>
  <si>
    <t>E031</t>
  </si>
  <si>
    <t>HORA</t>
  </si>
  <si>
    <t>DIA</t>
  </si>
  <si>
    <t>UN</t>
  </si>
  <si>
    <t>PAR</t>
  </si>
  <si>
    <t>MES</t>
  </si>
  <si>
    <t>GL</t>
  </si>
  <si>
    <t>PRES</t>
  </si>
  <si>
    <t>OBSEVACIONES</t>
  </si>
  <si>
    <t>FIRMA:</t>
  </si>
  <si>
    <t>NOMBRE</t>
  </si>
  <si>
    <t>MAT:</t>
  </si>
  <si>
    <t>ELABORA</t>
  </si>
  <si>
    <t>PROF_RESP</t>
  </si>
  <si>
    <t>PRESUPUESTO DE OBRA</t>
  </si>
  <si>
    <t>PAR_01</t>
  </si>
  <si>
    <t>V. CAPITULO</t>
  </si>
  <si>
    <t>V.UNITARIO</t>
  </si>
  <si>
    <t>VALOR COMERCIAL</t>
  </si>
  <si>
    <t xml:space="preserve">CANTIDAD </t>
  </si>
  <si>
    <t>1. PRELIMINARES</t>
  </si>
  <si>
    <t>KG</t>
  </si>
  <si>
    <t>M3</t>
  </si>
  <si>
    <t>SACO</t>
  </si>
  <si>
    <t>ROLLO</t>
  </si>
  <si>
    <t>LB</t>
  </si>
  <si>
    <t>Unidad</t>
  </si>
  <si>
    <t>ML</t>
  </si>
  <si>
    <t>TUBERIA NOVAFORT 8"</t>
  </si>
  <si>
    <t>un</t>
  </si>
  <si>
    <t>kg</t>
  </si>
  <si>
    <t>CC</t>
  </si>
  <si>
    <t>M002</t>
  </si>
  <si>
    <t>M003</t>
  </si>
  <si>
    <t>M004</t>
  </si>
  <si>
    <t>M005</t>
  </si>
  <si>
    <t>M006</t>
  </si>
  <si>
    <t>M007</t>
  </si>
  <si>
    <t>M008</t>
  </si>
  <si>
    <t>M009</t>
  </si>
  <si>
    <t>M011</t>
  </si>
  <si>
    <t>M013</t>
  </si>
  <si>
    <t>M015</t>
  </si>
  <si>
    <t>M016</t>
  </si>
  <si>
    <t>M017</t>
  </si>
  <si>
    <t>M019</t>
  </si>
  <si>
    <t>M020</t>
  </si>
  <si>
    <t>M022</t>
  </si>
  <si>
    <t>M023</t>
  </si>
  <si>
    <t>M025</t>
  </si>
  <si>
    <t>M026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</si>
  <si>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</si>
  <si>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</si>
  <si>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</si>
  <si>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</si>
  <si>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</si>
  <si>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</si>
  <si>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</si>
  <si>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</si>
  <si>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</si>
  <si>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</si>
  <si>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TRANS MATERIAL &gt; 10 KM</t>
  </si>
  <si>
    <t>T001</t>
  </si>
  <si>
    <t>T002</t>
  </si>
  <si>
    <t>T003</t>
  </si>
  <si>
    <t>T004</t>
  </si>
  <si>
    <t>T005</t>
  </si>
  <si>
    <t>T006</t>
  </si>
  <si>
    <t>T007</t>
  </si>
  <si>
    <t>T008</t>
  </si>
  <si>
    <t>T009</t>
  </si>
  <si>
    <t>T010</t>
  </si>
  <si>
    <t>M3-KM</t>
  </si>
  <si>
    <t>MO004</t>
  </si>
  <si>
    <t>MO005</t>
  </si>
  <si>
    <t>MO006</t>
  </si>
  <si>
    <t>MO007</t>
  </si>
  <si>
    <t>MEMORIA DE CALCULO</t>
  </si>
  <si>
    <t>COD</t>
  </si>
  <si>
    <t>m3</t>
  </si>
  <si>
    <t>m2</t>
  </si>
  <si>
    <t>DIRECCION</t>
  </si>
  <si>
    <t>SALARIO MINIMO</t>
  </si>
  <si>
    <t>DV_001</t>
  </si>
  <si>
    <t>DV_002</t>
  </si>
  <si>
    <t>DV_003</t>
  </si>
  <si>
    <t>DV_004</t>
  </si>
  <si>
    <t>DV_006</t>
  </si>
  <si>
    <t>DV_008</t>
  </si>
  <si>
    <t>DV_010</t>
  </si>
  <si>
    <t>DV_012</t>
  </si>
  <si>
    <t>DESCRIPCION /LOCALIZACION</t>
  </si>
  <si>
    <t>CAN/UN</t>
  </si>
  <si>
    <t>ANCHO</t>
  </si>
  <si>
    <t>LARGO</t>
  </si>
  <si>
    <t>ALTURA</t>
  </si>
  <si>
    <t>CAN MED</t>
  </si>
  <si>
    <t>DV_TOTAL</t>
  </si>
  <si>
    <t>COD EP</t>
  </si>
  <si>
    <t>COD DV</t>
  </si>
  <si>
    <t>SV_TOTAL</t>
  </si>
  <si>
    <t>VALOR TOTAL</t>
  </si>
  <si>
    <t>ABSCISA 0+</t>
  </si>
  <si>
    <t>1.2</t>
  </si>
  <si>
    <t>201.3-13</t>
  </si>
  <si>
    <t>IMPREVISTO</t>
  </si>
  <si>
    <t>PGIO</t>
  </si>
  <si>
    <t>2.1</t>
  </si>
  <si>
    <t>600.2.3-13</t>
  </si>
  <si>
    <t>2.2</t>
  </si>
  <si>
    <t>900.2-13</t>
  </si>
  <si>
    <t>REALCE DE VALVULA DE ACUEDUCTO</t>
  </si>
  <si>
    <t>2.3</t>
  </si>
  <si>
    <t>2.4</t>
  </si>
  <si>
    <t>REALCE DE CAJA INSPECCION CIRCULAR</t>
  </si>
  <si>
    <t>2.5</t>
  </si>
  <si>
    <t>2.6</t>
  </si>
  <si>
    <t>2.7</t>
  </si>
  <si>
    <t>2.8</t>
  </si>
  <si>
    <t>2.9</t>
  </si>
  <si>
    <t>PAR_03</t>
  </si>
  <si>
    <t>PAR_04</t>
  </si>
  <si>
    <t>REALCE DE CAJAS DOMICILIARIAS</t>
  </si>
  <si>
    <t>REALCE DE CAJAS DOMICILIARIAS MEDIDOR</t>
  </si>
  <si>
    <t>PAR_05</t>
  </si>
  <si>
    <t>EQUI-1.2</t>
  </si>
  <si>
    <t>MAT-1.2</t>
  </si>
  <si>
    <t>TRAN-1.2</t>
  </si>
  <si>
    <t>MDEO-1.2</t>
  </si>
  <si>
    <t>EQUI-2.1</t>
  </si>
  <si>
    <t>MAT-2.1</t>
  </si>
  <si>
    <t>TRAN-2.1</t>
  </si>
  <si>
    <t>MDEO-2.1</t>
  </si>
  <si>
    <t>EQUI-2.2</t>
  </si>
  <si>
    <t>MAT-2.2</t>
  </si>
  <si>
    <t>TRAN-2.2</t>
  </si>
  <si>
    <t>MDEO-2.2</t>
  </si>
  <si>
    <t>EQUI-2.3</t>
  </si>
  <si>
    <t>MAT-2.3</t>
  </si>
  <si>
    <t>TRAN-2.3</t>
  </si>
  <si>
    <t>MDEO-2.3</t>
  </si>
  <si>
    <t>3.1</t>
  </si>
  <si>
    <t>EXCAVACION DE LA EXPLANEACION, CANALES Y PRESTAMOS, CAJEOS</t>
  </si>
  <si>
    <t>210-13</t>
  </si>
  <si>
    <t>232-13</t>
  </si>
  <si>
    <t>230-13</t>
  </si>
  <si>
    <t>500-13</t>
  </si>
  <si>
    <t>3.2</t>
  </si>
  <si>
    <t>JORNAL TOTAL</t>
  </si>
  <si>
    <t>RENDIEMIENTO</t>
  </si>
  <si>
    <t>VALOR-UNIT</t>
  </si>
  <si>
    <t>3.3</t>
  </si>
  <si>
    <t>3.4</t>
  </si>
  <si>
    <t>3.5</t>
  </si>
  <si>
    <t>3.6</t>
  </si>
  <si>
    <t>SUMINISTRO CORTE, FIGURACIÓN Y COLOCACIÓN DE ACERO 60000 PSI</t>
  </si>
  <si>
    <t>3.7</t>
  </si>
  <si>
    <t>641.1-13</t>
  </si>
  <si>
    <t>COSTO DIRECTO</t>
  </si>
  <si>
    <t>IMPREVISTOS</t>
  </si>
  <si>
    <t>UTILIDADES</t>
  </si>
  <si>
    <t>BORDILLOS EN CONCRETO</t>
  </si>
  <si>
    <t>PISO EN LOSETA CUADRATICA PREFABRICADA TACTIL ALERTA, 20*20 E=60 MM-SE INSTALARÁ SOBRE UNA CAPA DE MORTERO 1:4 DE 4CM.</t>
  </si>
  <si>
    <t>4. ANDENES Y URBANISMO</t>
  </si>
  <si>
    <t>4.1</t>
  </si>
  <si>
    <t>4.2</t>
  </si>
  <si>
    <t>4.3</t>
  </si>
  <si>
    <t>4.4</t>
  </si>
  <si>
    <t>4.5</t>
  </si>
  <si>
    <t>4.6</t>
  </si>
  <si>
    <t>4.7</t>
  </si>
  <si>
    <t>672-13</t>
  </si>
  <si>
    <t>710-13</t>
  </si>
  <si>
    <t>LLENO DE CONFINAMIENTO PARA BORDILLO CON MATERIAL GRANULAR DE EXCAVACIÓN NO CONTAMINADO AL 60% Y 40% SUBBASE GRANULAR</t>
  </si>
  <si>
    <t>5.1</t>
  </si>
  <si>
    <t>5.2</t>
  </si>
  <si>
    <t>5.3</t>
  </si>
  <si>
    <t>5.4</t>
  </si>
  <si>
    <t>M_TUR_SEC</t>
  </si>
  <si>
    <t>M_TUR</t>
  </si>
  <si>
    <t>803A-EPM</t>
  </si>
  <si>
    <t>803B-EPM</t>
  </si>
  <si>
    <t>803C-EPM</t>
  </si>
  <si>
    <t>803D-EPM</t>
  </si>
  <si>
    <t>EQUI-3.1</t>
  </si>
  <si>
    <t>MAT-3.1</t>
  </si>
  <si>
    <t>TRAN-3.1</t>
  </si>
  <si>
    <t>MDEO-3.1</t>
  </si>
  <si>
    <t>5.5</t>
  </si>
  <si>
    <t>PAR-07</t>
  </si>
  <si>
    <t>PAR-10</t>
  </si>
  <si>
    <t>812-EPM</t>
  </si>
  <si>
    <t>COD_ NORMA</t>
  </si>
  <si>
    <t>EQUI-2.4</t>
  </si>
  <si>
    <t>MAT-2.4</t>
  </si>
  <si>
    <t>TRAN-2.4</t>
  </si>
  <si>
    <t>MDEO-2.4</t>
  </si>
  <si>
    <t>EQUI-2.5</t>
  </si>
  <si>
    <t>MAT-2.5</t>
  </si>
  <si>
    <t>TRAN-2.5</t>
  </si>
  <si>
    <t>MDEO-2.5</t>
  </si>
  <si>
    <t>EQUI-2.6</t>
  </si>
  <si>
    <t>MAT-2.6</t>
  </si>
  <si>
    <t>TRAN-2.6</t>
  </si>
  <si>
    <t>MDEO-2.6</t>
  </si>
  <si>
    <t>EQUI-2.7</t>
  </si>
  <si>
    <t>MAT-2.7</t>
  </si>
  <si>
    <t>TRAN-2.7</t>
  </si>
  <si>
    <t>MDEO-2.7</t>
  </si>
  <si>
    <t>EQUI-2.8</t>
  </si>
  <si>
    <t>MAT-2.8</t>
  </si>
  <si>
    <t>TRAN-2.8</t>
  </si>
  <si>
    <t>MDEO-2.8</t>
  </si>
  <si>
    <t>EQUI-2.9</t>
  </si>
  <si>
    <t>MAT-2.9</t>
  </si>
  <si>
    <t>TRAN-2.9</t>
  </si>
  <si>
    <t>MDEO-2.9</t>
  </si>
  <si>
    <t>EQUI-2.11</t>
  </si>
  <si>
    <t>MAT-2.11</t>
  </si>
  <si>
    <t>TRAN-2.11</t>
  </si>
  <si>
    <t>MDEO-2.11</t>
  </si>
  <si>
    <t>EQUI-3.2</t>
  </si>
  <si>
    <t>MAT-3.2</t>
  </si>
  <si>
    <t>TRAN-3.2</t>
  </si>
  <si>
    <t>MDEO-3.2</t>
  </si>
  <si>
    <t>EQUI-3.3</t>
  </si>
  <si>
    <t>MAT-3.3</t>
  </si>
  <si>
    <t>TRAN-3.3</t>
  </si>
  <si>
    <t>MDEO-3.3</t>
  </si>
  <si>
    <t>EQUI-3.4</t>
  </si>
  <si>
    <t>MAT-3.4</t>
  </si>
  <si>
    <t>TRAN-3.4</t>
  </si>
  <si>
    <t>MDEO-3.4</t>
  </si>
  <si>
    <t>EQUI-3.5</t>
  </si>
  <si>
    <t>MAT-3.5</t>
  </si>
  <si>
    <t>TRAN-3.5</t>
  </si>
  <si>
    <t>MDEO-3.5</t>
  </si>
  <si>
    <t>EQUI-3.6</t>
  </si>
  <si>
    <t>MAT-3.6</t>
  </si>
  <si>
    <t>TRAN-3.6</t>
  </si>
  <si>
    <t>MDEO-3.6</t>
  </si>
  <si>
    <t>EQUI-4.1</t>
  </si>
  <si>
    <t>MAT-4.1</t>
  </si>
  <si>
    <t>TRAN-4.1</t>
  </si>
  <si>
    <t>MDEO-4.1</t>
  </si>
  <si>
    <t>EQUI-4.2</t>
  </si>
  <si>
    <t>MAT-4.2</t>
  </si>
  <si>
    <t>TRAN-4.2</t>
  </si>
  <si>
    <t>MDEO-4.2</t>
  </si>
  <si>
    <t>EQUI-4.3</t>
  </si>
  <si>
    <t>MAT-4.3</t>
  </si>
  <si>
    <t>TRAN-4.3</t>
  </si>
  <si>
    <t>MDEO-4.3</t>
  </si>
  <si>
    <t>EQUI-4.4</t>
  </si>
  <si>
    <t>MAT-4.4</t>
  </si>
  <si>
    <t>TRAN-4.4</t>
  </si>
  <si>
    <t>MDEO-4.4</t>
  </si>
  <si>
    <t>EQUI-4.5</t>
  </si>
  <si>
    <t>MAT-4.5</t>
  </si>
  <si>
    <t>TRAN-4.5</t>
  </si>
  <si>
    <t>MDEO-4.5</t>
  </si>
  <si>
    <t>EQUI-4.6</t>
  </si>
  <si>
    <t>MAT-4.6</t>
  </si>
  <si>
    <t>TRAN-4.6</t>
  </si>
  <si>
    <t>MDEO-4.6</t>
  </si>
  <si>
    <t>EQUI-4.7</t>
  </si>
  <si>
    <t>EQUI-5.4</t>
  </si>
  <si>
    <t>EQUI-5.5</t>
  </si>
  <si>
    <t>MAT-4.7</t>
  </si>
  <si>
    <t>MAT-5.4</t>
  </si>
  <si>
    <t>MAT-5.5</t>
  </si>
  <si>
    <t>TRAN-4.7</t>
  </si>
  <si>
    <t>TRAN-5.4</t>
  </si>
  <si>
    <t>TRAN-5.5</t>
  </si>
  <si>
    <t>MDEO-4.7</t>
  </si>
  <si>
    <t>MDEO-5.4</t>
  </si>
  <si>
    <t>MDEO-5.5</t>
  </si>
  <si>
    <t>%</t>
  </si>
  <si>
    <t>ALMACENISTA</t>
  </si>
  <si>
    <t>POLIZAS Y SEGUROS</t>
  </si>
  <si>
    <t>VALOR</t>
  </si>
  <si>
    <t>SENA</t>
  </si>
  <si>
    <t>VALOR MES</t>
  </si>
  <si>
    <t>PLAN DE GESTION INTEGRAL DE OBRA</t>
  </si>
  <si>
    <t xml:space="preserve">VALOR TOTAL </t>
  </si>
  <si>
    <t>230.1-13</t>
  </si>
  <si>
    <r>
      <t>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-Km / UN-KM</t>
    </r>
  </si>
  <si>
    <t>ANTIOQUIA</t>
  </si>
  <si>
    <t>DIRECCION TERRITORIAL</t>
  </si>
  <si>
    <t>M</t>
  </si>
  <si>
    <t>TRANSPORTE DE MATERIAL PROVENIENTE DE EXCAVACION</t>
  </si>
  <si>
    <t>PAR-17</t>
  </si>
  <si>
    <t>2. OBRAS COMPLEMENTARIAS Y RED PLUVIAL</t>
  </si>
  <si>
    <t>FACTOR MULTIPLICADOR</t>
  </si>
  <si>
    <t>REVISA</t>
  </si>
  <si>
    <t>Total Costo Indirecto</t>
  </si>
  <si>
    <t>DV_014</t>
  </si>
  <si>
    <t>ESTABILIZACION DE LOS SUELOS DE SUBRASANTE  CON GEOTEXTIL TEJIDO 2400</t>
  </si>
  <si>
    <t>MATERIALES VARIOS</t>
  </si>
  <si>
    <t>CAJEO</t>
  </si>
  <si>
    <t xml:space="preserve">3. PAVIMENTO </t>
  </si>
  <si>
    <t xml:space="preserve">MEJORAMIENTO DE LA SUBRASANTE CON ADICION DE MATEIRALES GRANULAR DE PRESTAMO PARA REMPLAZO </t>
  </si>
  <si>
    <t>T011</t>
  </si>
  <si>
    <t>REFERENCIA</t>
  </si>
  <si>
    <t>ANDEN</t>
  </si>
  <si>
    <t>TODA LA LONGITUD</t>
  </si>
  <si>
    <t xml:space="preserve">TUBERIA ALL </t>
  </si>
  <si>
    <t>TUBERIA ALL DE 12"</t>
  </si>
  <si>
    <t xml:space="preserve">SUMIDERO </t>
  </si>
  <si>
    <t xml:space="preserve">CAJA SUMIDERO ALL </t>
  </si>
  <si>
    <t>2.11</t>
  </si>
  <si>
    <t>2.12</t>
  </si>
  <si>
    <t xml:space="preserve">CAJA TIPO SUMIDERO </t>
  </si>
  <si>
    <t>TUBERIA NOVAFORT 300MM  PARA SUMIDEROS</t>
  </si>
  <si>
    <t>PAR-19</t>
  </si>
  <si>
    <t>CAJA DE INSPECCION RECTANGULAR 1*1 H=1.2M</t>
  </si>
  <si>
    <t>LLENO DE MATERIAL GRANULAR RIO PARA CIMIENTO DE LA TUBERIA</t>
  </si>
  <si>
    <t xml:space="preserve">LLENO CON MATERIAL DE PRESTAMO LIMO </t>
  </si>
  <si>
    <t>EQUI-2.10</t>
  </si>
  <si>
    <t>MAT-2.10</t>
  </si>
  <si>
    <t>TRAN-2.10</t>
  </si>
  <si>
    <t>MDEO-2.10</t>
  </si>
  <si>
    <t>FORMALETA PARA CAJA INT 60*60</t>
  </si>
  <si>
    <t>FORMALETA PARA TAPA</t>
  </si>
  <si>
    <t>2.10</t>
  </si>
  <si>
    <t>E032</t>
  </si>
  <si>
    <t>T012</t>
  </si>
  <si>
    <t>PAR-20</t>
  </si>
  <si>
    <t>FORMALETA PARA CAJA</t>
  </si>
  <si>
    <t>E033</t>
  </si>
  <si>
    <t>E034</t>
  </si>
  <si>
    <t>Herramienta menor 10% de la mano de obra</t>
  </si>
  <si>
    <t>330-1</t>
  </si>
  <si>
    <t>E036</t>
  </si>
  <si>
    <t>UND</t>
  </si>
  <si>
    <t>VALOR HORA/ACT.</t>
  </si>
  <si>
    <t>CALZADA</t>
  </si>
  <si>
    <t>630-13A</t>
  </si>
  <si>
    <t>TUBERIA NOVAFORT 30"</t>
  </si>
  <si>
    <t>BORDILLO</t>
  </si>
  <si>
    <t>VIA</t>
  </si>
  <si>
    <t>PAR-22</t>
  </si>
  <si>
    <t>M116</t>
  </si>
  <si>
    <t>M117</t>
  </si>
  <si>
    <t>M121</t>
  </si>
  <si>
    <t>T013</t>
  </si>
  <si>
    <t>M126</t>
  </si>
  <si>
    <t>M127</t>
  </si>
  <si>
    <t>M128</t>
  </si>
  <si>
    <t>M130</t>
  </si>
  <si>
    <t>5.6</t>
  </si>
  <si>
    <t>5.7</t>
  </si>
  <si>
    <t>M131</t>
  </si>
  <si>
    <t>5.8</t>
  </si>
  <si>
    <t>5.9</t>
  </si>
  <si>
    <t>5.10</t>
  </si>
  <si>
    <t>5.11</t>
  </si>
  <si>
    <t>TUBERIA ALL DE 16"</t>
  </si>
  <si>
    <t xml:space="preserve"> CALCULO DEL FACTOR MULTIPLICADOR</t>
  </si>
  <si>
    <t>A</t>
  </si>
  <si>
    <t>SALARIO BÁSICO MENSUAL (Nómina Total Mensual)</t>
  </si>
  <si>
    <t>B</t>
  </si>
  <si>
    <t>Cesantias</t>
  </si>
  <si>
    <t>Intereses sobre cesantias</t>
  </si>
  <si>
    <t>Vacaciones</t>
  </si>
  <si>
    <t>Prima Anual</t>
  </si>
  <si>
    <t>C</t>
  </si>
  <si>
    <t>Salud</t>
  </si>
  <si>
    <t>Pensión</t>
  </si>
  <si>
    <t>ICBF</t>
  </si>
  <si>
    <t>Cajas de compensación</t>
  </si>
  <si>
    <t>D</t>
  </si>
  <si>
    <t>OTROS</t>
  </si>
  <si>
    <t>Incapacidad no cubierta</t>
  </si>
  <si>
    <t>Dotación</t>
  </si>
  <si>
    <t>EQUI-2.12</t>
  </si>
  <si>
    <t>MAT-2.12</t>
  </si>
  <si>
    <t>TRAN-2.12</t>
  </si>
  <si>
    <t>MDEO-2.12</t>
  </si>
  <si>
    <t>LON</t>
  </si>
  <si>
    <t>DV_005</t>
  </si>
  <si>
    <t>SV_001</t>
  </si>
  <si>
    <t>DV_007</t>
  </si>
  <si>
    <t>DV_009</t>
  </si>
  <si>
    <t>DV_011</t>
  </si>
  <si>
    <t>DV_013</t>
  </si>
  <si>
    <t>DV_015</t>
  </si>
  <si>
    <t>CONCRETO REFORZADO 21MPA PARA VIGA DE CIERRE ANDENES, ZONAS VERDES</t>
  </si>
  <si>
    <t>PINTURA TIPO TRAFICO, RESALTOS Y CRUCES CICLORUTA</t>
  </si>
  <si>
    <t xml:space="preserve">SEÑAL VERTICAL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</si>
  <si>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</si>
  <si>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</si>
  <si>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</si>
  <si>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</si>
  <si>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</si>
  <si>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</si>
  <si>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</si>
  <si>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</si>
  <si>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</si>
  <si>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</si>
  <si>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 xml:space="preserve">CORDON </t>
  </si>
  <si>
    <t>ANTEJARD</t>
  </si>
  <si>
    <t xml:space="preserve">SECCION </t>
  </si>
  <si>
    <t>ESP LOSA</t>
  </si>
  <si>
    <t>ESP SUBBSE</t>
  </si>
  <si>
    <t>DEMOLICIÓN , ANDENES, BORDILLOS DE CONCRETO CONCRETOS EXISTENTES</t>
  </si>
  <si>
    <t>EJE</t>
  </si>
  <si>
    <t>TUBERIA NOVAFORT 600MM  PARA RED AGUAS LLUVIAS</t>
  </si>
  <si>
    <t>CAJA DE INSPECCION 1*1*1</t>
  </si>
  <si>
    <t>HORAS MES</t>
  </si>
  <si>
    <t># MESES</t>
  </si>
  <si>
    <t>SALRIO</t>
  </si>
  <si>
    <t>BONIFICACION</t>
  </si>
  <si>
    <t>AUXILIO</t>
  </si>
  <si>
    <t>% AUXILIO</t>
  </si>
  <si>
    <t>% DOMINICAL</t>
  </si>
  <si>
    <t>%PRESTACION</t>
  </si>
  <si>
    <t>%DOTACION Y MAS</t>
  </si>
  <si>
    <t>Tarifa/Hora/DIA</t>
  </si>
  <si>
    <t>MEJORAMIENTO CON CEMENTO SUB BASE GRANUALAR MATERIAL GRANULAR EXISTENTE</t>
  </si>
  <si>
    <t>MAT1</t>
  </si>
  <si>
    <t>MAT2</t>
  </si>
  <si>
    <t>M010</t>
  </si>
  <si>
    <t>M014</t>
  </si>
  <si>
    <t>M018</t>
  </si>
  <si>
    <t>M024</t>
  </si>
  <si>
    <t>VIAJE</t>
  </si>
  <si>
    <t>DV_016</t>
  </si>
  <si>
    <t>DV_017</t>
  </si>
  <si>
    <t>DV_018</t>
  </si>
  <si>
    <t>DV_019</t>
  </si>
  <si>
    <t>DV_020</t>
  </si>
  <si>
    <t>DV_021</t>
  </si>
  <si>
    <t>DV_022</t>
  </si>
  <si>
    <t>DV_023</t>
  </si>
  <si>
    <t>DV_024</t>
  </si>
  <si>
    <t>DV_025</t>
  </si>
  <si>
    <t>DV_026</t>
  </si>
  <si>
    <t>DV_027</t>
  </si>
  <si>
    <t>DV_028</t>
  </si>
  <si>
    <t>DV_029</t>
  </si>
  <si>
    <t>DV_030</t>
  </si>
  <si>
    <t>DV_031</t>
  </si>
  <si>
    <t>DV_032</t>
  </si>
  <si>
    <t>DV_033</t>
  </si>
  <si>
    <t>DV_034</t>
  </si>
  <si>
    <t>DV_035</t>
  </si>
  <si>
    <t>DV_036</t>
  </si>
  <si>
    <t>DV_037</t>
  </si>
  <si>
    <t>DV_038</t>
  </si>
  <si>
    <t>DV_039</t>
  </si>
  <si>
    <t>DV_040</t>
  </si>
  <si>
    <t>DV_041</t>
  </si>
  <si>
    <t>DV_042</t>
  </si>
  <si>
    <t>DV_043</t>
  </si>
  <si>
    <t>DV_044</t>
  </si>
  <si>
    <t>DV_045</t>
  </si>
  <si>
    <t>DV_046</t>
  </si>
  <si>
    <t>DV_047</t>
  </si>
  <si>
    <t>DV_048</t>
  </si>
  <si>
    <t>DV_049</t>
  </si>
  <si>
    <t>DV_050</t>
  </si>
  <si>
    <t>DV_051</t>
  </si>
  <si>
    <t>DV_052</t>
  </si>
  <si>
    <t>DV_053</t>
  </si>
  <si>
    <t>DV_054</t>
  </si>
  <si>
    <t>DV_055</t>
  </si>
  <si>
    <t>DV_056</t>
  </si>
  <si>
    <t>DV_057</t>
  </si>
  <si>
    <t>DV_058</t>
  </si>
  <si>
    <t>DV_059</t>
  </si>
  <si>
    <t>DV_060</t>
  </si>
  <si>
    <t>DV_061</t>
  </si>
  <si>
    <t>DV_062</t>
  </si>
  <si>
    <t>DV_063</t>
  </si>
  <si>
    <t>DV_064</t>
  </si>
  <si>
    <t>DV_065</t>
  </si>
  <si>
    <t>DV_066</t>
  </si>
  <si>
    <t>DV_067</t>
  </si>
  <si>
    <t>DV_068</t>
  </si>
  <si>
    <t>DV_069</t>
  </si>
  <si>
    <t>DV_070</t>
  </si>
  <si>
    <t>DV_071</t>
  </si>
  <si>
    <t>DV_072</t>
  </si>
  <si>
    <t>DV_073</t>
  </si>
  <si>
    <t>DV_074</t>
  </si>
  <si>
    <t>DV_075</t>
  </si>
  <si>
    <t>DV_076</t>
  </si>
  <si>
    <t>DV_077</t>
  </si>
  <si>
    <t>DV_078</t>
  </si>
  <si>
    <t>DV_079</t>
  </si>
  <si>
    <t>DV_080</t>
  </si>
  <si>
    <t>DV_081</t>
  </si>
  <si>
    <t>DV_082</t>
  </si>
  <si>
    <t>DV_083</t>
  </si>
  <si>
    <t>DV_TOTAL1</t>
  </si>
  <si>
    <t>DV_TOTAL2</t>
  </si>
  <si>
    <t>TODAS LAS VIAS</t>
  </si>
  <si>
    <t>PAVIMENTO EN CONCRETO HIDRAULICO MR 39 Mpa</t>
  </si>
  <si>
    <t>DV_TOTAL3</t>
  </si>
  <si>
    <t>DV_TOTAL4</t>
  </si>
  <si>
    <t>DV_084</t>
  </si>
  <si>
    <t>DV_085</t>
  </si>
  <si>
    <t>DV_086</t>
  </si>
  <si>
    <t>DV_087</t>
  </si>
  <si>
    <t>DV_088</t>
  </si>
  <si>
    <t>DV_089</t>
  </si>
  <si>
    <t>DV_090</t>
  </si>
  <si>
    <t>DV_091</t>
  </si>
  <si>
    <t>DV_092</t>
  </si>
  <si>
    <t>DV_093</t>
  </si>
  <si>
    <t>DV_094</t>
  </si>
  <si>
    <t>DV_095</t>
  </si>
  <si>
    <t>DV_096</t>
  </si>
  <si>
    <t>DV_097</t>
  </si>
  <si>
    <t>DV_098</t>
  </si>
  <si>
    <t>DV_099</t>
  </si>
  <si>
    <t>DV_100</t>
  </si>
  <si>
    <t>DV_101</t>
  </si>
  <si>
    <t>DV_102</t>
  </si>
  <si>
    <t>DV_105</t>
  </si>
  <si>
    <t>DV_106</t>
  </si>
  <si>
    <t>DV_107</t>
  </si>
  <si>
    <t>DV_108</t>
  </si>
  <si>
    <t>DV_109</t>
  </si>
  <si>
    <t>DV_110</t>
  </si>
  <si>
    <t>DV_111</t>
  </si>
  <si>
    <t>DV_112</t>
  </si>
  <si>
    <t>DV_113</t>
  </si>
  <si>
    <t>DV_114</t>
  </si>
  <si>
    <t>DV_115</t>
  </si>
  <si>
    <t>DV_116</t>
  </si>
  <si>
    <t>DV_117</t>
  </si>
  <si>
    <t>DV_TOTAL5</t>
  </si>
  <si>
    <t>DV_TOTAL6</t>
  </si>
  <si>
    <t>DV_TOTAL7</t>
  </si>
  <si>
    <t>DV_120</t>
  </si>
  <si>
    <t>DV_121</t>
  </si>
  <si>
    <t>DV_122</t>
  </si>
  <si>
    <t>DV_123</t>
  </si>
  <si>
    <t>DV_124</t>
  </si>
  <si>
    <t>DV_125</t>
  </si>
  <si>
    <t>DV_126</t>
  </si>
  <si>
    <t>DV_127</t>
  </si>
  <si>
    <t>DV_128</t>
  </si>
  <si>
    <t>DV_129</t>
  </si>
  <si>
    <t>DV_130</t>
  </si>
  <si>
    <t>DV_133</t>
  </si>
  <si>
    <t>DV_134</t>
  </si>
  <si>
    <t>DV_135</t>
  </si>
  <si>
    <t>DV_136</t>
  </si>
  <si>
    <t>DV_137</t>
  </si>
  <si>
    <t>DV_138</t>
  </si>
  <si>
    <t>DV_139</t>
  </si>
  <si>
    <t>DV_140</t>
  </si>
  <si>
    <t>DV_141</t>
  </si>
  <si>
    <t>DV_142</t>
  </si>
  <si>
    <t>DV_143</t>
  </si>
  <si>
    <t>DV_146</t>
  </si>
  <si>
    <t>DV_147</t>
  </si>
  <si>
    <t>DV_TOTALA</t>
  </si>
  <si>
    <t>DV_TOTAL8</t>
  </si>
  <si>
    <t>DV_TOTAL9</t>
  </si>
  <si>
    <t>DV_TOTAL10</t>
  </si>
  <si>
    <t>DV_TOTALB</t>
  </si>
  <si>
    <t>DV_TOTAL11</t>
  </si>
  <si>
    <t>DV_TOTAL12</t>
  </si>
  <si>
    <t>DV_TOTAL13</t>
  </si>
  <si>
    <t>DV_TOTAL14</t>
  </si>
  <si>
    <t>DV_TOTAL15</t>
  </si>
  <si>
    <t>CALLE 102C ENTRE CARRERA 19 - 20</t>
  </si>
  <si>
    <t>CALLE 102C ENTRE CARRERA 19 Y 21</t>
  </si>
  <si>
    <t>CALLE 102B ENTRE CARRERA 19 Y 21</t>
  </si>
  <si>
    <t>CALLE 102B ENTRE CARRERA 19 - 20</t>
  </si>
  <si>
    <t>CALLE 102B ENTRE CARRERA 20 - 21</t>
  </si>
  <si>
    <t>CARRERA 20 ENTRE CALLE 102 B Y 102 D</t>
  </si>
  <si>
    <t>CARRERA 20 ENTRE CALLE 102 B Y 102 C</t>
  </si>
  <si>
    <t>CARRERA 20 ENTRE CALLE 102 C Y 102D</t>
  </si>
  <si>
    <t>DV_TOTAL16</t>
  </si>
  <si>
    <t>CARRERA 21 ENTRE CALLE 102 B Y 102 D</t>
  </si>
  <si>
    <t>CARRERA 21 ENTRE CALLE 102 C Y 102D</t>
  </si>
  <si>
    <t>DV_TOTALC</t>
  </si>
  <si>
    <t>DV_TOTALD</t>
  </si>
  <si>
    <t>BARRIO CIUDADELA INDUSTRIAL</t>
  </si>
  <si>
    <t>DV_148</t>
  </si>
  <si>
    <t>DV_149</t>
  </si>
  <si>
    <t>DV_150</t>
  </si>
  <si>
    <t>DV_151</t>
  </si>
  <si>
    <t>DV_152</t>
  </si>
  <si>
    <t>DV_155</t>
  </si>
  <si>
    <t>DV_156</t>
  </si>
  <si>
    <t>DV_157</t>
  </si>
  <si>
    <t>DV_158</t>
  </si>
  <si>
    <t>DV_159</t>
  </si>
  <si>
    <t>DV_160</t>
  </si>
  <si>
    <t>DV_161</t>
  </si>
  <si>
    <t>CALLE 102B ENTRE CARRERA 20 - 21A</t>
  </si>
  <si>
    <t>DV_164</t>
  </si>
  <si>
    <t>DV_165</t>
  </si>
  <si>
    <t>DV_166</t>
  </si>
  <si>
    <t>DV_167</t>
  </si>
  <si>
    <t>DV_168</t>
  </si>
  <si>
    <t>DV_169</t>
  </si>
  <si>
    <t>DV_170</t>
  </si>
  <si>
    <t>DV_171</t>
  </si>
  <si>
    <t>CALLE 102B ENTRE CARRERA 17 - 19</t>
  </si>
  <si>
    <t>CALLE 102A ENTRE CARRERA 17 - 19</t>
  </si>
  <si>
    <t>CALLE 102B ENTRE CARRERA 17 Y 19</t>
  </si>
  <si>
    <t>CALLE 102A ENTRE CARRERA 17 Y 19</t>
  </si>
  <si>
    <t>CALLE 102 ENTRE CARRERA 17 Y 19</t>
  </si>
  <si>
    <t>CALLE 102 ENTRE CARRERA 17 - 17A</t>
  </si>
  <si>
    <t>CALLE 102 ENTRE CARRERA 17A - 19</t>
  </si>
  <si>
    <t>CALLE 101 ENTRE CARRERA 17 - 17A</t>
  </si>
  <si>
    <t>CALLE 101 ENTRE CARRERA 17 Y 17A</t>
  </si>
  <si>
    <t>DV_TOTAL17</t>
  </si>
  <si>
    <t>DV_TOTAL18</t>
  </si>
  <si>
    <t>DV_TOTAL19</t>
  </si>
  <si>
    <t>DV_TOTAL20</t>
  </si>
  <si>
    <t>DV_TOTAL21</t>
  </si>
  <si>
    <t>DV_TOTAL22</t>
  </si>
  <si>
    <t>CRA 17A ENTRE CALLE 101 Y 102</t>
  </si>
  <si>
    <t>DV_TOTAL23</t>
  </si>
  <si>
    <t>CRA 17 ENTRE CALLE 100 Y 101</t>
  </si>
  <si>
    <t>CRA 17 ENTRE CALLE 101 Y 102</t>
  </si>
  <si>
    <t>CRA 17 ENTRE CALLE 102 Y 102A</t>
  </si>
  <si>
    <t>CRA 17 ENTRE CALLE 102A Y 102B</t>
  </si>
  <si>
    <t>CARRERA 17 ENTRE CALLE 100 102B</t>
  </si>
  <si>
    <t>BARRIO JUAN XXIII</t>
  </si>
  <si>
    <t>DV_172</t>
  </si>
  <si>
    <t>DV_173</t>
  </si>
  <si>
    <t>DV_174</t>
  </si>
  <si>
    <t>DV_TOTAL24</t>
  </si>
  <si>
    <t>CALLE 97A ENTRE CRA 19-20</t>
  </si>
  <si>
    <t>CALLE 97A ENTRE CRA 20-21</t>
  </si>
  <si>
    <t>CALLE 97A ENTRE CRA 21-22</t>
  </si>
  <si>
    <t>DV_TOTAL25</t>
  </si>
  <si>
    <t>BARRIO EL BOSQUE</t>
  </si>
  <si>
    <t>CALLE 97A ENTRE 19 Y 23</t>
  </si>
  <si>
    <t>DV_177</t>
  </si>
  <si>
    <t>DV_178</t>
  </si>
  <si>
    <t>DV_179</t>
  </si>
  <si>
    <t>DV_180</t>
  </si>
  <si>
    <t>DV_181</t>
  </si>
  <si>
    <t>DV_182</t>
  </si>
  <si>
    <t>DV_183</t>
  </si>
  <si>
    <t>DV_184</t>
  </si>
  <si>
    <t>DV_185</t>
  </si>
  <si>
    <t>DV_186</t>
  </si>
  <si>
    <t>DV_187</t>
  </si>
  <si>
    <t>DV_188</t>
  </si>
  <si>
    <t>CALLE 97 ENTRE CRA 19-20</t>
  </si>
  <si>
    <t>DV_189</t>
  </si>
  <si>
    <t>DV_190</t>
  </si>
  <si>
    <t>CALLE 97 ENTRE CRA 15-16</t>
  </si>
  <si>
    <t>DV_191</t>
  </si>
  <si>
    <t>DV_192</t>
  </si>
  <si>
    <t>CALLE 97 ENTRE CRA 16-17</t>
  </si>
  <si>
    <t>CALLE 97 ENTRE CRA 20-21</t>
  </si>
  <si>
    <t>CALLE 97 ENTRE CRA 21-22</t>
  </si>
  <si>
    <t>CALLE 97 ENTRE CRA 17-19</t>
  </si>
  <si>
    <t>DV_193</t>
  </si>
  <si>
    <t>DV_194</t>
  </si>
  <si>
    <t>DV_195</t>
  </si>
  <si>
    <t>DV_196</t>
  </si>
  <si>
    <t>DV_197</t>
  </si>
  <si>
    <t>DV_198</t>
  </si>
  <si>
    <t>DV_199</t>
  </si>
  <si>
    <t>DV_200</t>
  </si>
  <si>
    <t>DV_201</t>
  </si>
  <si>
    <t>DV_202</t>
  </si>
  <si>
    <t>DV_203</t>
  </si>
  <si>
    <t>DV_204</t>
  </si>
  <si>
    <t>DV_205</t>
  </si>
  <si>
    <t>DV_206</t>
  </si>
  <si>
    <t>DV_207</t>
  </si>
  <si>
    <t>DV_TOTAL26</t>
  </si>
  <si>
    <t>CALLE 96A ENTRE CRA 17-19</t>
  </si>
  <si>
    <t>CALLE 96A ENTRE CRA 19-20</t>
  </si>
  <si>
    <t>CALLE 96A ENTRE CRA 20-21</t>
  </si>
  <si>
    <t>CALLE 96A ENTRE CRA 21-22</t>
  </si>
  <si>
    <t>CALLE 97 ENTRE 19 Y 23</t>
  </si>
  <si>
    <t>CALLE 96 ENTRE 19 Y 23</t>
  </si>
  <si>
    <t>CALLE 96A ENTRE 19 Y 23</t>
  </si>
  <si>
    <t>DV_TOTAL27</t>
  </si>
  <si>
    <t>DV_208</t>
  </si>
  <si>
    <t>DV_209</t>
  </si>
  <si>
    <t>DV_210</t>
  </si>
  <si>
    <t>DV_211</t>
  </si>
  <si>
    <t>DV_212</t>
  </si>
  <si>
    <t>DV_213</t>
  </si>
  <si>
    <t>CALLE 96A ENTRE CRA 15-17</t>
  </si>
  <si>
    <t>CALLE 96 ENTRE CRA 15-17</t>
  </si>
  <si>
    <t>CALLE 96 ENTRE CRA 17-19</t>
  </si>
  <si>
    <t>CALLE 96 ENTRE CRA 19-20</t>
  </si>
  <si>
    <t>CALLE 96 ENTRE CRA 20-21</t>
  </si>
  <si>
    <t>CALLE 96 ENTRE CRA 21-22</t>
  </si>
  <si>
    <t>DV_TOTAL28</t>
  </si>
  <si>
    <t>DV_TOTAL29</t>
  </si>
  <si>
    <t>CALLE 95 ENTRE CRA 19-20</t>
  </si>
  <si>
    <t>CALLE 95 ENTRE CRA 20-21</t>
  </si>
  <si>
    <t>CALLE 95 ENTRE CRA 21-22</t>
  </si>
  <si>
    <t>DV_TOTAL30</t>
  </si>
  <si>
    <t>CALLE 95 ENTRE 19 Y 23</t>
  </si>
  <si>
    <t>CALLE 94 ENTRE CRA 19-20</t>
  </si>
  <si>
    <t>CALLE 94 ENTRE CRA 20-21</t>
  </si>
  <si>
    <t>CALLE 94 ENTRE CRA 21-22</t>
  </si>
  <si>
    <t>CALLE 94 ENTRE 19 Y 23</t>
  </si>
  <si>
    <t>CALLE 93 ENTRE CRA 15-17A</t>
  </si>
  <si>
    <t>CALLE 93 ENTRE CRA 17A-19</t>
  </si>
  <si>
    <t>CALLE 93 ENTRE CRA 19-20</t>
  </si>
  <si>
    <t>CALLE 93 ENTRE CRA 20-21</t>
  </si>
  <si>
    <t>CALLE 93 ENTRE CRA 21-22</t>
  </si>
  <si>
    <t>CALLE 93 ENTRE 15 Y 23</t>
  </si>
  <si>
    <t>CARRERA 17 ENTRE CALLE 94 Y 95</t>
  </si>
  <si>
    <t>CARRERA 17 ENTRE CALLE 95 Y 96</t>
  </si>
  <si>
    <t>CARRERA 17 ENTRE CALLE 96 Y 96A</t>
  </si>
  <si>
    <t>CARRERA 17 ENTRE CALLE 96A Y 97</t>
  </si>
  <si>
    <t>CARRERA 17 ENTRE CALLE 97 Y 97A</t>
  </si>
  <si>
    <t>CARRERA 17 ENTRE CALLE 94 Y 97A</t>
  </si>
  <si>
    <t>CARRERA 20 ENTRE CALLE 93 Y 94</t>
  </si>
  <si>
    <t>CARRERA 20 ENTRE CALLE 94 Y 95</t>
  </si>
  <si>
    <t>CARRERA 20 ENTRE CALLE 95 Y 96</t>
  </si>
  <si>
    <t>CARRERA 20 ENTRE CALLE 96 Y 96A</t>
  </si>
  <si>
    <t>CARRERA 20 ENTRE CALLE 96A Y 97</t>
  </si>
  <si>
    <t>CARRERA 20 ENTRE CALLE 97 Y 97A</t>
  </si>
  <si>
    <t>CARRERA 21 ENTRE CALLE 93 Y 94</t>
  </si>
  <si>
    <t>CARRERA 21 ENTRE CALLE 94 Y 95</t>
  </si>
  <si>
    <t>CARRERA 21 ENTRE CALLE 95 Y 96</t>
  </si>
  <si>
    <t>CARRERA 21 ENTRE CALLE 96 Y 96A</t>
  </si>
  <si>
    <t>CARRERA 21 ENTRE CALLE 96A Y 97</t>
  </si>
  <si>
    <t>CARRERA 21 ENTRE CALLE 97 Y 97A</t>
  </si>
  <si>
    <t>CARRERA 21 ENTRE CALLE 93 Y 97A</t>
  </si>
  <si>
    <t>CARRERA 20 ENTRE CALLE 93 Y 97A</t>
  </si>
  <si>
    <t>CALLE 99E ENTRE CRA 16A-LOTE</t>
  </si>
  <si>
    <t>CALLE 99E ENTRE CRA 16A Y 17</t>
  </si>
  <si>
    <t>CRA 16A</t>
  </si>
  <si>
    <t>CALLE 99E ENTRE LOTE Y CRA 17</t>
  </si>
  <si>
    <t>CALLE 99D ENTRE CRA 16A Y 17</t>
  </si>
  <si>
    <t>CALLE 99D ENTRE LOTE Y CRA 17</t>
  </si>
  <si>
    <t>CALLE 99C ENTRE CRA 16A Y 17</t>
  </si>
  <si>
    <t>CALLE 99C ENTRE LOTE Y CRA 17</t>
  </si>
  <si>
    <t>CALLE 99B ENTRE CRA 16A Y 17</t>
  </si>
  <si>
    <t>CALLE 99A ENTRE CRA 16A Y 17</t>
  </si>
  <si>
    <t>CALLE 99A ENTRE CRA 16A Y 16</t>
  </si>
  <si>
    <t>CALLE 99A ENTRE CRA 17 Y 19</t>
  </si>
  <si>
    <t xml:space="preserve">CALLE 99AA ENTRE CRA 17 Y 19 </t>
  </si>
  <si>
    <t>CALLE 99AA ENTRE LOTE Y CRA 17</t>
  </si>
  <si>
    <t>CARRERA 17 ENTRE CALLE 99 Y 99AA</t>
  </si>
  <si>
    <t>CARRERA 17 ENTRE CALLE 99AA Y 99A</t>
  </si>
  <si>
    <t>CARRERA 17 ENTRE CALLE 99A Y 99B</t>
  </si>
  <si>
    <t>CARRERA 17 ENTRE CALLE 99B Y 99E</t>
  </si>
  <si>
    <t>CARRERA 17 ENTRE CALLE 99E Y 99F</t>
  </si>
  <si>
    <t>CARRERA 17 ENTRE CALLE 99F Y 100</t>
  </si>
  <si>
    <t>BARRIO LAS DELICIAS</t>
  </si>
  <si>
    <t>CAN/LAD1</t>
  </si>
  <si>
    <t>CAN/LAD2</t>
  </si>
  <si>
    <t>1 Ø 1/2 @ 0,3 AMBAS CARAS</t>
  </si>
  <si>
    <t>PESO</t>
  </si>
  <si>
    <t>C/CRUCE</t>
  </si>
  <si>
    <t>INTERVENTORIA 5%</t>
  </si>
  <si>
    <t>FEBRERO</t>
  </si>
  <si>
    <t>MARZO</t>
  </si>
  <si>
    <t>2.13</t>
  </si>
  <si>
    <t>2.14</t>
  </si>
  <si>
    <t>TUBERIA NOVAFORT 400MM  PARA RED AGUAS LLUVIAS</t>
  </si>
  <si>
    <t>TUBERIA NOVAFORT 450MM  PARA RED AGUAS LLUVIAS</t>
  </si>
  <si>
    <t xml:space="preserve">TUBERIA 300MM </t>
  </si>
  <si>
    <t xml:space="preserve">TUBERIA 400MM </t>
  </si>
  <si>
    <t xml:space="preserve">TUBERIA 450MM </t>
  </si>
  <si>
    <t xml:space="preserve">TUBERIA 600MM </t>
  </si>
  <si>
    <t>ABSCISA F</t>
  </si>
  <si>
    <t>TUBERIA ALL DE 18"</t>
  </si>
  <si>
    <t>TUBERIA ALL DE 24"</t>
  </si>
  <si>
    <t>CRA 19 * 102C</t>
  </si>
  <si>
    <t>CRA 20 * 102C</t>
  </si>
  <si>
    <t xml:space="preserve">CRA 21 * 102C </t>
  </si>
  <si>
    <t>CRA 19 * 102B</t>
  </si>
  <si>
    <t>CRA 20 * 102B</t>
  </si>
  <si>
    <t>CRA 21 * 102B</t>
  </si>
  <si>
    <t>CRA 21A * 102B</t>
  </si>
  <si>
    <t>CLL 102B * CRA 20</t>
  </si>
  <si>
    <t>CLL 102C * CRA 20</t>
  </si>
  <si>
    <t>CLL 102D * CRA 20</t>
  </si>
  <si>
    <t>CARRERA 21 ENTRE CALLE 102 B Y 102 C</t>
  </si>
  <si>
    <t>CLL 102B * CRA 21</t>
  </si>
  <si>
    <t>CLL 102C * CRA 21</t>
  </si>
  <si>
    <t>CLL 102D * CRA 21</t>
  </si>
  <si>
    <t>CRA 20 * CALLE 102C</t>
  </si>
  <si>
    <t>CRA 21* CALLE 102C</t>
  </si>
  <si>
    <t>CRA 17 * CLL  102A</t>
  </si>
  <si>
    <t>CRA 19 * CLL  102A</t>
  </si>
  <si>
    <t>CRA 17 * CALLE 102B</t>
  </si>
  <si>
    <t>CRA 19 * CALLE 102B</t>
  </si>
  <si>
    <t>CRA 17 * CALLE 102</t>
  </si>
  <si>
    <t>CRA 17A * CALLE 102</t>
  </si>
  <si>
    <t>CRA 19 * CALLE 102</t>
  </si>
  <si>
    <t>CRA 17 * CALLE 101</t>
  </si>
  <si>
    <t>CRA 17A * CALLE 101</t>
  </si>
  <si>
    <t>CLL 101 * CRA 17A</t>
  </si>
  <si>
    <t>CLL 102 * CRA 17A</t>
  </si>
  <si>
    <t>CLL 100 * CRA 17</t>
  </si>
  <si>
    <t>CLL 101 * CRA 17</t>
  </si>
  <si>
    <t>CLL 102 * CRA 17</t>
  </si>
  <si>
    <t>CLL 102A * CRA 17</t>
  </si>
  <si>
    <t>CLL 102B * CRA 17</t>
  </si>
  <si>
    <t>CRA 16A * CLL 99E</t>
  </si>
  <si>
    <t>LOTE *CLL99E</t>
  </si>
  <si>
    <t>CRA 17 * CLL 99E</t>
  </si>
  <si>
    <t>CRA 16A * CLL 99D</t>
  </si>
  <si>
    <t>CRA 17 * CLL 99D</t>
  </si>
  <si>
    <t>CRA 16A * CLL 99C</t>
  </si>
  <si>
    <t>CRA 17 * CLL 99C</t>
  </si>
  <si>
    <t>CALLE 99B ENTRE LOTE Y CRA 17</t>
  </si>
  <si>
    <t>CRA 17 * CALLE 99B</t>
  </si>
  <si>
    <t>CRA 16 * CALLE 99A</t>
  </si>
  <si>
    <t>CRA 16A * CALLE 99A</t>
  </si>
  <si>
    <t xml:space="preserve">CRA 17 * CALLE 99A  </t>
  </si>
  <si>
    <t>CRA 19 * CALLE 99A</t>
  </si>
  <si>
    <t>CRA 17 * CALLE 99C</t>
  </si>
  <si>
    <t>CRA 19 * CALLE 99C</t>
  </si>
  <si>
    <t>CLL99 * CRA 17</t>
  </si>
  <si>
    <t>CLL99AA * CRA 17</t>
  </si>
  <si>
    <t>CLL99A * CRA 17</t>
  </si>
  <si>
    <t>CLL99B * CRA 17</t>
  </si>
  <si>
    <t>CLL99E * CRA 17</t>
  </si>
  <si>
    <t>CLL99F * CRA 17</t>
  </si>
  <si>
    <t>CLL100 * CRA 17</t>
  </si>
  <si>
    <t>CLL99AA * CRA 17A</t>
  </si>
  <si>
    <t>CLL99A * CRA 17A</t>
  </si>
  <si>
    <t>CLL99B * CRA 17A</t>
  </si>
  <si>
    <t>CRA 15 * CLL97</t>
  </si>
  <si>
    <t>CRA 15 * CLL96</t>
  </si>
  <si>
    <t>CRA 19 * CLL97A</t>
  </si>
  <si>
    <t xml:space="preserve">CRA 20 * CLL97A  </t>
  </si>
  <si>
    <t>CRA 21 * CLL97A</t>
  </si>
  <si>
    <t>CRA 22 * CLL97A</t>
  </si>
  <si>
    <t>CRA 16 * CLL97</t>
  </si>
  <si>
    <t>CRA 17 * CLL97</t>
  </si>
  <si>
    <t>CRA 19 * CLL97</t>
  </si>
  <si>
    <t>CRA 20 * CLL97</t>
  </si>
  <si>
    <t>CRA 21 * CLL97</t>
  </si>
  <si>
    <t>CRA 22 * CLL97</t>
  </si>
  <si>
    <t>CRA 15 * CLL96A</t>
  </si>
  <si>
    <t>CRA 17 * CLL96A</t>
  </si>
  <si>
    <t>CRA 19 * CLL96A</t>
  </si>
  <si>
    <t>CRA 20 * CLL96A</t>
  </si>
  <si>
    <t>CRA 21 * CLL96A</t>
  </si>
  <si>
    <t>CRA 22 * CLL96A</t>
  </si>
  <si>
    <t>CRA 17 * CLL96</t>
  </si>
  <si>
    <t>CRA 19 * CLL96</t>
  </si>
  <si>
    <t>CRA 20 * CLL96</t>
  </si>
  <si>
    <t>CRA 21 * CLL96</t>
  </si>
  <si>
    <t>CRA 22 * CLL96</t>
  </si>
  <si>
    <t>CRA 19 * CLL95</t>
  </si>
  <si>
    <t>CRA 20 * CLL95</t>
  </si>
  <si>
    <t>CRA 21 * CLL95</t>
  </si>
  <si>
    <t>CRA 22 * CLL95</t>
  </si>
  <si>
    <t>CRA 19 * CLL94</t>
  </si>
  <si>
    <t>CRA 20 * CLL94</t>
  </si>
  <si>
    <t>CRA 21 * CLL94</t>
  </si>
  <si>
    <t>CRA 22 * CLL94</t>
  </si>
  <si>
    <t>CRA 15 * CLL93</t>
  </si>
  <si>
    <t>CRA 17A * CLL93</t>
  </si>
  <si>
    <t>CRA 19 * CLL93</t>
  </si>
  <si>
    <t>CRA 20 * CLL93</t>
  </si>
  <si>
    <t>CRA 21 * CLL93</t>
  </si>
  <si>
    <t>CRA 22 * CLL93</t>
  </si>
  <si>
    <t>CLL 94 * CRA 17</t>
  </si>
  <si>
    <t>CLL 95 * CRA 17</t>
  </si>
  <si>
    <t>CLL 96 * CRA 17</t>
  </si>
  <si>
    <t>CLL 96A * CRA 17</t>
  </si>
  <si>
    <t>CLL 97 * CRA 17</t>
  </si>
  <si>
    <t>CLL 97A * CRA 17</t>
  </si>
  <si>
    <t>CLL 93 * CRA 20</t>
  </si>
  <si>
    <t>CLL 94 * CRA 20</t>
  </si>
  <si>
    <t>CLL 95 * CRA 20</t>
  </si>
  <si>
    <t>CLL 96 * CRA 20</t>
  </si>
  <si>
    <t>CLL 96A * CRA 20</t>
  </si>
  <si>
    <t>CLL 97 * CRA 20</t>
  </si>
  <si>
    <t>CLL 97A * CRA 20</t>
  </si>
  <si>
    <t>CLL 93 * CRA 21</t>
  </si>
  <si>
    <t>CLL 94 * CRA 21</t>
  </si>
  <si>
    <t>CLL 95 * CRA 21</t>
  </si>
  <si>
    <t>CLL 96 * CRA 21</t>
  </si>
  <si>
    <t>CLL 96A * CRA 21</t>
  </si>
  <si>
    <t>CLL 97 * CRA 21</t>
  </si>
  <si>
    <t>CLL 97A * CRA 21</t>
  </si>
  <si>
    <t>ANDEN EN CONCRE TEXTURIADO CON TABLETA 20*20 TACTIL Y 10*20 SEÑALIZADO</t>
  </si>
  <si>
    <t>RESALTOS</t>
  </si>
  <si>
    <t>ACCESO DISCAPACITADO</t>
  </si>
  <si>
    <t>LOCALIZACIÓN, REPLANTEO Y PLANO RECORD</t>
  </si>
  <si>
    <t>ANDEN INC VIGA</t>
  </si>
  <si>
    <t xml:space="preserve">EXCAVACIONES VARIAS EN MATERIAL COMUN </t>
  </si>
  <si>
    <t>804C-EPM</t>
  </si>
  <si>
    <t>EQUI-2.13</t>
  </si>
  <si>
    <t>EQUI-2.14</t>
  </si>
  <si>
    <t>MAT-2.14</t>
  </si>
  <si>
    <t>TRAN-2.14</t>
  </si>
  <si>
    <t>MDEO-2.14</t>
  </si>
  <si>
    <t>TRAN-2.13</t>
  </si>
  <si>
    <t>MAT-2.13</t>
  </si>
  <si>
    <t>MDEO-2.13</t>
  </si>
  <si>
    <t>CLL99  * CRA 17A</t>
  </si>
  <si>
    <t>1&amp;30</t>
  </si>
  <si>
    <t>T2 BB C16" CLL94 ENTRE CRA 21 Y 22</t>
  </si>
  <si>
    <t>T2 BB C16" CRA22 ENTRE CLL 94 Y 95</t>
  </si>
  <si>
    <t>T2 BB C16" CRA22 ENTRE CLL 94 Y 93</t>
  </si>
  <si>
    <t>T2 BB C16" CRA21 ENTRE CLL 94 Y 91</t>
  </si>
  <si>
    <t>T2 BB C16" CRA21 ENTRE CLL 94 Y 89</t>
  </si>
  <si>
    <t>T2 BB C16" CRA20 ENTRE CLL 94 Y 87</t>
  </si>
  <si>
    <t>T2 BB C16" CRA20 ENTRE CLL 94 Y 85</t>
  </si>
  <si>
    <t>T2 BB C16" CLL96 ENTRE CRA 21 Y 22</t>
  </si>
  <si>
    <t>T2 BB C16" CLL97A ENTRE CRA 21 Y 22</t>
  </si>
  <si>
    <t>T2 BB C16" CRA22 ENTRE CLL 97 Y 97A</t>
  </si>
  <si>
    <t>T2 BB C16" CRA21 ENTRE CLL 97 Y 97A</t>
  </si>
  <si>
    <t>T2 BB C16" CRA21 ENTRE CLL 94 Y 95</t>
  </si>
  <si>
    <t>T2 BB C16" CRA20 ENTRE CLL 97 Y 97A</t>
  </si>
  <si>
    <t>T2 BB C16" CRA20 ENTRE CLL 94 Y 95</t>
  </si>
  <si>
    <t>T2 BB C18" CLL94 ENTRE CRA 19 Y 20</t>
  </si>
  <si>
    <t>T2 BB C18" CLL94 ENTRE CRA 20 Y 21</t>
  </si>
  <si>
    <t>T2 BB C18" CLL96 ENTRE CRA 19 Y 20</t>
  </si>
  <si>
    <t>T2 BB C18" CLL96 ENTRE CRA 20 Y 21</t>
  </si>
  <si>
    <t>T2 BB C18" CLL97A ENTRE CRA 19 Y 20</t>
  </si>
  <si>
    <t>T2 BB C18" CLL97A ENTRE CRA 20 Y 21</t>
  </si>
  <si>
    <t>T4 BD C16" CRA17 ENTRE CLL 100 Y 99F</t>
  </si>
  <si>
    <t>T4 BD C16" CRA17 ENTRE CLL 99F Y 99E</t>
  </si>
  <si>
    <t>T4 BD C16" CRA17 ENTRE CLL 99D Y 99E</t>
  </si>
  <si>
    <t>T4 BD C16" CRA17 ENTRE CLL 99D Y 99B</t>
  </si>
  <si>
    <t>T4 BD C16" CRA17 ENTRE CLL 99B Y 99A</t>
  </si>
  <si>
    <t>T4 BD C16" CLL 99E</t>
  </si>
  <si>
    <t>T5 BD C16" CRA20 ENTRE 102B Y 102D</t>
  </si>
  <si>
    <t>T5 BD C16" CLL102B ENTRE CRA 20 Y 21</t>
  </si>
  <si>
    <t>T5 BD C16" CLL102D ENTRE CRA 20 Y 21</t>
  </si>
  <si>
    <t>PAVIMENTA TU BARRIO</t>
  </si>
  <si>
    <t>T2 BB C24" CRA 19 ENTRE CALLE 92 Y 91</t>
  </si>
  <si>
    <t>T2 BB C24" CRA 19 ENTRE CALLE 93 Y 92</t>
  </si>
  <si>
    <t>T2 BB C24" CRA 19 ENTRE CALLE 94 Y 93</t>
  </si>
  <si>
    <t xml:space="preserve">T2 BB C24" CRA 19 ENTRE CALLE 91 Y canal </t>
  </si>
  <si>
    <t>ING DIRECTOR</t>
  </si>
  <si>
    <t>ING CONTROL Y PLANEACION</t>
  </si>
  <si>
    <t>ING. RESIDENTE</t>
  </si>
  <si>
    <t>AUXILIAR TECNICO</t>
  </si>
  <si>
    <t>AUXILIAR SST</t>
  </si>
  <si>
    <t>SALARIO HORA</t>
  </si>
  <si>
    <t>AUX TRAN</t>
  </si>
  <si>
    <t>PROPOR DOMINICAL</t>
  </si>
  <si>
    <t>CALLE 99A ENTRE LOTE Y CRA 17</t>
  </si>
  <si>
    <t>PREST/N</t>
  </si>
  <si>
    <t>DOTA, EXAM E HIDRA</t>
  </si>
  <si>
    <t>AUXILIAR ALMACEN/ING</t>
  </si>
  <si>
    <t>PROPO HE/REC</t>
  </si>
  <si>
    <t>REC NOCTURNO</t>
  </si>
  <si>
    <t>HORA EXTRA</t>
  </si>
  <si>
    <t>AUXILIAR ING NOC</t>
  </si>
  <si>
    <t>CANT HOMBRES</t>
  </si>
  <si>
    <t>TOTAL MES</t>
  </si>
  <si>
    <t>MDEOAD</t>
  </si>
  <si>
    <t>ING AMBIENTAL</t>
  </si>
  <si>
    <t>PROFESIONAL SOCIAL</t>
  </si>
  <si>
    <t>DISTRITO DE TURBO</t>
  </si>
  <si>
    <t>SECRETARIA DISTRITAL DE INFRAESTRUCTURA</t>
  </si>
  <si>
    <t>DATOS ESPECIFICOS SECCION DE VIA Y BARRIOS A INTERVENIR</t>
  </si>
  <si>
    <t>CAN HOMBRE</t>
  </si>
  <si>
    <t>MO008</t>
  </si>
  <si>
    <t>MO009</t>
  </si>
  <si>
    <t>MO010</t>
  </si>
  <si>
    <t>MO011</t>
  </si>
  <si>
    <t>MO012</t>
  </si>
  <si>
    <t>FRENTE</t>
  </si>
  <si>
    <t>TODOS</t>
  </si>
  <si>
    <t>NUM HORAS</t>
  </si>
  <si>
    <t>CANT MESES</t>
  </si>
  <si>
    <t>AUXILIAR TRANSITO PARE SIGA</t>
  </si>
  <si>
    <t>PROFESIONAL SST</t>
  </si>
  <si>
    <t>VALOR UNITARIO</t>
  </si>
  <si>
    <t>TIEMPO MES</t>
  </si>
  <si>
    <t>SISTEMA DE GESTION INTEGRA DE OBRA</t>
  </si>
  <si>
    <t>ENSAYOS DE LABORATORIO DENSIDAD</t>
  </si>
  <si>
    <t>ENSAYOS DE LABORATORIO RESISITENCIA A LA FELXION</t>
  </si>
  <si>
    <t xml:space="preserve">VALOR </t>
  </si>
  <si>
    <t>CRONOGRAMA DE INVERSION</t>
  </si>
  <si>
    <t>2. RED DE AGUAS LLUVIAS Y OBRAS COMPLEMENTARIAS</t>
  </si>
  <si>
    <t>3. ESTRCUTURA DE PAVIMENTO</t>
  </si>
  <si>
    <t>SEGURIDAD Y SALUD EN EL TRABAJO</t>
  </si>
  <si>
    <t>AMBIENTAL</t>
  </si>
  <si>
    <t>VALOR TOTAL SISEMA DE GESTION INTEGRAL DE OBRA</t>
  </si>
  <si>
    <t>PGIO-PMA</t>
  </si>
  <si>
    <t>PMT</t>
  </si>
  <si>
    <t>ADMINISTRACION DE OBRA CIVIL</t>
  </si>
  <si>
    <t>ADMINISTRACION DE GRANDES SUMINISTROS</t>
  </si>
  <si>
    <t>ADMINISTRACION DE GRANDES SUMINISTRO</t>
  </si>
  <si>
    <t>NTC-2289</t>
  </si>
  <si>
    <t>NTC-5055</t>
  </si>
  <si>
    <t>NTC-121</t>
  </si>
  <si>
    <t>NTC-3318</t>
  </si>
  <si>
    <t>Arl</t>
  </si>
  <si>
    <t>FIC</t>
  </si>
  <si>
    <t xml:space="preserve">Hidratacion </t>
  </si>
  <si>
    <t>Examenes de Ingreso y retiro</t>
  </si>
  <si>
    <t>Epp</t>
  </si>
  <si>
    <t>SEGURIDAD SOCIAL Y PRESTACIONES SOCIALES</t>
  </si>
  <si>
    <t>FACTOR MULTIPLICADOR (A+B+C+D+)</t>
  </si>
  <si>
    <t>ING SISOMA</t>
  </si>
  <si>
    <t>PRESPUESTO DE INTERVENTORIA</t>
  </si>
  <si>
    <t>VALOR TOTAL ADMINISTRACION</t>
  </si>
  <si>
    <t xml:space="preserve">IV. MANO DE OBRA </t>
  </si>
  <si>
    <t xml:space="preserve">APU </t>
  </si>
  <si>
    <t>CALLE 102C ENTRE CARRERA 20 - 21</t>
  </si>
  <si>
    <t>CALLE 102D ENTRE CARRERA 20 - 21</t>
  </si>
  <si>
    <t>CALLE 102D ENTRE CARRERA 20 Y 21A</t>
  </si>
  <si>
    <t>CARRERA 17A ENTRE CALLE 101 Y 102</t>
  </si>
  <si>
    <t>CARRERA 17 ENTRE CALL 99 Y 100</t>
  </si>
  <si>
    <t>CARRERA 17A ENTRE CALLE 99 Y 99A</t>
  </si>
  <si>
    <t>CARRERA 17 ENTRE CALLE 99A Y 99E</t>
  </si>
  <si>
    <t>CARRERA 17A ENTRE CALL 99 Y 100</t>
  </si>
  <si>
    <t>BARRIOS, CIUDADELA INDUSTRIAL, LAS DELICIAS, JUAN XXIII, EL BOSQUE</t>
  </si>
  <si>
    <t>5. SUMNISTRO DE GRANDES INSUMOS</t>
  </si>
  <si>
    <t>COSTO DIRECTO OBRA CIVIL</t>
  </si>
  <si>
    <t>AU OBRA CIVIL</t>
  </si>
  <si>
    <t>COSTO DIRECTO SUMINISTRO</t>
  </si>
  <si>
    <t>A SUMINISTROS</t>
  </si>
  <si>
    <t>VALOR TOTAL SUMINISTROS Y OBRA CIVIL</t>
  </si>
  <si>
    <t>IVA 19%</t>
  </si>
  <si>
    <t>VALOR TOTAL AU</t>
  </si>
  <si>
    <t>CRA 14 * CLL 110</t>
  </si>
  <si>
    <t>CLL 110-CRA 14-14A</t>
  </si>
  <si>
    <t>CRA 14A * CLL 110</t>
  </si>
  <si>
    <t>CLL 110-CRA 14A-15</t>
  </si>
  <si>
    <t>CRA 15 * CLL 110</t>
  </si>
  <si>
    <t>CLL 110 CRA 15-16</t>
  </si>
  <si>
    <t>CRA 16 * CLL 110</t>
  </si>
  <si>
    <t>CLL 110 CRA 16-17</t>
  </si>
  <si>
    <t>CRA 17 * CLL 110</t>
  </si>
  <si>
    <t>CLL 110 CRA 17-18</t>
  </si>
  <si>
    <t>CRA 18 * CLL 110</t>
  </si>
  <si>
    <t>CLL 110 CRA 18-19</t>
  </si>
  <si>
    <t>CRA 19 * CLL 110</t>
  </si>
  <si>
    <t>CLL 110 CRA 19-19A</t>
  </si>
  <si>
    <t>CRA 19A * CLL 110</t>
  </si>
  <si>
    <t>CLL 110 CRA 19A-20</t>
  </si>
  <si>
    <t>CRA 20 * CLL 110</t>
  </si>
  <si>
    <t>CLL 110 CRA 20-20A</t>
  </si>
  <si>
    <t>CRA 20A * CLL 110</t>
  </si>
  <si>
    <t>CLL 110 CRA 20-21</t>
  </si>
  <si>
    <t>CRA 21 * CLL 110</t>
  </si>
  <si>
    <t>CLL 110 CRA 21-22</t>
  </si>
  <si>
    <t>CRA 22 * CLL 110</t>
  </si>
  <si>
    <t>CLL 110 CRA 22-23</t>
  </si>
  <si>
    <t>CRA 23 * CLL 110</t>
  </si>
  <si>
    <t>CLL 110 CRA 23-24</t>
  </si>
  <si>
    <t>CRA 24 * CLL 110</t>
  </si>
  <si>
    <t>CLL 110 CRA 24-25</t>
  </si>
  <si>
    <t>CRA 25 * CLL 110</t>
  </si>
  <si>
    <t>CLL 110 CRA 25-26</t>
  </si>
  <si>
    <t>CRA 26 * CLL 110</t>
  </si>
  <si>
    <t>CLL 110 CRA 26-27</t>
  </si>
  <si>
    <t>CRA 27 * CLL 110</t>
  </si>
  <si>
    <t>CALLE 110 ENTRE CARRERA 14 Y 27</t>
  </si>
  <si>
    <t>BARRIO JESUS MORA CALLE 110</t>
  </si>
  <si>
    <t>DV_227</t>
  </si>
  <si>
    <t>DV_228</t>
  </si>
  <si>
    <t>DV_229</t>
  </si>
  <si>
    <t>DV_230</t>
  </si>
  <si>
    <t>DV_231</t>
  </si>
  <si>
    <t>DV_232</t>
  </si>
  <si>
    <t>DV_233</t>
  </si>
  <si>
    <t>DV_234</t>
  </si>
  <si>
    <t>DV_235</t>
  </si>
  <si>
    <t>DV_236</t>
  </si>
  <si>
    <t>DV_237</t>
  </si>
  <si>
    <t>DV_238</t>
  </si>
  <si>
    <t>DV_239</t>
  </si>
  <si>
    <t>DV_240</t>
  </si>
  <si>
    <t>DV_241</t>
  </si>
  <si>
    <t>DV_242</t>
  </si>
  <si>
    <t>DV_243</t>
  </si>
  <si>
    <t>DV_244</t>
  </si>
  <si>
    <t>DV_245</t>
  </si>
  <si>
    <t>DV_246</t>
  </si>
  <si>
    <t>DV_247</t>
  </si>
  <si>
    <t>DV_248</t>
  </si>
  <si>
    <t>DV_249</t>
  </si>
  <si>
    <t>DV_250</t>
  </si>
  <si>
    <t>DV_251</t>
  </si>
  <si>
    <t>DV_252</t>
  </si>
  <si>
    <t>DV_253</t>
  </si>
  <si>
    <t>DV_254</t>
  </si>
  <si>
    <t>DV_255</t>
  </si>
  <si>
    <t>DV_256</t>
  </si>
  <si>
    <t>DV_257</t>
  </si>
  <si>
    <t>DV_258</t>
  </si>
  <si>
    <t>DV_259</t>
  </si>
  <si>
    <t>DV_TOTAL31</t>
  </si>
  <si>
    <t>DV_TOTALE</t>
  </si>
  <si>
    <t>2 Ø 1/2 @ 0,3 AMBAS CARAS</t>
  </si>
  <si>
    <t>3 Ø 1/2 @ 0,3 AMBAS CARAS</t>
  </si>
  <si>
    <t>4 Ø 1/2 @ 0,3 AMBAS CARAS</t>
  </si>
  <si>
    <t>5 Ø 1/2 @ 0,3 AMBAS CARAS</t>
  </si>
  <si>
    <t>6 Ø 1/2 @ 0,3 AMBAS CARAS</t>
  </si>
  <si>
    <t>7 Ø 1/2 @ 0,3 AMBAS CARAS</t>
  </si>
  <si>
    <t>8 Ø 1/2 @ 0,3 AMBAS CARAS</t>
  </si>
  <si>
    <t>9 Ø 1/2 @ 0,3 AMBAS CARAS</t>
  </si>
  <si>
    <t>10 Ø 1/2 @ 0,3 AMBAS CARAS</t>
  </si>
  <si>
    <t>11 Ø 1/2 @ 0,3 AMBAS CARAS</t>
  </si>
  <si>
    <t>12 Ø 1/2 @ 0,3 AMBAS CARAS</t>
  </si>
  <si>
    <t>13 Ø 1/2 @ 0,3 AMBAS CARAS</t>
  </si>
  <si>
    <t>14 Ø 1/2 @ 0,3 AMBAS CARAS</t>
  </si>
  <si>
    <t>15 Ø 1/2 @ 0,3 AMBAS CARAS</t>
  </si>
  <si>
    <t>16 Ø 1/2 @ 0,3 AMBAS CARAS</t>
  </si>
  <si>
    <t>17 Ø 1/2 @ 0,3 AMBAS CARAS</t>
  </si>
  <si>
    <t>T1 JM C24" CRA 17 ENTRE CLL110 Y 111</t>
  </si>
  <si>
    <t>T1 JM C24" CRA 17 ENTRE CLL111 Y 112</t>
  </si>
  <si>
    <t>T1 JM C24" CRA 17 ENTRE CLL112 Y 113</t>
  </si>
  <si>
    <t>T1 JM C24" CRA 17 ENTRE CLL113 Y 114</t>
  </si>
  <si>
    <t>T1 JM C24" CRA 17 ENTRE CLL114 Y 115</t>
  </si>
  <si>
    <t>T1 JM C18" CLL 110 ENTRE CRA 15 Y 16</t>
  </si>
  <si>
    <t>T1 JM C18" CLL 110 ENTRE CRA 15 Y 17</t>
  </si>
  <si>
    <t>T1 JM C18" CLL 110 ENTRE CRA 17 Y 18</t>
  </si>
  <si>
    <t>T1 JM C18" CLL 110 ENTRE CRA 19 Y 20</t>
  </si>
  <si>
    <t>T1 JM C18" CLL 110 ENTRE CRA 20 Y 21</t>
  </si>
  <si>
    <t>T1 JM C18" CLL 110 ENTRE CRA 21 Y 22</t>
  </si>
  <si>
    <t>ESTAMPILLAS</t>
  </si>
  <si>
    <t xml:space="preserve">Salarios del personal administrativo </t>
  </si>
  <si>
    <t>COSTOS ADMINISTRACION</t>
  </si>
  <si>
    <t>internet</t>
  </si>
  <si>
    <t>Vehiculos</t>
  </si>
  <si>
    <t>Viaticos y Alimentacion</t>
  </si>
  <si>
    <t>Alquiler de equipo de oficina</t>
  </si>
  <si>
    <t>Papeleria, aseo y cafeteria</t>
  </si>
  <si>
    <t>Costos de oficina (arrendamiento, dotacion mueble y servicios públicos)</t>
  </si>
  <si>
    <t>M038</t>
  </si>
  <si>
    <t>3.8</t>
  </si>
  <si>
    <t>3.9</t>
  </si>
  <si>
    <t>EQUI-3.7</t>
  </si>
  <si>
    <t>MAT-3.7</t>
  </si>
  <si>
    <t>MDEO-3.7</t>
  </si>
  <si>
    <t>TRAN-3.7</t>
  </si>
  <si>
    <t>CAN TOT</t>
  </si>
  <si>
    <t>CAN/JUN C1</t>
  </si>
  <si>
    <t>CAN/JUN C2</t>
  </si>
  <si>
    <t>JUNTA TRANSVERSAL INDUCCION CADA 3,2M EN UNA LONGITUD 3M POR CALZADA</t>
  </si>
  <si>
    <t>JUNTA LONGITUDINAL EN TODA LA LONGITUD</t>
  </si>
  <si>
    <t xml:space="preserve">PORENTANJE JUNTAS EN CURUCES DE VIA PARA JUNTAS TRANSVERSAL 7% DEL NUMERO DE PLACAS </t>
  </si>
  <si>
    <t>Demolición mecánica , andenes, bordillos de concreto concretos existentes, pavimento rígido, incluye transporte</t>
  </si>
  <si>
    <t xml:space="preserve">construcción de anden e: 0,1m en concreto texturizado con tableta 20*20 táctil y 10*20 señalizado </t>
  </si>
  <si>
    <t>piso en loseta cuadrática prefabricada táctil alerta, 20*20 e=60 mm-se instalará sobre una capa de mortero 1:4 de 4cm.</t>
  </si>
  <si>
    <t>construcción de concreto reforzado 21mpa para viga de cierre andenes, zonas verdes</t>
  </si>
  <si>
    <t>suministro e instalación y transporte de señal vertical lamina galvanizada en Angulo, reflectivo norma invias</t>
  </si>
  <si>
    <t>Localización, replanteo y plano récord, en sección completa de vía, incluyendo andes, cordones y sección de calzada</t>
  </si>
  <si>
    <t>Excavación mecánica en material heterogéneo, con presencia de redes hidrosanitarias, eléctricas, voz y datos con nivel freático a partir de 0,8m en algunos casos</t>
  </si>
  <si>
    <t>Transporte de material proveniente de excavación, entre 0 y 5 km de distancia, incluye expansión no incluye cargue</t>
  </si>
  <si>
    <t xml:space="preserve">Realce de válvula de acueducto, incluye suministro e instalación de accesorios </t>
  </si>
  <si>
    <t>Realce de caja inspección circular, incluye herraje para cuello y tapa, incluye formaleta no recuperable</t>
  </si>
  <si>
    <t>Realce de cajas domiciliarias, incluye herraje de cuello, tapa y formaleta</t>
  </si>
  <si>
    <t>Realce de cajas domiciliarias medidor acueducto incluye formaleta y aprovechamiento de la tapa</t>
  </si>
  <si>
    <t>Mano de obra para instalación de tubería Novafort 300mm  para sumideros</t>
  </si>
  <si>
    <t>Mano de obra para instalación de tubería Novafort 400mm  para red aguas lluvias</t>
  </si>
  <si>
    <t>Mano de obra para instalación de tubería Novafort 450mm  para red aguas lluvias</t>
  </si>
  <si>
    <t>Mano de obra para instalación de tubería Novafort 600mm  para red aguas lluvias</t>
  </si>
  <si>
    <t xml:space="preserve">Construcción de caja colectora zona verde,  medida interna 1*1 h=1.2m espesores de 0,2m </t>
  </si>
  <si>
    <t>Lleno de material granular rio para cimiento de la tubería de la red de aguas lluvias</t>
  </si>
  <si>
    <t xml:space="preserve">Lleno con material de préstamo tipo limo </t>
  </si>
  <si>
    <t>Construcción de sumidero tipo b norma EPM</t>
  </si>
  <si>
    <t>1/4 de pintura</t>
  </si>
  <si>
    <t>agua</t>
  </si>
  <si>
    <t>anticorrosivo</t>
  </si>
  <si>
    <t>brea solida</t>
  </si>
  <si>
    <t>clavo acero</t>
  </si>
  <si>
    <t>disco diamantado de 14"</t>
  </si>
  <si>
    <t>disolvente</t>
  </si>
  <si>
    <t>geotextil tejido 2400 t</t>
  </si>
  <si>
    <t>niple 6"</t>
  </si>
  <si>
    <t>pintura trafico</t>
  </si>
  <si>
    <t>rejilla tipo sumidero</t>
  </si>
  <si>
    <t>señal vertical</t>
  </si>
  <si>
    <t>sikarod</t>
  </si>
  <si>
    <t>soldadura</t>
  </si>
  <si>
    <t>thiner</t>
  </si>
  <si>
    <t>gal</t>
  </si>
  <si>
    <t>cinta reflectiva señalización</t>
  </si>
  <si>
    <t>clavo común 2 1/2</t>
  </si>
  <si>
    <t>clavo común 2</t>
  </si>
  <si>
    <t>curador tipo anti sol</t>
  </si>
  <si>
    <t>elementos de protección</t>
  </si>
  <si>
    <t xml:space="preserve">elementos de señalización </t>
  </si>
  <si>
    <t>herraje para caj reg. 1x1 con tapa</t>
  </si>
  <si>
    <t>herraje para caja domiciliaria inc. ref.</t>
  </si>
  <si>
    <t>herraje para cámara de inspección tipo MH</t>
  </si>
  <si>
    <t>papelería e insumos para capacitación</t>
  </si>
  <si>
    <t>poli sombra</t>
  </si>
  <si>
    <t>Sika Flex</t>
  </si>
  <si>
    <t>tableta gris tipo adoquín 20*20</t>
  </si>
  <si>
    <t>tableta señalización 0,1*20 m gris</t>
  </si>
  <si>
    <t>tableta táctil  guía 0,2*,2 m color gris</t>
  </si>
  <si>
    <t>tableta táctil alerta 20*20</t>
  </si>
  <si>
    <t>tabla común 3m</t>
  </si>
  <si>
    <t>listón 2*2 madera tipo choiba</t>
  </si>
  <si>
    <t>Alambre quemado</t>
  </si>
  <si>
    <t>Acero  60000 psi</t>
  </si>
  <si>
    <t>Arena base y sello adoquín</t>
  </si>
  <si>
    <t>Arena para concreto</t>
  </si>
  <si>
    <t>Cemento gris</t>
  </si>
  <si>
    <t>Concreto 3000psi en obra</t>
  </si>
  <si>
    <t>Concreto premezclado Mr. 3,9 Mpa</t>
  </si>
  <si>
    <t>Malla electrosoldada</t>
  </si>
  <si>
    <t>Material granular de préstamo</t>
  </si>
  <si>
    <t>Material granular piedra &gt;3"</t>
  </si>
  <si>
    <t>Material tipo limo de préstamo</t>
  </si>
  <si>
    <t>Mortero 1:6 para pega y rebitada</t>
  </si>
  <si>
    <t xml:space="preserve">Subbase granular </t>
  </si>
  <si>
    <t>Triturado 3/4"</t>
  </si>
  <si>
    <t>Tubería Novafort 12"</t>
  </si>
  <si>
    <t>Tubería Novafort 16"</t>
  </si>
  <si>
    <t>Tubería Novafort 18"</t>
  </si>
  <si>
    <t>Tubería Novafort 24"</t>
  </si>
  <si>
    <t>Tubería Concreto 24"</t>
  </si>
  <si>
    <t>Tubería Concreto 36"</t>
  </si>
  <si>
    <t>equipo tanque para irrigar subbase</t>
  </si>
  <si>
    <t>formaleta obras</t>
  </si>
  <si>
    <t>formaleta para bordillo/cuneta</t>
  </si>
  <si>
    <t>formaleta madera (tabla 3m 0,20m)</t>
  </si>
  <si>
    <t>motoniveladora</t>
  </si>
  <si>
    <t>regla vibratoria</t>
  </si>
  <si>
    <t>retroexcavadora</t>
  </si>
  <si>
    <t>taladro para anclaje</t>
  </si>
  <si>
    <t>tanque de almacenamiento de agua</t>
  </si>
  <si>
    <t>vibrador de aguja</t>
  </si>
  <si>
    <t>motosierra</t>
  </si>
  <si>
    <t>motobomba</t>
  </si>
  <si>
    <t>terminadora de asfalto</t>
  </si>
  <si>
    <t>carrotanque de agua 10000 litros</t>
  </si>
  <si>
    <t>formaleta metálica para pavimento</t>
  </si>
  <si>
    <t>plantilla acrílica</t>
  </si>
  <si>
    <t>vibro compactador</t>
  </si>
  <si>
    <t>planta eléctrica</t>
  </si>
  <si>
    <t>mini cargador</t>
  </si>
  <si>
    <t xml:space="preserve">Estación total localización </t>
  </si>
  <si>
    <t>Compactador tipo rana</t>
  </si>
  <si>
    <t>Retrocargador</t>
  </si>
  <si>
    <t>Concretadora 2 sacos ACPM</t>
  </si>
  <si>
    <t>Cortadora de pavimento</t>
  </si>
  <si>
    <t xml:space="preserve">Nivel de precisión </t>
  </si>
  <si>
    <t>Equipo de pavimento (flota y rastrillo)</t>
  </si>
  <si>
    <t>Equipo de compresor para pintura</t>
  </si>
  <si>
    <t>Compresor para demolición y  limpieza a presión de junta</t>
  </si>
  <si>
    <t>Martillo demoledor mini cargador</t>
  </si>
  <si>
    <t>trans agua 0-5km</t>
  </si>
  <si>
    <t>trans mat sobrante 0-5km</t>
  </si>
  <si>
    <t>trans int  bordillo un</t>
  </si>
  <si>
    <t>trans int  liston señalizacion un</t>
  </si>
  <si>
    <t>trans int tableta-adoquin un</t>
  </si>
  <si>
    <t>trans material &gt; 10 km</t>
  </si>
  <si>
    <t>trans material &lt; 10 km</t>
  </si>
  <si>
    <t>transporte  cemento</t>
  </si>
  <si>
    <t>transporte  cconcreto premezclado</t>
  </si>
  <si>
    <t>trans material necocli &gt; 10 km</t>
  </si>
  <si>
    <t>camabaja transporte equipo</t>
  </si>
  <si>
    <t>Cama Baja Transporte Equipo</t>
  </si>
  <si>
    <t>trans. Int. concreto m3</t>
  </si>
  <si>
    <t>cadenero 1</t>
  </si>
  <si>
    <t>cadenero 2</t>
  </si>
  <si>
    <t xml:space="preserve">oficial </t>
  </si>
  <si>
    <t>oficial andenes</t>
  </si>
  <si>
    <t>oficial cordones</t>
  </si>
  <si>
    <t xml:space="preserve">ayudante entendido </t>
  </si>
  <si>
    <t>ayudante entendido v</t>
  </si>
  <si>
    <t xml:space="preserve">ayudante </t>
  </si>
  <si>
    <t>ayudante andenes</t>
  </si>
  <si>
    <t>ayudante cajas y realces</t>
  </si>
  <si>
    <t>topógrafo</t>
  </si>
  <si>
    <t>oficial pavimento</t>
  </si>
  <si>
    <t xml:space="preserve">oficial señalización </t>
  </si>
  <si>
    <t>ayudante pavimento</t>
  </si>
  <si>
    <t>oficial cajas de inspección y realces</t>
  </si>
  <si>
    <t>ayudante señalización</t>
  </si>
  <si>
    <t>ayudante bordillos</t>
  </si>
  <si>
    <t>contra maestro</t>
  </si>
  <si>
    <t>trans int. Mat. granular</t>
  </si>
  <si>
    <t>Cimentación de la estructura pavimento, a través estabilización de la subrasante con cemento, (incluye sub base granular para adecuación de altimetría)</t>
  </si>
  <si>
    <t>Tarifa</t>
  </si>
  <si>
    <t>Distancia</t>
  </si>
  <si>
    <t>Can</t>
  </si>
  <si>
    <t>E035</t>
  </si>
  <si>
    <t>Formaleta para caja interna de insopecion  1*1</t>
  </si>
  <si>
    <t>formaleta para tapa de caja</t>
  </si>
  <si>
    <t>E037</t>
  </si>
  <si>
    <t>Carro con sistema de irrigacion y tanque de almacenamiento de Agua 1000 l</t>
  </si>
  <si>
    <t>compactador tipo canguro</t>
  </si>
  <si>
    <t>formaleta cajasumidero tipo b</t>
  </si>
  <si>
    <t>Inducción de junta transversal y longitudinal con acerrado mecánico</t>
  </si>
  <si>
    <t>Mejoramiento de la subrasante con adición de materiales granular de préstamo para remplazo de fallos</t>
  </si>
  <si>
    <t>Instalación de concreto hidráulico Mr. 3,9 Mpa, pavimento rígido</t>
  </si>
  <si>
    <t>Corte, figuración y colocación de acero 60000 psi</t>
  </si>
  <si>
    <t>Instalación de sello en junta transversal y longitudinal</t>
  </si>
  <si>
    <t>Mano de obra para la fabricación de la canastilla incluye equipo de corte soldadura</t>
  </si>
  <si>
    <t>Suministro e instalación de geotextil 2400, estabilización de subrasante, separación de materiales</t>
  </si>
  <si>
    <t>Excavaciones mecánica para cajeos y fallos de subrasante incluye Re compactación de la subrasante</t>
  </si>
  <si>
    <t>Fabricación e instalación de bordillos en concreto 3000 lb 0,35*,15*1</t>
  </si>
  <si>
    <t>Lleno para conformación sección de anden con material granular de excavación no contaminado al 60% y 40% subbase granular</t>
  </si>
  <si>
    <t>Suministro cemento de uso general</t>
  </si>
  <si>
    <t>Suministro concreto Mr. 39 Mpa premezclado</t>
  </si>
  <si>
    <t>Suministro tubería Novafort 12" o similar</t>
  </si>
  <si>
    <t xml:space="preserve">Suministro tubería Novafort 16" o similar  </t>
  </si>
  <si>
    <t>Suministro tubería Novafort 18" o similar</t>
  </si>
  <si>
    <t>Suministro tubería Novafort 24" o similar</t>
  </si>
  <si>
    <t>Suministro acero 60000 psi</t>
  </si>
  <si>
    <t>Disco de corte diamantado Duro</t>
  </si>
  <si>
    <t>Disco de corte diamantado Blando</t>
  </si>
  <si>
    <t>M039</t>
  </si>
  <si>
    <t>M040</t>
  </si>
  <si>
    <r>
      <t>fabricacion de pasa juntas  1</t>
    </r>
    <r>
      <rPr>
        <sz val="8"/>
        <color rgb="FF000000"/>
        <rFont val="Calibri"/>
        <family val="2"/>
        <scheme val="minor"/>
      </rPr>
      <t>ø3/4 @0,3l=,35 fabricación</t>
    </r>
  </si>
  <si>
    <t xml:space="preserve">pintura tipo trafico, para resaltos y cruces peaonales tipo cebra </t>
  </si>
  <si>
    <t>Alquiler de oficina</t>
  </si>
  <si>
    <t>Valla informativa de obra</t>
  </si>
  <si>
    <t>Ensayos de laboratorio densidad</t>
  </si>
  <si>
    <t>Alquiler de equipos de oficina, video beam e impresora</t>
  </si>
  <si>
    <t>Dotación de oficina papelería y cafetería</t>
  </si>
  <si>
    <t>Servicios públicos e internet dedicado</t>
  </si>
  <si>
    <t>Viáticos y trasporte de personal administrativo</t>
  </si>
  <si>
    <t>Ensayos de laboratorio resistencia a la flexión</t>
  </si>
  <si>
    <t>Ing. Residente</t>
  </si>
  <si>
    <t>Almacenista</t>
  </si>
  <si>
    <t>Ing. director</t>
  </si>
  <si>
    <t>Ing. control y planeación</t>
  </si>
  <si>
    <t>Auxiliar técnico</t>
  </si>
  <si>
    <t>Auxiliar SST</t>
  </si>
  <si>
    <t>Auxiliar Ingreso nocturno</t>
  </si>
  <si>
    <t xml:space="preserve">Auxiliar almacén/Ingreso </t>
  </si>
  <si>
    <t>Impuesto de seguridad</t>
  </si>
  <si>
    <t>Estampillas municipales</t>
  </si>
  <si>
    <t>Pólizas y seguros</t>
  </si>
  <si>
    <t>EQUI-3.8</t>
  </si>
  <si>
    <t>MAT-3.8</t>
  </si>
  <si>
    <t>TRAN-3.8</t>
  </si>
  <si>
    <t>MDEO-3.8</t>
  </si>
  <si>
    <t>EQUI-3.9</t>
  </si>
  <si>
    <t>MAT-3.9</t>
  </si>
  <si>
    <t>TRAN-3.9</t>
  </si>
  <si>
    <t>MDEO-3.9</t>
  </si>
  <si>
    <t>aux-1</t>
  </si>
  <si>
    <t>Concreto 3000 Psi</t>
  </si>
  <si>
    <t>E015</t>
  </si>
  <si>
    <t>aux-2</t>
  </si>
  <si>
    <t>Concreto 2500 Psi</t>
  </si>
  <si>
    <t>Concreto 2500 psi en obra</t>
  </si>
  <si>
    <t>Mortero 1:6</t>
  </si>
  <si>
    <t>rollo</t>
  </si>
  <si>
    <t>Profesional social</t>
  </si>
  <si>
    <t>Profesional SST</t>
  </si>
  <si>
    <t>Ing. ambiental</t>
  </si>
  <si>
    <t>Extintor de 10lb</t>
  </si>
  <si>
    <t>Conos reflectivos</t>
  </si>
  <si>
    <t>Kit de bioseguridad</t>
  </si>
  <si>
    <t>Caneca 55 gl</t>
  </si>
  <si>
    <t>Alcohol al 96%</t>
  </si>
  <si>
    <t>Bomba fumigadora</t>
  </si>
  <si>
    <t>Detergente 20kg</t>
  </si>
  <si>
    <t>Hipoclorito 13% * 20 kg</t>
  </si>
  <si>
    <t>Toalla desechables</t>
  </si>
  <si>
    <t>Vaso medidor</t>
  </si>
  <si>
    <t xml:space="preserve">Hidratación </t>
  </si>
  <si>
    <t>Baño</t>
  </si>
  <si>
    <t xml:space="preserve">Kit de seguridad industrial, botiquín extintor y camilla </t>
  </si>
  <si>
    <t>Señalización en acrílico</t>
  </si>
  <si>
    <t>Camilla rígida</t>
  </si>
  <si>
    <t>Inmovilizador de cabeza para camilla</t>
  </si>
  <si>
    <t xml:space="preserve">Botiquín </t>
  </si>
  <si>
    <t>Overol de desinfección</t>
  </si>
  <si>
    <t>Pimpina de 5 galones</t>
  </si>
  <si>
    <t>Guantes látex</t>
  </si>
  <si>
    <t>Gel antibacterial por galón</t>
  </si>
  <si>
    <t>Jabón liquido</t>
  </si>
  <si>
    <t>Atomizador plástico</t>
  </si>
  <si>
    <t>Kit de señalización SST</t>
  </si>
  <si>
    <t>Señal acrílica de uso de epp</t>
  </si>
  <si>
    <t>Canecas 55 gl</t>
  </si>
  <si>
    <t>Bolsa de color selección de residuos</t>
  </si>
  <si>
    <t>Lavado de herramienta</t>
  </si>
  <si>
    <t>Caneca para lavado de herramienta 55 gl</t>
  </si>
  <si>
    <t>Kit de aseo</t>
  </si>
  <si>
    <t>Carretilla</t>
  </si>
  <si>
    <t>Balde</t>
  </si>
  <si>
    <t>Kit de derrame</t>
  </si>
  <si>
    <t>Caneca, bolsa y guantes</t>
  </si>
  <si>
    <t>Kit de acta de vecindad</t>
  </si>
  <si>
    <t>Tabla</t>
  </si>
  <si>
    <t>Fotocopias</t>
  </si>
  <si>
    <t>Alquiler de sillas</t>
  </si>
  <si>
    <t>Video beam</t>
  </si>
  <si>
    <t>Señal acrílica de sustancias peligrosos</t>
  </si>
  <si>
    <t>Señal ruta de evacuación</t>
  </si>
  <si>
    <t>Señal acrílica de puntos de encuentro</t>
  </si>
  <si>
    <t>Señal acrílica de baños disponibles</t>
  </si>
  <si>
    <t>Alquiler de baños disponible por frente de obra</t>
  </si>
  <si>
    <t>Kit de punto ecológico</t>
  </si>
  <si>
    <t xml:space="preserve">Kit de señalización </t>
  </si>
  <si>
    <t>Señal acrílica de residuos reciclables</t>
  </si>
  <si>
    <t>Señal acrílica de residuos ordinarios</t>
  </si>
  <si>
    <t>Señal acrílica de residuos peligrosos</t>
  </si>
  <si>
    <t>Protección de partículas</t>
  </si>
  <si>
    <t>Protección de material granular, con polietileno negro para protección de cemento, material granular y acabado de losas rollo por 90 ml</t>
  </si>
  <si>
    <t>Protección senderos peatonales y señalización de obra rollo por 100 ml</t>
  </si>
  <si>
    <t>Escobillón</t>
  </si>
  <si>
    <t>Cámara fotográfica</t>
  </si>
  <si>
    <t>Kit de socialización con la comunidad</t>
  </si>
  <si>
    <t>Atención de PQR</t>
  </si>
  <si>
    <t>Paletas de pare y siga</t>
  </si>
  <si>
    <t>Radios de comunicación</t>
  </si>
  <si>
    <t>señalización tubería compuesta de señalización vial (manual de señalización vial del ministerio de transporte 2015)</t>
  </si>
  <si>
    <t>Señal preventiva tipo rombo</t>
  </si>
  <si>
    <t>Señal reglamentaria ceda el paso</t>
  </si>
  <si>
    <t>Señal informativa de obra</t>
  </si>
  <si>
    <t>Auxiliar transito PARE SIGA</t>
  </si>
  <si>
    <t xml:space="preserve">Kit de Señalización </t>
  </si>
  <si>
    <t>Barreras plásticas tipo maletín (manual  de señalización vial del ministerio de transporte 2015</t>
  </si>
  <si>
    <t>Cono de señalización vial (manual  de señalización vial del ministerio de transporte 2015</t>
  </si>
  <si>
    <t>Barricada  (manual  de señalización vial del ministerio de transporte 2015)</t>
  </si>
  <si>
    <t>Profesional administrativo</t>
  </si>
  <si>
    <t>Auxiliares de bodega</t>
  </si>
  <si>
    <t>Valor total</t>
  </si>
  <si>
    <t xml:space="preserve">Transporte de carga y distribución </t>
  </si>
  <si>
    <t>Seguro de la mercancía</t>
  </si>
  <si>
    <t>Estampillas</t>
  </si>
  <si>
    <t>Pólizas</t>
  </si>
  <si>
    <t>Etapa precontractual</t>
  </si>
  <si>
    <t>1. Preliminares</t>
  </si>
  <si>
    <t>2. Red de aguas lluvias y obras complementarias</t>
  </si>
  <si>
    <t>4. Andenes y urbanismo</t>
  </si>
  <si>
    <t>Total obra civil</t>
  </si>
  <si>
    <t>Total suministro</t>
  </si>
  <si>
    <t>Au obra civil</t>
  </si>
  <si>
    <t>Valor total suministros</t>
  </si>
  <si>
    <t>Pmt</t>
  </si>
  <si>
    <t>Pgio</t>
  </si>
  <si>
    <t>3. Estructura de pavimento</t>
  </si>
  <si>
    <t>5. Suministro de grandes insumos</t>
  </si>
  <si>
    <t>A suministro</t>
  </si>
  <si>
    <t>Valor total ejecución</t>
  </si>
  <si>
    <t>Interventoría</t>
  </si>
  <si>
    <t>Etapa de liquidación</t>
  </si>
  <si>
    <t>Total</t>
  </si>
  <si>
    <t>Proyecto Total Anterior</t>
  </si>
  <si>
    <t>Proyecto Total Actualizado</t>
  </si>
  <si>
    <t>Total Reajustar</t>
  </si>
  <si>
    <t>Incrementos</t>
  </si>
  <si>
    <t>Mano Obra</t>
  </si>
  <si>
    <t>Concreto</t>
  </si>
  <si>
    <t>Acero</t>
  </si>
  <si>
    <t>Cemento</t>
  </si>
  <si>
    <t>RAI ANDRE ESCOBAR FERIA</t>
  </si>
  <si>
    <t xml:space="preserve">INGENIERO CIVIL </t>
  </si>
  <si>
    <t>P.U.E EDUH - TURBO</t>
  </si>
  <si>
    <t>M.P. 031037-0642230 BLV</t>
  </si>
  <si>
    <t>Total Porcentual</t>
  </si>
  <si>
    <t>PROYECTO APROBADO 2020</t>
  </si>
  <si>
    <t>PROYECTO AJUSTADO 2023</t>
  </si>
  <si>
    <t>CANTIDAD 2</t>
  </si>
  <si>
    <t>V. UNITARIO</t>
  </si>
  <si>
    <t>V. TOTAL</t>
  </si>
  <si>
    <t>AJUSTE</t>
  </si>
  <si>
    <t>PRESUPUESTO MGA</t>
  </si>
  <si>
    <t>MGA</t>
  </si>
  <si>
    <t>MGA APROBADO</t>
  </si>
  <si>
    <t>$ PROYECTO EDUH CONTRATADO</t>
  </si>
  <si>
    <t>NUEVO PRESUPUESTO 2022-2023</t>
  </si>
  <si>
    <t>INCREMENTO O AJUSTE 2022-2023</t>
  </si>
  <si>
    <t>VR INCREMENTO MGA VIEJO</t>
  </si>
  <si>
    <t>Realizar actividades Preliminares</t>
  </si>
  <si>
    <t>Construir la estructura de pavimento</t>
  </si>
  <si>
    <t xml:space="preserve"> Construir Andenes y urbanismo</t>
  </si>
  <si>
    <t xml:space="preserve"> Adquirir suministros de grandes insumos</t>
  </si>
  <si>
    <t>TOTAL OBRA</t>
  </si>
  <si>
    <t>Implementar PGIO - PMA</t>
  </si>
  <si>
    <t>Implementar PMT</t>
  </si>
  <si>
    <t>SUBTOTAL</t>
  </si>
  <si>
    <t>Realizar Interventoría</t>
  </si>
  <si>
    <t>TOTAL PROYECTO</t>
  </si>
  <si>
    <t>CUADRO DE COMPARACIÓN MGA</t>
  </si>
  <si>
    <t>Instalar red de aguas lluvias y obras complementarias</t>
  </si>
  <si>
    <t xml:space="preserve">RAI ANDRE ESCOBAR FERIA - P.U.E EDUH TURBO - M.P 031037-0642230 BLV ING. CIVIL </t>
  </si>
  <si>
    <t>DEMOLICIÓN , ANDENES, BORDILLOS DE CONCRETO CONCRETOS EXISTENTES, PAV RIGIDO, FLEXIBLE</t>
  </si>
  <si>
    <t>EXCAVACIONES CAJEOS Y FALLOS DE SUBRASANTE</t>
  </si>
  <si>
    <t>MEJORAMIENTO DE LA SUBRASANTE CON ADICION DE MATEIRALES GRANULAR DE PRESTAMO PARA REMPLAZO DE FALLOS</t>
  </si>
  <si>
    <t xml:space="preserve">FUNDACION DE LA ESCTRUCTURA PAVIMENTO ESTABILIZACION DE LA SUBRASANTE CON CEMENTO Y SUB BASE GRANUALAR </t>
  </si>
  <si>
    <t>CONSTRUCCION DE PAVIMENTO EN CONCRETO HIDRAULICO MR 3,9 Mpa</t>
  </si>
  <si>
    <t>CORTE, FIGURACIÓN Y COLOCACIÓN DE ACERO 60000 PSI</t>
  </si>
  <si>
    <t xml:space="preserve">FABRICACION E INSTALACION DE BORDILLOS EN CONCRETO 3000 lb </t>
  </si>
  <si>
    <t>CONSTRUCCION DE ANDEN EN CONCRETO TEXTURIADO CON TABLETA 20*20 TACTIL Y 10*20 SEÑALIZADO</t>
  </si>
  <si>
    <t xml:space="preserve">PINTURA TIPO TRAFICO, RESALTOS </t>
  </si>
  <si>
    <t>CONSTRUCCION DE CONCRETO REFORZADO 21MPA PARA VIGA DE CIERRE ANDENES, ZONAS VERDES</t>
  </si>
  <si>
    <t>CEMENTO DE USO GENERAL</t>
  </si>
  <si>
    <t>CONCRETO MR 39 PRMEZCLADO</t>
  </si>
  <si>
    <t>TUBERIA NOVAFORT 12" O SIMILAR</t>
  </si>
  <si>
    <t xml:space="preserve">TUBERIA NOVAFORT 16" O SIMILAR  </t>
  </si>
  <si>
    <t>TUBERIA NOVAFORT 18" O SIMILAR</t>
  </si>
  <si>
    <t>TUBERIA NOVAFORT 24" O SIMILAR</t>
  </si>
  <si>
    <t>ACERO 60000 PSI</t>
  </si>
  <si>
    <t>MARIA LEONOR BRU DIAZ</t>
  </si>
  <si>
    <t xml:space="preserve">INGENIERA CIVIL </t>
  </si>
  <si>
    <t>M.P. 222202-301269 COR</t>
  </si>
  <si>
    <t>N.P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</si>
</sst>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.00_);_(* \(#,##0.00\);_(* &quot;-&quot;??_);_(@_)"/>
    <numFmt numFmtId="167" formatCode="0.000"/>
    <numFmt numFmtId="168" formatCode="0.0"/>
    <numFmt numFmtId="169" formatCode="0.0%"/>
    <numFmt numFmtId="170" formatCode="[$-C0A]mmmm\-yy;@"/>
    <numFmt numFmtId="171" formatCode="_(* #,##0_);_(* \(#,##0\);_(* &quot;-&quot;??_);_(@_)"/>
    <numFmt numFmtId="172" formatCode="_-* #,##0\ _€_-;\-* #,##0\ _€_-;_-* &quot;-&quot;??\ _€_-;_-@_-"/>
    <numFmt numFmtId="173" formatCode="#,##0.000"/>
    <numFmt numFmtId="174" formatCode="_-* #,##0.0\ _€_-;\-* #,##0.0\ _€_-;_-* &quot;-&quot;??\ _€_-;_-@_-"/>
    <numFmt numFmtId="175" formatCode="#,##0.0"/>
    <numFmt numFmtId="176" formatCode="#.##000"/>
    <numFmt numFmtId="177" formatCode="0.00000"/>
    <numFmt numFmtId="178" formatCode="_-* #,##0.00_-;\-* #,##0.00_-;_-* &quot;-&quot;_-;_-@_-"/>
    <numFmt numFmtId="179" formatCode="_-* #,##0.0_-;\-* #,##0.0_-;_-* &quot;-&quot;_-;_-@_-"/>
    <numFmt numFmtId="180" formatCode="_-* #,##0.0_-;\-* #,##0.0_-;_-* &quot;-&quot;?_-;_-@_-"/>
    <numFmt numFmtId="181" formatCode="_(&quot;$&quot;\ * #,##0.00_);_(&quot;$&quot;\ * \(#,##0.00\);_(&quot;$&quot;\ * &quot;-&quot;??_);_(@_)"/>
    <numFmt numFmtId="182" formatCode="_ &quot;$&quot;\ * #,##0_ ;_ &quot;$&quot;\ * \-#,##0_ ;_ &quot;$&quot;\ * &quot;-&quot;_ ;_ @_ "/>
    <numFmt numFmtId="183" formatCode="_ &quot;$&quot;\ * #,##0.00_ ;_ &quot;$&quot;\ * \-#,##0.00_ ;_ &quot;$&quot;\ * &quot;-&quot;??_ ;_ @_ "/>
    <numFmt numFmtId="184" formatCode="_ * #,##0.00_ ;_ * \-#,##0.00_ ;_ * &quot;-&quot;??_ ;_ @_ "/>
    <numFmt numFmtId="185" formatCode="_-&quot;$&quot;\ * #,##0_-;\-&quot;$&quot;\ * #,##0_-;_-&quot;$&quot;\ * &quot;-&quot;??_-;_-@_-"/>
    <numFmt numFmtId="186" formatCode="0.000%"/>
    <numFmt numFmtId="187" formatCode="_-* #,##0.0000\ _€_-;\-* #,##0.0000\ _€_-;_-* &quot;-&quot;??\ _€_-;_-@_-"/>
    <numFmt numFmtId="188" formatCode="&quot;$&quot;\ 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.5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vertAlign val="superscript"/>
      <sz val="7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rgb="FF000000"/>
      <name val="Calibri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7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9"/>
      <color rgb="FF000000"/>
      <name val="Arial"/>
      <family val="2"/>
    </font>
    <font>
      <b/>
      <sz val="10"/>
      <color rgb="FF00000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43" fontId="27" fillId="0" borderId="0" applyFont="0" applyFill="0" applyBorder="0" applyAlignment="0" applyProtection="0"/>
    <xf numFmtId="0" fontId="4" fillId="0" borderId="0"/>
    <xf numFmtId="0" fontId="27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14" borderId="0" applyNumberFormat="0" applyBorder="0" applyAlignment="0" applyProtection="0"/>
    <xf numFmtId="182" fontId="28" fillId="0" borderId="0" applyFont="0" applyFill="0" applyBorder="0" applyAlignment="0" applyProtection="0"/>
    <xf numFmtId="0" fontId="28" fillId="0" borderId="0"/>
    <xf numFmtId="183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9" fillId="0" borderId="0"/>
    <xf numFmtId="0" fontId="4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71" fontId="6" fillId="0" borderId="2" xfId="1" applyNumberFormat="1" applyFont="1" applyBorder="1" applyAlignment="1">
      <alignment horizontal="center" vertical="center"/>
    </xf>
    <xf numFmtId="172" fontId="7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18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0" fontId="13" fillId="0" borderId="0" xfId="0" applyFont="1"/>
    <xf numFmtId="169" fontId="6" fillId="6" borderId="2" xfId="5" applyNumberFormat="1" applyFont="1" applyFill="1" applyBorder="1" applyAlignment="1">
      <alignment horizontal="center"/>
    </xf>
    <xf numFmtId="9" fontId="6" fillId="0" borderId="2" xfId="5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171" fontId="0" fillId="0" borderId="0" xfId="0" applyNumberFormat="1"/>
    <xf numFmtId="0" fontId="12" fillId="0" borderId="0" xfId="4" applyBorder="1" applyAlignment="1">
      <alignment horizontal="center"/>
    </xf>
    <xf numFmtId="172" fontId="6" fillId="0" borderId="0" xfId="1" applyNumberFormat="1" applyFont="1" applyBorder="1" applyAlignment="1">
      <alignment vertical="center"/>
    </xf>
    <xf numFmtId="165" fontId="8" fillId="0" borderId="0" xfId="1" applyFont="1" applyBorder="1" applyAlignment="1">
      <alignment horizontal="center" vertical="center"/>
    </xf>
    <xf numFmtId="165" fontId="8" fillId="0" borderId="0" xfId="1" applyFont="1" applyBorder="1" applyAlignment="1">
      <alignment horizontal="right" vertical="center"/>
    </xf>
    <xf numFmtId="165" fontId="18" fillId="0" borderId="0" xfId="1" applyFont="1" applyBorder="1" applyAlignment="1">
      <alignment horizontal="center" vertical="center"/>
    </xf>
    <xf numFmtId="165" fontId="18" fillId="0" borderId="0" xfId="1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0" fillId="0" borderId="7" xfId="0" applyBorder="1"/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6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2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2" fontId="17" fillId="0" borderId="15" xfId="0" applyNumberFormat="1" applyFont="1" applyBorder="1" applyAlignment="1">
      <alignment vertical="center" wrapText="1"/>
    </xf>
    <xf numFmtId="0" fontId="21" fillId="0" borderId="16" xfId="0" applyFont="1" applyBorder="1" applyAlignment="1">
      <alignment vertical="center"/>
    </xf>
    <xf numFmtId="2" fontId="17" fillId="0" borderId="15" xfId="0" applyNumberFormat="1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173" fontId="6" fillId="0" borderId="0" xfId="0" applyNumberFormat="1" applyFont="1"/>
    <xf numFmtId="0" fontId="5" fillId="0" borderId="0" xfId="0" applyFont="1" applyAlignment="1">
      <alignment horizontal="right" vertical="center"/>
    </xf>
    <xf numFmtId="176" fontId="0" fillId="0" borderId="0" xfId="0" applyNumberFormat="1"/>
    <xf numFmtId="0" fontId="2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72" fontId="7" fillId="0" borderId="2" xfId="1" applyNumberFormat="1" applyFont="1" applyBorder="1" applyAlignment="1">
      <alignment horizontal="right" vertical="center"/>
    </xf>
    <xf numFmtId="172" fontId="7" fillId="0" borderId="2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/>
    <xf numFmtId="1" fontId="7" fillId="0" borderId="0" xfId="0" applyNumberFormat="1" applyFont="1"/>
    <xf numFmtId="172" fontId="7" fillId="0" borderId="0" xfId="1" applyNumberFormat="1" applyFont="1"/>
    <xf numFmtId="0" fontId="0" fillId="0" borderId="16" xfId="0" applyBorder="1"/>
    <xf numFmtId="171" fontId="0" fillId="0" borderId="0" xfId="0" applyNumberForma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8" applyFont="1"/>
    <xf numFmtId="41" fontId="0" fillId="0" borderId="0" xfId="8" applyFont="1" applyFill="1" applyBorder="1" applyProtection="1"/>
    <xf numFmtId="0" fontId="5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2" fontId="7" fillId="0" borderId="0" xfId="1" applyNumberFormat="1" applyFont="1" applyBorder="1" applyAlignment="1">
      <alignment vertical="center"/>
    </xf>
    <xf numFmtId="3" fontId="6" fillId="0" borderId="2" xfId="0" applyNumberFormat="1" applyFont="1" applyBorder="1"/>
    <xf numFmtId="172" fontId="7" fillId="0" borderId="2" xfId="0" applyNumberFormat="1" applyFont="1" applyBorder="1" applyAlignment="1">
      <alignment horizontal="center"/>
    </xf>
    <xf numFmtId="172" fontId="7" fillId="0" borderId="0" xfId="0" applyNumberFormat="1" applyFont="1" applyAlignment="1">
      <alignment horizontal="center"/>
    </xf>
    <xf numFmtId="0" fontId="7" fillId="0" borderId="2" xfId="0" applyFont="1" applyBorder="1"/>
    <xf numFmtId="10" fontId="7" fillId="0" borderId="2" xfId="5" applyNumberFormat="1" applyFont="1" applyBorder="1"/>
    <xf numFmtId="10" fontId="7" fillId="0" borderId="2" xfId="0" applyNumberFormat="1" applyFont="1" applyBorder="1"/>
    <xf numFmtId="3" fontId="17" fillId="0" borderId="2" xfId="0" applyNumberFormat="1" applyFont="1" applyBorder="1"/>
    <xf numFmtId="0" fontId="22" fillId="0" borderId="0" xfId="0" applyFont="1"/>
    <xf numFmtId="0" fontId="24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0" fillId="0" borderId="0" xfId="0" applyAlignment="1">
      <alignment wrapText="1"/>
    </xf>
    <xf numFmtId="168" fontId="8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15" xfId="0" applyBorder="1"/>
    <xf numFmtId="168" fontId="8" fillId="0" borderId="0" xfId="0" applyNumberFormat="1" applyFont="1" applyAlignment="1">
      <alignment horizontal="left" wrapText="1"/>
    </xf>
    <xf numFmtId="2" fontId="6" fillId="0" borderId="0" xfId="0" applyNumberFormat="1" applyFont="1" applyAlignment="1">
      <alignment vertical="center" wrapText="1"/>
    </xf>
    <xf numFmtId="0" fontId="0" fillId="0" borderId="15" xfId="0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167" fontId="6" fillId="0" borderId="0" xfId="0" applyNumberFormat="1" applyFont="1" applyAlignment="1">
      <alignment vertical="center"/>
    </xf>
    <xf numFmtId="17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16" xfId="0" applyFont="1" applyBorder="1" applyAlignment="1">
      <alignment horizontal="center"/>
    </xf>
    <xf numFmtId="41" fontId="7" fillId="0" borderId="0" xfId="8" applyFont="1" applyFill="1" applyBorder="1" applyProtection="1"/>
    <xf numFmtId="49" fontId="17" fillId="0" borderId="0" xfId="0" applyNumberFormat="1" applyFont="1" applyAlignment="1">
      <alignment horizontal="center" vertical="center"/>
    </xf>
    <xf numFmtId="175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175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68" fontId="18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6" xfId="0" applyFont="1" applyBorder="1"/>
    <xf numFmtId="0" fontId="17" fillId="0" borderId="0" xfId="0" applyFont="1"/>
    <xf numFmtId="0" fontId="22" fillId="0" borderId="15" xfId="0" applyFont="1" applyBorder="1"/>
    <xf numFmtId="41" fontId="17" fillId="0" borderId="15" xfId="8" applyFont="1" applyBorder="1" applyAlignment="1">
      <alignment vertical="center" wrapText="1"/>
    </xf>
    <xf numFmtId="41" fontId="22" fillId="0" borderId="0" xfId="8" applyFont="1" applyFill="1" applyBorder="1" applyProtection="1"/>
    <xf numFmtId="171" fontId="0" fillId="0" borderId="2" xfId="0" applyNumberFormat="1" applyBorder="1" applyAlignment="1">
      <alignment horizontal="center"/>
    </xf>
    <xf numFmtId="177" fontId="6" fillId="0" borderId="0" xfId="0" applyNumberFormat="1" applyFont="1" applyAlignment="1">
      <alignment vertical="center"/>
    </xf>
    <xf numFmtId="41" fontId="0" fillId="0" borderId="2" xfId="8" applyFont="1" applyBorder="1" applyAlignment="1">
      <alignment horizontal="center" vertical="center"/>
    </xf>
    <xf numFmtId="168" fontId="0" fillId="0" borderId="0" xfId="0" applyNumberFormat="1"/>
    <xf numFmtId="41" fontId="6" fillId="0" borderId="0" xfId="8" applyFont="1" applyAlignment="1">
      <alignment horizontal="center" vertical="center" wrapText="1"/>
    </xf>
    <xf numFmtId="171" fontId="6" fillId="5" borderId="2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vertical="center"/>
    </xf>
    <xf numFmtId="2" fontId="6" fillId="11" borderId="0" xfId="0" applyNumberFormat="1" applyFont="1" applyFill="1" applyAlignment="1">
      <alignment vertical="center"/>
    </xf>
    <xf numFmtId="41" fontId="6" fillId="0" borderId="0" xfId="8" applyFont="1" applyAlignment="1">
      <alignment vertical="center"/>
    </xf>
    <xf numFmtId="41" fontId="6" fillId="0" borderId="15" xfId="8" applyFont="1" applyBorder="1" applyAlignment="1">
      <alignment vertical="center"/>
    </xf>
    <xf numFmtId="41" fontId="5" fillId="0" borderId="0" xfId="8" applyFont="1" applyAlignment="1">
      <alignment horizontal="center" vertical="center"/>
    </xf>
    <xf numFmtId="178" fontId="7" fillId="0" borderId="0" xfId="8" applyNumberFormat="1" applyFont="1"/>
    <xf numFmtId="0" fontId="7" fillId="12" borderId="0" xfId="0" applyFont="1" applyFill="1"/>
    <xf numFmtId="178" fontId="7" fillId="12" borderId="0" xfId="8" applyNumberFormat="1" applyFont="1" applyFill="1"/>
    <xf numFmtId="41" fontId="7" fillId="0" borderId="0" xfId="8" applyFont="1" applyBorder="1"/>
    <xf numFmtId="0" fontId="0" fillId="10" borderId="0" xfId="0" applyFill="1"/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71" fontId="6" fillId="6" borderId="2" xfId="1" applyNumberFormat="1" applyFont="1" applyFill="1" applyBorder="1" applyAlignment="1">
      <alignment horizontal="center" vertical="center"/>
    </xf>
    <xf numFmtId="41" fontId="6" fillId="0" borderId="2" xfId="8" applyFont="1" applyBorder="1" applyAlignment="1">
      <alignment vertical="center"/>
    </xf>
    <xf numFmtId="41" fontId="0" fillId="0" borderId="0" xfId="8" applyFont="1" applyAlignment="1">
      <alignment vertical="center"/>
    </xf>
    <xf numFmtId="0" fontId="0" fillId="10" borderId="2" xfId="0" applyFill="1" applyBorder="1" applyAlignment="1">
      <alignment horizontal="center" vertical="center"/>
    </xf>
    <xf numFmtId="171" fontId="0" fillId="10" borderId="2" xfId="0" applyNumberFormat="1" applyFill="1" applyBorder="1" applyAlignment="1">
      <alignment horizontal="center" vertical="center"/>
    </xf>
    <xf numFmtId="41" fontId="7" fillId="0" borderId="0" xfId="8" applyFont="1"/>
    <xf numFmtId="41" fontId="0" fillId="0" borderId="0" xfId="8" applyFont="1" applyAlignment="1">
      <alignment wrapText="1"/>
    </xf>
    <xf numFmtId="41" fontId="0" fillId="0" borderId="0" xfId="8" applyFont="1" applyAlignment="1">
      <alignment horizontal="center"/>
    </xf>
    <xf numFmtId="41" fontId="22" fillId="0" borderId="0" xfId="8" applyFont="1"/>
    <xf numFmtId="3" fontId="5" fillId="0" borderId="0" xfId="0" applyNumberFormat="1" applyFont="1" applyAlignment="1">
      <alignment horizontal="center" vertical="center" wrapText="1"/>
    </xf>
    <xf numFmtId="172" fontId="5" fillId="0" borderId="0" xfId="1" applyNumberFormat="1" applyFont="1" applyBorder="1" applyAlignment="1">
      <alignment horizontal="right"/>
    </xf>
    <xf numFmtId="172" fontId="7" fillId="0" borderId="0" xfId="1" applyNumberFormat="1" applyFont="1" applyBorder="1" applyAlignment="1">
      <alignment horizontal="right" vertical="center"/>
    </xf>
    <xf numFmtId="172" fontId="7" fillId="0" borderId="0" xfId="1" applyNumberFormat="1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171" fontId="6" fillId="6" borderId="2" xfId="1" applyNumberFormat="1" applyFont="1" applyFill="1" applyBorder="1" applyAlignment="1">
      <alignment horizontal="center" vertical="center" wrapText="1"/>
    </xf>
    <xf numFmtId="171" fontId="0" fillId="6" borderId="2" xfId="0" applyNumberForma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171" fontId="0" fillId="6" borderId="0" xfId="0" applyNumberForma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41" fontId="0" fillId="0" borderId="0" xfId="0" applyNumberFormat="1" applyAlignment="1">
      <alignment vertical="center"/>
    </xf>
    <xf numFmtId="168" fontId="0" fillId="6" borderId="0" xfId="0" applyNumberFormat="1" applyFill="1" applyAlignment="1">
      <alignment horizontal="center" vertical="center"/>
    </xf>
    <xf numFmtId="172" fontId="7" fillId="0" borderId="0" xfId="0" applyNumberFormat="1" applyFont="1"/>
    <xf numFmtId="41" fontId="22" fillId="0" borderId="0" xfId="0" applyNumberFormat="1" applyFont="1"/>
    <xf numFmtId="0" fontId="22" fillId="0" borderId="2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179" fontId="7" fillId="0" borderId="2" xfId="8" applyNumberFormat="1" applyFont="1" applyBorder="1" applyAlignment="1">
      <alignment vertical="center" wrapText="1"/>
    </xf>
    <xf numFmtId="180" fontId="7" fillId="0" borderId="2" xfId="0" applyNumberFormat="1" applyFont="1" applyBorder="1" applyAlignment="1">
      <alignment vertical="center" wrapText="1"/>
    </xf>
    <xf numFmtId="168" fontId="7" fillId="0" borderId="2" xfId="0" applyNumberFormat="1" applyFont="1" applyBorder="1" applyAlignment="1">
      <alignment vertical="center"/>
    </xf>
    <xf numFmtId="0" fontId="26" fillId="0" borderId="0" xfId="0" applyFont="1" applyAlignment="1">
      <alignment vertical="center" wrapText="1"/>
    </xf>
    <xf numFmtId="1" fontId="7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0" xfId="0" applyFont="1" applyFill="1" applyAlignment="1">
      <alignment vertical="center"/>
    </xf>
    <xf numFmtId="0" fontId="24" fillId="0" borderId="0" xfId="0" applyFont="1"/>
    <xf numFmtId="0" fontId="26" fillId="0" borderId="0" xfId="0" applyFont="1" applyAlignment="1">
      <alignment vertical="center"/>
    </xf>
    <xf numFmtId="14" fontId="22" fillId="0" borderId="0" xfId="0" applyNumberFormat="1" applyFont="1" applyAlignment="1">
      <alignment vertical="center"/>
    </xf>
    <xf numFmtId="41" fontId="7" fillId="0" borderId="2" xfId="8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1" fontId="7" fillId="0" borderId="2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72" fontId="5" fillId="0" borderId="13" xfId="1" applyNumberFormat="1" applyFont="1" applyBorder="1" applyAlignment="1">
      <alignment horizontal="right"/>
    </xf>
    <xf numFmtId="172" fontId="5" fillId="0" borderId="12" xfId="1" applyNumberFormat="1" applyFont="1" applyBorder="1" applyAlignment="1">
      <alignment horizontal="right"/>
    </xf>
    <xf numFmtId="0" fontId="24" fillId="4" borderId="2" xfId="0" applyFont="1" applyFill="1" applyBorder="1" applyAlignment="1">
      <alignment vertical="center" wrapText="1"/>
    </xf>
    <xf numFmtId="172" fontId="7" fillId="0" borderId="2" xfId="0" applyNumberFormat="1" applyFont="1" applyBorder="1" applyAlignment="1">
      <alignment vertical="center"/>
    </xf>
    <xf numFmtId="41" fontId="7" fillId="0" borderId="0" xfId="0" applyNumberFormat="1" applyFont="1"/>
    <xf numFmtId="0" fontId="22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vertical="center" wrapText="1"/>
    </xf>
    <xf numFmtId="179" fontId="7" fillId="0" borderId="0" xfId="8" applyNumberFormat="1" applyFont="1" applyBorder="1" applyAlignment="1">
      <alignment vertical="center" wrapText="1"/>
    </xf>
    <xf numFmtId="41" fontId="7" fillId="0" borderId="0" xfId="8" applyFont="1" applyBorder="1" applyAlignment="1">
      <alignment vertical="center" wrapText="1"/>
    </xf>
    <xf numFmtId="172" fontId="7" fillId="0" borderId="0" xfId="0" applyNumberFormat="1" applyFont="1" applyAlignment="1">
      <alignment vertical="center"/>
    </xf>
    <xf numFmtId="9" fontId="7" fillId="0" borderId="2" xfId="5" applyFont="1" applyBorder="1" applyAlignment="1">
      <alignment vertical="center"/>
    </xf>
    <xf numFmtId="169" fontId="7" fillId="0" borderId="2" xfId="5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172" fontId="7" fillId="0" borderId="2" xfId="0" applyNumberFormat="1" applyFont="1" applyBorder="1"/>
    <xf numFmtId="169" fontId="6" fillId="6" borderId="12" xfId="5" applyNumberFormat="1" applyFont="1" applyFill="1" applyBorder="1" applyAlignment="1">
      <alignment horizontal="center"/>
    </xf>
    <xf numFmtId="174" fontId="7" fillId="0" borderId="2" xfId="1" applyNumberFormat="1" applyFont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vertical="center" wrapText="1"/>
    </xf>
    <xf numFmtId="0" fontId="24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41" fontId="22" fillId="0" borderId="2" xfId="0" applyNumberFormat="1" applyFont="1" applyBorder="1" applyAlignment="1">
      <alignment vertical="center"/>
    </xf>
    <xf numFmtId="41" fontId="22" fillId="0" borderId="2" xfId="0" applyNumberFormat="1" applyFont="1" applyBorder="1" applyAlignment="1">
      <alignment horizontal="center" vertical="center"/>
    </xf>
    <xf numFmtId="41" fontId="22" fillId="0" borderId="2" xfId="0" applyNumberFormat="1" applyFont="1" applyBorder="1" applyAlignment="1">
      <alignment horizontal="left" vertical="center" wrapText="1"/>
    </xf>
    <xf numFmtId="41" fontId="22" fillId="7" borderId="2" xfId="0" applyNumberFormat="1" applyFont="1" applyFill="1" applyBorder="1" applyAlignment="1">
      <alignment vertical="center"/>
    </xf>
    <xf numFmtId="167" fontId="7" fillId="0" borderId="2" xfId="0" applyNumberFormat="1" applyFont="1" applyBorder="1" applyAlignment="1">
      <alignment vertical="center" wrapText="1"/>
    </xf>
    <xf numFmtId="0" fontId="21" fillId="13" borderId="0" xfId="0" applyFont="1" applyFill="1" applyAlignment="1">
      <alignment horizontal="center" vertical="center" wrapText="1"/>
    </xf>
    <xf numFmtId="0" fontId="21" fillId="13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7" fillId="6" borderId="2" xfId="0" applyFont="1" applyFill="1" applyBorder="1" applyAlignment="1">
      <alignment horizontal="center"/>
    </xf>
    <xf numFmtId="171" fontId="7" fillId="6" borderId="2" xfId="0" applyNumberFormat="1" applyFont="1" applyFill="1" applyBorder="1" applyAlignment="1">
      <alignment horizontal="center"/>
    </xf>
    <xf numFmtId="171" fontId="7" fillId="0" borderId="0" xfId="0" applyNumberFormat="1" applyFont="1" applyAlignment="1">
      <alignment horizontal="center" vertical="center"/>
    </xf>
    <xf numFmtId="171" fontId="7" fillId="5" borderId="0" xfId="0" applyNumberFormat="1" applyFont="1" applyFill="1" applyAlignment="1">
      <alignment horizontal="center" vertical="center"/>
    </xf>
    <xf numFmtId="0" fontId="7" fillId="5" borderId="0" xfId="0" applyFont="1" applyFill="1"/>
    <xf numFmtId="176" fontId="7" fillId="0" borderId="0" xfId="0" applyNumberFormat="1" applyFont="1"/>
    <xf numFmtId="0" fontId="7" fillId="6" borderId="2" xfId="0" applyFont="1" applyFill="1" applyBorder="1"/>
    <xf numFmtId="0" fontId="7" fillId="10" borderId="2" xfId="0" applyFont="1" applyFill="1" applyBorder="1" applyAlignment="1">
      <alignment horizontal="center"/>
    </xf>
    <xf numFmtId="171" fontId="7" fillId="10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71" fontId="7" fillId="2" borderId="2" xfId="0" applyNumberFormat="1" applyFont="1" applyFill="1" applyBorder="1" applyAlignment="1">
      <alignment horizontal="center"/>
    </xf>
    <xf numFmtId="3" fontId="6" fillId="6" borderId="2" xfId="1" applyNumberFormat="1" applyFont="1" applyFill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10" fontId="7" fillId="0" borderId="0" xfId="5" applyNumberFormat="1" applyFont="1" applyBorder="1"/>
    <xf numFmtId="0" fontId="7" fillId="0" borderId="16" xfId="0" applyFont="1" applyBorder="1"/>
    <xf numFmtId="1" fontId="7" fillId="0" borderId="2" xfId="0" applyNumberFormat="1" applyFont="1" applyBorder="1" applyAlignment="1">
      <alignment vertical="center"/>
    </xf>
    <xf numFmtId="10" fontId="7" fillId="0" borderId="0" xfId="5" applyNumberFormat="1" applyFont="1"/>
    <xf numFmtId="169" fontId="22" fillId="0" borderId="2" xfId="5" applyNumberFormat="1" applyFont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1" fontId="4" fillId="0" borderId="2" xfId="1" applyNumberFormat="1" applyFont="1" applyBorder="1" applyAlignment="1">
      <alignment horizontal="center" vertical="center"/>
    </xf>
    <xf numFmtId="171" fontId="13" fillId="0" borderId="2" xfId="0" applyNumberFormat="1" applyFont="1" applyBorder="1" applyAlignment="1">
      <alignment horizontal="center"/>
    </xf>
    <xf numFmtId="171" fontId="13" fillId="0" borderId="0" xfId="0" applyNumberFormat="1" applyFont="1" applyAlignment="1">
      <alignment horizontal="center" vertical="center"/>
    </xf>
    <xf numFmtId="0" fontId="13" fillId="0" borderId="2" xfId="0" applyFont="1" applyBorder="1"/>
    <xf numFmtId="169" fontId="7" fillId="0" borderId="2" xfId="5" applyNumberFormat="1" applyFont="1" applyBorder="1" applyAlignment="1">
      <alignment vertical="center"/>
    </xf>
    <xf numFmtId="10" fontId="7" fillId="0" borderId="2" xfId="5" applyNumberFormat="1" applyFont="1" applyBorder="1" applyAlignment="1">
      <alignment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center" vertical="center" wrapText="1"/>
    </xf>
    <xf numFmtId="179" fontId="22" fillId="0" borderId="2" xfId="8" applyNumberFormat="1" applyFont="1" applyBorder="1" applyAlignment="1">
      <alignment vertical="center" wrapText="1"/>
    </xf>
    <xf numFmtId="2" fontId="22" fillId="0" borderId="2" xfId="0" applyNumberFormat="1" applyFont="1" applyBorder="1" applyAlignment="1">
      <alignment vertical="center" wrapText="1"/>
    </xf>
    <xf numFmtId="41" fontId="22" fillId="0" borderId="2" xfId="8" applyFont="1" applyBorder="1" applyAlignment="1">
      <alignment vertical="center" wrapText="1"/>
    </xf>
    <xf numFmtId="172" fontId="22" fillId="0" borderId="2" xfId="1" applyNumberFormat="1" applyFont="1" applyBorder="1" applyAlignment="1">
      <alignment vertical="center"/>
    </xf>
    <xf numFmtId="172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vertical="center"/>
    </xf>
    <xf numFmtId="172" fontId="22" fillId="0" borderId="0" xfId="1" applyNumberFormat="1" applyFont="1" applyBorder="1" applyAlignment="1">
      <alignment vertical="center"/>
    </xf>
    <xf numFmtId="172" fontId="22" fillId="0" borderId="2" xfId="1" applyNumberFormat="1" applyFont="1" applyBorder="1" applyAlignment="1">
      <alignment horizontal="center" vertical="center"/>
    </xf>
    <xf numFmtId="172" fontId="22" fillId="0" borderId="2" xfId="0" applyNumberFormat="1" applyFont="1" applyBorder="1" applyAlignment="1">
      <alignment vertical="center"/>
    </xf>
    <xf numFmtId="2" fontId="22" fillId="0" borderId="0" xfId="0" applyNumberFormat="1" applyFont="1" applyAlignment="1">
      <alignment vertical="center" wrapText="1"/>
    </xf>
    <xf numFmtId="179" fontId="22" fillId="0" borderId="0" xfId="8" applyNumberFormat="1" applyFont="1" applyBorder="1" applyAlignment="1">
      <alignment vertical="center" wrapText="1"/>
    </xf>
    <xf numFmtId="41" fontId="22" fillId="0" borderId="0" xfId="8" applyFont="1" applyBorder="1" applyAlignment="1">
      <alignment vertical="center" wrapText="1"/>
    </xf>
    <xf numFmtId="172" fontId="22" fillId="0" borderId="0" xfId="0" applyNumberFormat="1" applyFont="1" applyAlignment="1">
      <alignment vertical="center"/>
    </xf>
    <xf numFmtId="172" fontId="22" fillId="0" borderId="0" xfId="0" applyNumberFormat="1" applyFont="1"/>
    <xf numFmtId="10" fontId="22" fillId="0" borderId="2" xfId="5" applyNumberFormat="1" applyFont="1" applyBorder="1" applyAlignment="1">
      <alignment vertical="center" wrapText="1"/>
    </xf>
    <xf numFmtId="10" fontId="6" fillId="0" borderId="2" xfId="5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vertical="center" wrapText="1"/>
    </xf>
    <xf numFmtId="3" fontId="21" fillId="0" borderId="0" xfId="0" applyNumberFormat="1" applyFont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/>
    </xf>
    <xf numFmtId="0" fontId="32" fillId="0" borderId="0" xfId="0" applyFont="1"/>
    <xf numFmtId="0" fontId="19" fillId="0" borderId="0" xfId="0" applyFont="1"/>
    <xf numFmtId="0" fontId="32" fillId="0" borderId="0" xfId="0" applyFont="1" applyAlignment="1">
      <alignment horizontal="center"/>
    </xf>
    <xf numFmtId="0" fontId="30" fillId="0" borderId="0" xfId="0" applyFont="1"/>
    <xf numFmtId="172" fontId="32" fillId="0" borderId="0" xfId="0" applyNumberFormat="1" applyFont="1"/>
    <xf numFmtId="0" fontId="31" fillId="0" borderId="2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172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9" borderId="2" xfId="0" applyFont="1" applyFill="1" applyBorder="1" applyAlignment="1">
      <alignment horizontal="center"/>
    </xf>
    <xf numFmtId="10" fontId="31" fillId="9" borderId="17" xfId="5" applyNumberFormat="1" applyFont="1" applyFill="1" applyBorder="1" applyAlignment="1">
      <alignment horizontal="center"/>
    </xf>
    <xf numFmtId="0" fontId="30" fillId="9" borderId="2" xfId="0" applyFont="1" applyFill="1" applyBorder="1" applyAlignment="1">
      <alignment horizontal="center" vertical="center"/>
    </xf>
    <xf numFmtId="10" fontId="30" fillId="9" borderId="17" xfId="5" applyNumberFormat="1" applyFont="1" applyFill="1" applyBorder="1"/>
    <xf numFmtId="0" fontId="31" fillId="9" borderId="2" xfId="0" applyFont="1" applyFill="1" applyBorder="1" applyAlignment="1">
      <alignment horizontal="center" vertical="center"/>
    </xf>
    <xf numFmtId="10" fontId="31" fillId="9" borderId="17" xfId="5" applyNumberFormat="1" applyFont="1" applyFill="1" applyBorder="1"/>
    <xf numFmtId="0" fontId="30" fillId="9" borderId="13" xfId="0" applyFont="1" applyFill="1" applyBorder="1" applyAlignment="1">
      <alignment horizontal="left"/>
    </xf>
    <xf numFmtId="0" fontId="30" fillId="9" borderId="10" xfId="0" applyFont="1" applyFill="1" applyBorder="1" applyAlignment="1">
      <alignment horizontal="left"/>
    </xf>
    <xf numFmtId="0" fontId="30" fillId="9" borderId="12" xfId="0" applyFont="1" applyFill="1" applyBorder="1" applyAlignment="1">
      <alignment horizontal="left"/>
    </xf>
    <xf numFmtId="0" fontId="32" fillId="0" borderId="10" xfId="22" applyFont="1" applyBorder="1" applyAlignment="1">
      <alignment vertical="center" wrapText="1"/>
    </xf>
    <xf numFmtId="0" fontId="32" fillId="0" borderId="12" xfId="22" applyFont="1" applyBorder="1" applyAlignment="1">
      <alignment vertical="center" wrapText="1"/>
    </xf>
    <xf numFmtId="10" fontId="30" fillId="0" borderId="0" xfId="5" applyNumberFormat="1" applyFont="1"/>
    <xf numFmtId="0" fontId="32" fillId="0" borderId="0" xfId="0" applyFont="1" applyAlignment="1">
      <alignment horizontal="right"/>
    </xf>
    <xf numFmtId="41" fontId="22" fillId="16" borderId="2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16" fillId="13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169" fontId="6" fillId="0" borderId="2" xfId="5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7" fillId="6" borderId="13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vertical="center"/>
    </xf>
    <xf numFmtId="0" fontId="34" fillId="17" borderId="2" xfId="0" applyFont="1" applyFill="1" applyBorder="1" applyAlignment="1">
      <alignment vertical="center"/>
    </xf>
    <xf numFmtId="0" fontId="13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0" fillId="6" borderId="13" xfId="0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vertical="center" wrapText="1"/>
    </xf>
    <xf numFmtId="0" fontId="34" fillId="17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24" fillId="4" borderId="6" xfId="0" applyFont="1" applyFill="1" applyBorder="1" applyAlignment="1">
      <alignment horizontal="center" vertical="center" wrapText="1"/>
    </xf>
    <xf numFmtId="0" fontId="6" fillId="6" borderId="0" xfId="0" quotePrefix="1" applyFont="1" applyFill="1" applyAlignment="1">
      <alignment horizontal="center" vertical="center" wrapText="1"/>
    </xf>
    <xf numFmtId="0" fontId="24" fillId="6" borderId="6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2" fontId="6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right" vertical="center" wrapText="1"/>
    </xf>
    <xf numFmtId="2" fontId="6" fillId="6" borderId="15" xfId="0" applyNumberFormat="1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/>
    </xf>
    <xf numFmtId="2" fontId="6" fillId="6" borderId="15" xfId="0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167" fontId="6" fillId="6" borderId="0" xfId="0" applyNumberFormat="1" applyFont="1" applyFill="1" applyAlignment="1">
      <alignment vertical="center"/>
    </xf>
    <xf numFmtId="172" fontId="6" fillId="6" borderId="0" xfId="1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3" fontId="5" fillId="6" borderId="0" xfId="0" applyNumberFormat="1" applyFont="1" applyFill="1" applyAlignment="1">
      <alignment horizontal="center" vertical="center"/>
    </xf>
    <xf numFmtId="0" fontId="6" fillId="6" borderId="15" xfId="0" applyFont="1" applyFill="1" applyBorder="1" applyAlignment="1">
      <alignment vertical="center"/>
    </xf>
    <xf numFmtId="2" fontId="6" fillId="6" borderId="0" xfId="0" applyNumberFormat="1" applyFont="1" applyFill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6" fillId="6" borderId="15" xfId="0" applyFont="1" applyFill="1" applyBorder="1" applyAlignment="1">
      <alignment vertical="center" wrapText="1"/>
    </xf>
    <xf numFmtId="0" fontId="8" fillId="6" borderId="0" xfId="0" applyFont="1" applyFill="1" applyAlignment="1">
      <alignment horizontal="center" vertical="center"/>
    </xf>
    <xf numFmtId="168" fontId="8" fillId="6" borderId="0" xfId="0" applyNumberFormat="1" applyFont="1" applyFill="1" applyAlignment="1">
      <alignment horizontal="center" vertical="center"/>
    </xf>
    <xf numFmtId="169" fontId="8" fillId="6" borderId="0" xfId="0" applyNumberFormat="1" applyFont="1" applyFill="1" applyAlignment="1">
      <alignment horizontal="right" vertical="center"/>
    </xf>
    <xf numFmtId="3" fontId="8" fillId="6" borderId="0" xfId="0" applyNumberFormat="1" applyFont="1" applyFill="1" applyAlignment="1">
      <alignment vertical="center"/>
    </xf>
    <xf numFmtId="167" fontId="8" fillId="6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5" fillId="6" borderId="16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 wrapText="1"/>
    </xf>
    <xf numFmtId="4" fontId="6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175" fontId="6" fillId="6" borderId="0" xfId="0" applyNumberFormat="1" applyFont="1" applyFill="1" applyAlignment="1">
      <alignment horizontal="center" vertical="center" wrapText="1"/>
    </xf>
    <xf numFmtId="177" fontId="6" fillId="6" borderId="0" xfId="0" applyNumberFormat="1" applyFont="1" applyFill="1" applyAlignment="1">
      <alignment vertical="center"/>
    </xf>
    <xf numFmtId="2" fontId="6" fillId="6" borderId="0" xfId="0" applyNumberFormat="1" applyFont="1" applyFill="1" applyAlignment="1">
      <alignment horizontal="center" vertical="center"/>
    </xf>
    <xf numFmtId="41" fontId="6" fillId="6" borderId="0" xfId="8" applyFont="1" applyFill="1" applyBorder="1" applyAlignment="1">
      <alignment vertical="center"/>
    </xf>
    <xf numFmtId="41" fontId="6" fillId="6" borderId="15" xfId="8" applyFont="1" applyFill="1" applyBorder="1" applyAlignment="1">
      <alignment vertical="center"/>
    </xf>
    <xf numFmtId="41" fontId="5" fillId="6" borderId="0" xfId="8" applyFont="1" applyFill="1" applyBorder="1" applyAlignment="1">
      <alignment horizontal="center" vertical="center"/>
    </xf>
    <xf numFmtId="168" fontId="8" fillId="6" borderId="0" xfId="0" applyNumberFormat="1" applyFont="1" applyFill="1" applyAlignment="1">
      <alignment horizontal="left" vertical="center"/>
    </xf>
    <xf numFmtId="175" fontId="5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41" fontId="6" fillId="6" borderId="15" xfId="8" applyFont="1" applyFill="1" applyBorder="1" applyAlignment="1">
      <alignment vertical="center" wrapText="1"/>
    </xf>
    <xf numFmtId="0" fontId="7" fillId="6" borderId="0" xfId="0" applyFont="1" applyFill="1" applyAlignment="1">
      <alignment vertical="center"/>
    </xf>
    <xf numFmtId="41" fontId="7" fillId="6" borderId="0" xfId="8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36" fillId="6" borderId="0" xfId="4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 wrapText="1"/>
    </xf>
    <xf numFmtId="41" fontId="7" fillId="6" borderId="0" xfId="8" applyFont="1" applyFill="1" applyAlignment="1">
      <alignment vertical="center" wrapText="1"/>
    </xf>
    <xf numFmtId="165" fontId="8" fillId="6" borderId="0" xfId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center" vertical="center"/>
    </xf>
    <xf numFmtId="168" fontId="8" fillId="6" borderId="0" xfId="0" applyNumberFormat="1" applyFont="1" applyFill="1" applyAlignment="1">
      <alignment horizontal="left" vertical="center" wrapText="1"/>
    </xf>
    <xf numFmtId="41" fontId="7" fillId="8" borderId="0" xfId="8" applyFont="1" applyFill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41" fontId="6" fillId="6" borderId="0" xfId="8" applyFont="1" applyFill="1" applyBorder="1" applyAlignment="1">
      <alignment horizontal="center" vertical="center" wrapText="1"/>
    </xf>
    <xf numFmtId="41" fontId="7" fillId="6" borderId="0" xfId="8" applyFont="1" applyFill="1" applyAlignment="1">
      <alignment horizontal="center" vertical="center"/>
    </xf>
    <xf numFmtId="41" fontId="7" fillId="6" borderId="0" xfId="8" applyFont="1" applyFill="1" applyBorder="1" applyAlignment="1" applyProtection="1">
      <alignment vertical="center"/>
    </xf>
    <xf numFmtId="172" fontId="6" fillId="6" borderId="0" xfId="1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165" fontId="8" fillId="6" borderId="0" xfId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right" vertical="center" wrapText="1"/>
    </xf>
    <xf numFmtId="179" fontId="7" fillId="0" borderId="12" xfId="8" applyNumberFormat="1" applyFont="1" applyBorder="1" applyAlignment="1">
      <alignment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172" fontId="7" fillId="0" borderId="2" xfId="1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42" fontId="7" fillId="0" borderId="0" xfId="40" applyFont="1" applyFill="1" applyProtection="1"/>
    <xf numFmtId="42" fontId="7" fillId="0" borderId="0" xfId="40" applyFont="1"/>
    <xf numFmtId="42" fontId="24" fillId="0" borderId="0" xfId="40" applyFont="1" applyAlignment="1">
      <alignment horizontal="center" vertical="center"/>
    </xf>
    <xf numFmtId="42" fontId="7" fillId="0" borderId="0" xfId="40" applyFont="1" applyAlignment="1">
      <alignment horizontal="center" vertical="center"/>
    </xf>
    <xf numFmtId="42" fontId="7" fillId="0" borderId="0" xfId="40" applyFont="1" applyAlignment="1">
      <alignment vertical="center"/>
    </xf>
    <xf numFmtId="0" fontId="33" fillId="0" borderId="19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4" fillId="13" borderId="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/>
    </xf>
    <xf numFmtId="179" fontId="22" fillId="0" borderId="12" xfId="8" applyNumberFormat="1" applyFont="1" applyBorder="1" applyAlignment="1">
      <alignment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41" fontId="7" fillId="8" borderId="2" xfId="0" applyNumberFormat="1" applyFont="1" applyFill="1" applyBorder="1" applyAlignment="1">
      <alignment vertical="center"/>
    </xf>
    <xf numFmtId="172" fontId="7" fillId="8" borderId="2" xfId="1" applyNumberFormat="1" applyFont="1" applyFill="1" applyBorder="1" applyAlignment="1">
      <alignment horizontal="right" vertical="center"/>
    </xf>
    <xf numFmtId="172" fontId="7" fillId="8" borderId="2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" fontId="7" fillId="8" borderId="2" xfId="0" applyNumberFormat="1" applyFont="1" applyFill="1" applyBorder="1" applyAlignment="1">
      <alignment vertical="center"/>
    </xf>
    <xf numFmtId="9" fontId="7" fillId="0" borderId="0" xfId="5" applyFont="1"/>
    <xf numFmtId="0" fontId="7" fillId="0" borderId="24" xfId="0" applyFont="1" applyBorder="1"/>
    <xf numFmtId="185" fontId="7" fillId="0" borderId="25" xfId="41" applyNumberFormat="1" applyFont="1" applyBorder="1"/>
    <xf numFmtId="0" fontId="24" fillId="8" borderId="23" xfId="0" applyFont="1" applyFill="1" applyBorder="1" applyAlignment="1">
      <alignment horizontal="center"/>
    </xf>
    <xf numFmtId="185" fontId="24" fillId="8" borderId="23" xfId="0" applyNumberFormat="1" applyFont="1" applyFill="1" applyBorder="1" applyAlignment="1">
      <alignment horizontal="center"/>
    </xf>
    <xf numFmtId="0" fontId="7" fillId="0" borderId="29" xfId="0" applyFont="1" applyBorder="1"/>
    <xf numFmtId="9" fontId="7" fillId="0" borderId="17" xfId="0" applyNumberFormat="1" applyFont="1" applyBorder="1"/>
    <xf numFmtId="0" fontId="24" fillId="0" borderId="30" xfId="0" applyFont="1" applyBorder="1"/>
    <xf numFmtId="9" fontId="24" fillId="0" borderId="28" xfId="0" applyNumberFormat="1" applyFont="1" applyBorder="1"/>
    <xf numFmtId="186" fontId="7" fillId="0" borderId="25" xfId="5" applyNumberFormat="1" applyFont="1" applyBorder="1"/>
    <xf numFmtId="0" fontId="7" fillId="0" borderId="9" xfId="0" applyFont="1" applyBorder="1" applyAlignment="1">
      <alignment horizontal="center" vertical="center"/>
    </xf>
    <xf numFmtId="172" fontId="5" fillId="0" borderId="2" xfId="1" applyNumberFormat="1" applyFont="1" applyBorder="1" applyAlignment="1">
      <alignment horizontal="right"/>
    </xf>
    <xf numFmtId="0" fontId="7" fillId="6" borderId="2" xfId="0" applyFont="1" applyFill="1" applyBorder="1" applyAlignment="1">
      <alignment horizontal="center" vertical="center"/>
    </xf>
    <xf numFmtId="186" fontId="7" fillId="0" borderId="0" xfId="5" applyNumberFormat="1" applyFont="1"/>
    <xf numFmtId="42" fontId="7" fillId="0" borderId="2" xfId="40" applyFont="1" applyBorder="1"/>
    <xf numFmtId="0" fontId="22" fillId="0" borderId="5" xfId="0" applyFont="1" applyBorder="1" applyAlignment="1">
      <alignment horizontal="center" vertical="center" wrapText="1"/>
    </xf>
    <xf numFmtId="172" fontId="7" fillId="0" borderId="2" xfId="10" applyNumberFormat="1" applyFont="1" applyBorder="1" applyAlignment="1">
      <alignment horizontal="right" vertical="center"/>
    </xf>
    <xf numFmtId="185" fontId="7" fillId="0" borderId="2" xfId="41" applyNumberFormat="1" applyFont="1" applyBorder="1" applyAlignment="1">
      <alignment vertical="center"/>
    </xf>
    <xf numFmtId="185" fontId="7" fillId="0" borderId="2" xfId="41" applyNumberFormat="1" applyFont="1" applyBorder="1" applyAlignment="1">
      <alignment horizontal="right" vertical="center"/>
    </xf>
    <xf numFmtId="9" fontId="24" fillId="0" borderId="2" xfId="5" applyFont="1" applyBorder="1" applyAlignment="1">
      <alignment horizontal="center"/>
    </xf>
    <xf numFmtId="185" fontId="5" fillId="0" borderId="2" xfId="41" applyNumberFormat="1" applyFont="1" applyBorder="1" applyAlignment="1"/>
    <xf numFmtId="10" fontId="6" fillId="0" borderId="13" xfId="5" applyNumberFormat="1" applyFont="1" applyBorder="1" applyAlignment="1">
      <alignment horizontal="center" vertical="center"/>
    </xf>
    <xf numFmtId="169" fontId="6" fillId="0" borderId="13" xfId="5" applyNumberFormat="1" applyFont="1" applyBorder="1" applyAlignment="1">
      <alignment horizontal="center" vertical="center"/>
    </xf>
    <xf numFmtId="169" fontId="6" fillId="6" borderId="10" xfId="5" applyNumberFormat="1" applyFont="1" applyFill="1" applyBorder="1" applyAlignment="1">
      <alignment horizontal="center"/>
    </xf>
    <xf numFmtId="42" fontId="7" fillId="0" borderId="2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85" fontId="7" fillId="0" borderId="17" xfId="41" applyNumberFormat="1" applyFont="1" applyBorder="1" applyAlignment="1">
      <alignment horizontal="center" vertical="center"/>
    </xf>
    <xf numFmtId="185" fontId="7" fillId="0" borderId="17" xfId="41" applyNumberFormat="1" applyFont="1" applyBorder="1" applyAlignment="1">
      <alignment horizontal="right" vertical="center"/>
    </xf>
    <xf numFmtId="0" fontId="7" fillId="0" borderId="29" xfId="0" applyFont="1" applyBorder="1" applyAlignment="1">
      <alignment vertical="center"/>
    </xf>
    <xf numFmtId="0" fontId="7" fillId="0" borderId="32" xfId="0" applyFont="1" applyBorder="1"/>
    <xf numFmtId="0" fontId="7" fillId="0" borderId="32" xfId="0" applyFont="1" applyBorder="1" applyAlignment="1">
      <alignment horizontal="center" vertical="center"/>
    </xf>
    <xf numFmtId="185" fontId="7" fillId="0" borderId="32" xfId="41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185" fontId="7" fillId="6" borderId="2" xfId="41" applyNumberFormat="1" applyFont="1" applyFill="1" applyBorder="1" applyAlignment="1">
      <alignment horizontal="right" vertical="center"/>
    </xf>
    <xf numFmtId="185" fontId="7" fillId="6" borderId="17" xfId="41" applyNumberFormat="1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185" fontId="7" fillId="6" borderId="32" xfId="41" applyNumberFormat="1" applyFont="1" applyFill="1" applyBorder="1" applyAlignment="1">
      <alignment horizontal="right" vertical="center"/>
    </xf>
    <xf numFmtId="185" fontId="7" fillId="6" borderId="33" xfId="41" applyNumberFormat="1" applyFont="1" applyFill="1" applyBorder="1" applyAlignment="1">
      <alignment horizontal="center" vertical="center"/>
    </xf>
    <xf numFmtId="0" fontId="24" fillId="19" borderId="34" xfId="0" applyFont="1" applyFill="1" applyBorder="1" applyAlignment="1">
      <alignment horizontal="center" vertical="center"/>
    </xf>
    <xf numFmtId="0" fontId="24" fillId="19" borderId="0" xfId="0" applyFont="1" applyFill="1" applyAlignment="1">
      <alignment horizontal="center" vertical="center"/>
    </xf>
    <xf numFmtId="0" fontId="24" fillId="19" borderId="8" xfId="0" applyFont="1" applyFill="1" applyBorder="1" applyAlignment="1">
      <alignment horizontal="center" vertical="center"/>
    </xf>
    <xf numFmtId="185" fontId="5" fillId="19" borderId="2" xfId="41" applyNumberFormat="1" applyFont="1" applyFill="1" applyBorder="1" applyAlignment="1"/>
    <xf numFmtId="0" fontId="24" fillId="20" borderId="34" xfId="0" applyFont="1" applyFill="1" applyBorder="1" applyAlignment="1">
      <alignment horizontal="center" vertical="center"/>
    </xf>
    <xf numFmtId="0" fontId="24" fillId="20" borderId="8" xfId="0" applyFont="1" applyFill="1" applyBorder="1" applyAlignment="1">
      <alignment horizontal="center" vertical="center" wrapText="1"/>
    </xf>
    <xf numFmtId="0" fontId="24" fillId="20" borderId="8" xfId="0" applyFont="1" applyFill="1" applyBorder="1" applyAlignment="1">
      <alignment horizontal="center" vertical="center"/>
    </xf>
    <xf numFmtId="0" fontId="24" fillId="20" borderId="8" xfId="0" applyFont="1" applyFill="1" applyBorder="1" applyAlignment="1">
      <alignment horizontal="right" vertical="center"/>
    </xf>
    <xf numFmtId="185" fontId="7" fillId="0" borderId="13" xfId="0" applyNumberFormat="1" applyFont="1" applyBorder="1"/>
    <xf numFmtId="42" fontId="7" fillId="0" borderId="13" xfId="40" applyFont="1" applyBorder="1"/>
    <xf numFmtId="185" fontId="7" fillId="0" borderId="13" xfId="0" applyNumberFormat="1" applyFont="1" applyBorder="1" applyAlignment="1">
      <alignment vertical="center"/>
    </xf>
    <xf numFmtId="42" fontId="7" fillId="0" borderId="31" xfId="40" applyFont="1" applyBorder="1"/>
    <xf numFmtId="42" fontId="7" fillId="0" borderId="41" xfId="0" applyNumberFormat="1" applyFont="1" applyBorder="1" applyAlignment="1">
      <alignment horizontal="center" vertical="center"/>
    </xf>
    <xf numFmtId="42" fontId="7" fillId="0" borderId="43" xfId="0" applyNumberFormat="1" applyFont="1" applyBorder="1" applyAlignment="1">
      <alignment horizontal="center" vertical="center"/>
    </xf>
    <xf numFmtId="42" fontId="7" fillId="0" borderId="40" xfId="0" applyNumberFormat="1" applyFont="1" applyBorder="1" applyAlignment="1">
      <alignment horizontal="center" vertical="center"/>
    </xf>
    <xf numFmtId="42" fontId="7" fillId="0" borderId="42" xfId="0" applyNumberFormat="1" applyFont="1" applyBorder="1" applyAlignment="1">
      <alignment horizontal="center" vertical="center"/>
    </xf>
    <xf numFmtId="185" fontId="24" fillId="19" borderId="23" xfId="41" applyNumberFormat="1" applyFont="1" applyFill="1" applyBorder="1" applyAlignment="1">
      <alignment vertical="center"/>
    </xf>
    <xf numFmtId="42" fontId="7" fillId="0" borderId="6" xfId="40" applyFont="1" applyBorder="1"/>
    <xf numFmtId="185" fontId="7" fillId="0" borderId="3" xfId="0" applyNumberFormat="1" applyFont="1" applyBorder="1" applyAlignment="1">
      <alignment vertical="center"/>
    </xf>
    <xf numFmtId="185" fontId="7" fillId="0" borderId="6" xfId="0" applyNumberFormat="1" applyFont="1" applyBorder="1" applyAlignment="1">
      <alignment vertical="center"/>
    </xf>
    <xf numFmtId="42" fontId="7" fillId="0" borderId="3" xfId="40" applyFont="1" applyBorder="1"/>
    <xf numFmtId="185" fontId="7" fillId="0" borderId="44" xfId="41" applyNumberFormat="1" applyFont="1" applyBorder="1" applyAlignment="1">
      <alignment horizontal="center" vertical="center"/>
    </xf>
    <xf numFmtId="185" fontId="7" fillId="0" borderId="35" xfId="41" applyNumberFormat="1" applyFont="1" applyBorder="1" applyAlignment="1">
      <alignment horizontal="center" vertical="center"/>
    </xf>
    <xf numFmtId="185" fontId="24" fillId="20" borderId="23" xfId="41" applyNumberFormat="1" applyFont="1" applyFill="1" applyBorder="1" applyAlignment="1">
      <alignment vertical="center"/>
    </xf>
    <xf numFmtId="185" fontId="7" fillId="6" borderId="35" xfId="41" applyNumberFormat="1" applyFont="1" applyFill="1" applyBorder="1" applyAlignment="1">
      <alignment horizontal="center" vertical="center"/>
    </xf>
    <xf numFmtId="44" fontId="24" fillId="20" borderId="23" xfId="41" applyFont="1" applyFill="1" applyBorder="1" applyAlignment="1">
      <alignment vertical="center"/>
    </xf>
    <xf numFmtId="185" fontId="7" fillId="0" borderId="35" xfId="41" applyNumberFormat="1" applyFont="1" applyBorder="1" applyAlignment="1">
      <alignment horizontal="right" vertical="center"/>
    </xf>
    <xf numFmtId="0" fontId="24" fillId="20" borderId="45" xfId="0" applyFont="1" applyFill="1" applyBorder="1" applyAlignment="1">
      <alignment horizontal="center" vertical="center"/>
    </xf>
    <xf numFmtId="0" fontId="24" fillId="19" borderId="16" xfId="0" applyFont="1" applyFill="1" applyBorder="1" applyAlignment="1">
      <alignment horizontal="center" vertical="center"/>
    </xf>
    <xf numFmtId="42" fontId="7" fillId="0" borderId="3" xfId="40" applyFont="1" applyBorder="1" applyAlignment="1">
      <alignment horizontal="center" vertical="center"/>
    </xf>
    <xf numFmtId="42" fontId="7" fillId="0" borderId="6" xfId="40" applyFont="1" applyBorder="1" applyAlignment="1">
      <alignment horizontal="center" vertical="center"/>
    </xf>
    <xf numFmtId="185" fontId="7" fillId="0" borderId="3" xfId="0" applyNumberFormat="1" applyFont="1" applyBorder="1"/>
    <xf numFmtId="185" fontId="7" fillId="0" borderId="6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19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wrapText="1"/>
    </xf>
    <xf numFmtId="185" fontId="39" fillId="0" borderId="2" xfId="41" applyNumberFormat="1" applyFont="1" applyBorder="1" applyAlignment="1">
      <alignment horizontal="center" vertical="center"/>
    </xf>
    <xf numFmtId="185" fontId="39" fillId="19" borderId="2" xfId="41" applyNumberFormat="1" applyFont="1" applyFill="1" applyBorder="1" applyAlignment="1">
      <alignment horizontal="center" vertical="center"/>
    </xf>
    <xf numFmtId="42" fontId="40" fillId="6" borderId="47" xfId="0" applyNumberFormat="1" applyFont="1" applyFill="1" applyBorder="1" applyAlignment="1">
      <alignment horizontal="center" vertical="center"/>
    </xf>
    <xf numFmtId="6" fontId="40" fillId="20" borderId="2" xfId="0" applyNumberFormat="1" applyFont="1" applyFill="1" applyBorder="1" applyAlignment="1">
      <alignment horizontal="center" vertical="center"/>
    </xf>
    <xf numFmtId="6" fontId="40" fillId="6" borderId="2" xfId="0" applyNumberFormat="1" applyFont="1" applyFill="1" applyBorder="1" applyAlignment="1">
      <alignment horizontal="center" vertical="center"/>
    </xf>
    <xf numFmtId="188" fontId="39" fillId="0" borderId="48" xfId="0" applyNumberFormat="1" applyFont="1" applyBorder="1" applyAlignment="1">
      <alignment vertical="center"/>
    </xf>
    <xf numFmtId="185" fontId="39" fillId="0" borderId="2" xfId="41" applyNumberFormat="1" applyFont="1" applyBorder="1" applyAlignment="1">
      <alignment horizontal="center" vertical="center" wrapText="1"/>
    </xf>
    <xf numFmtId="42" fontId="40" fillId="6" borderId="36" xfId="0" applyNumberFormat="1" applyFont="1" applyFill="1" applyBorder="1" applyAlignment="1">
      <alignment horizontal="center" vertical="center"/>
    </xf>
    <xf numFmtId="44" fontId="41" fillId="19" borderId="2" xfId="41" applyFont="1" applyFill="1" applyBorder="1" applyAlignment="1">
      <alignment horizontal="center" vertical="center"/>
    </xf>
    <xf numFmtId="185" fontId="41" fillId="0" borderId="2" xfId="41" applyNumberFormat="1" applyFont="1" applyBorder="1" applyAlignment="1">
      <alignment horizontal="center" vertical="center"/>
    </xf>
    <xf numFmtId="185" fontId="41" fillId="20" borderId="2" xfId="41" applyNumberFormat="1" applyFont="1" applyFill="1" applyBorder="1" applyAlignment="1">
      <alignment horizontal="center" vertical="center"/>
    </xf>
    <xf numFmtId="185" fontId="39" fillId="20" borderId="2" xfId="41" applyNumberFormat="1" applyFont="1" applyFill="1" applyBorder="1" applyAlignment="1">
      <alignment horizontal="center" vertical="center"/>
    </xf>
    <xf numFmtId="188" fontId="39" fillId="0" borderId="2" xfId="0" applyNumberFormat="1" applyFont="1" applyBorder="1" applyAlignment="1">
      <alignment vertical="center"/>
    </xf>
    <xf numFmtId="44" fontId="41" fillId="0" borderId="2" xfId="41" applyFont="1" applyBorder="1" applyAlignment="1">
      <alignment horizontal="center" vertical="center"/>
    </xf>
    <xf numFmtId="44" fontId="41" fillId="20" borderId="2" xfId="41" applyFont="1" applyFill="1" applyBorder="1" applyAlignment="1">
      <alignment horizontal="center" vertical="center"/>
    </xf>
    <xf numFmtId="188" fontId="41" fillId="0" borderId="2" xfId="0" applyNumberFormat="1" applyFont="1" applyBorder="1" applyAlignment="1">
      <alignment vertical="center"/>
    </xf>
    <xf numFmtId="185" fontId="2" fillId="19" borderId="2" xfId="0" applyNumberFormat="1" applyFont="1" applyFill="1" applyBorder="1"/>
    <xf numFmtId="185" fontId="2" fillId="0" borderId="2" xfId="0" applyNumberFormat="1" applyFont="1" applyBorder="1"/>
    <xf numFmtId="185" fontId="2" fillId="20" borderId="2" xfId="0" applyNumberFormat="1" applyFont="1" applyFill="1" applyBorder="1"/>
    <xf numFmtId="185" fontId="2" fillId="21" borderId="2" xfId="0" applyNumberFormat="1" applyFont="1" applyFill="1" applyBorder="1"/>
    <xf numFmtId="185" fontId="0" fillId="0" borderId="0" xfId="0" applyNumberFormat="1"/>
    <xf numFmtId="185" fontId="5" fillId="19" borderId="13" xfId="41" applyNumberFormat="1" applyFont="1" applyFill="1" applyBorder="1" applyAlignment="1"/>
    <xf numFmtId="0" fontId="24" fillId="22" borderId="46" xfId="0" applyFont="1" applyFill="1" applyBorder="1" applyAlignment="1">
      <alignment horizontal="center" vertical="center"/>
    </xf>
    <xf numFmtId="185" fontId="24" fillId="22" borderId="23" xfId="41" applyNumberFormat="1" applyFont="1" applyFill="1" applyBorder="1" applyAlignment="1">
      <alignment vertical="center"/>
    </xf>
    <xf numFmtId="42" fontId="7" fillId="22" borderId="23" xfId="0" applyNumberFormat="1" applyFont="1" applyFill="1" applyBorder="1" applyAlignment="1">
      <alignment horizontal="center" vertical="center"/>
    </xf>
    <xf numFmtId="42" fontId="7" fillId="22" borderId="2" xfId="0" applyNumberFormat="1" applyFont="1" applyFill="1" applyBorder="1" applyAlignment="1">
      <alignment horizontal="center" vertical="center"/>
    </xf>
    <xf numFmtId="185" fontId="5" fillId="20" borderId="2" xfId="41" applyNumberFormat="1" applyFont="1" applyFill="1" applyBorder="1" applyAlignment="1"/>
    <xf numFmtId="185" fontId="9" fillId="20" borderId="2" xfId="41" applyNumberFormat="1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185" fontId="7" fillId="7" borderId="25" xfId="41" applyNumberFormat="1" applyFont="1" applyFill="1" applyBorder="1" applyAlignment="1">
      <alignment vertical="center"/>
    </xf>
    <xf numFmtId="0" fontId="7" fillId="7" borderId="24" xfId="0" applyFont="1" applyFill="1" applyBorder="1"/>
    <xf numFmtId="9" fontId="7" fillId="7" borderId="25" xfId="5" applyFont="1" applyFill="1" applyBorder="1" applyAlignment="1">
      <alignment horizontal="center"/>
    </xf>
    <xf numFmtId="0" fontId="24" fillId="23" borderId="23" xfId="0" applyFont="1" applyFill="1" applyBorder="1" applyAlignment="1">
      <alignment horizontal="center"/>
    </xf>
    <xf numFmtId="185" fontId="24" fillId="23" borderId="23" xfId="0" applyNumberFormat="1" applyFont="1" applyFill="1" applyBorder="1" applyAlignment="1">
      <alignment horizontal="center"/>
    </xf>
    <xf numFmtId="172" fontId="7" fillId="0" borderId="2" xfId="10" applyNumberFormat="1" applyFont="1" applyBorder="1" applyAlignment="1">
      <alignment horizontal="center" vertical="center"/>
    </xf>
    <xf numFmtId="172" fontId="5" fillId="0" borderId="15" xfId="10" applyNumberFormat="1" applyFont="1" applyBorder="1" applyAlignment="1">
      <alignment horizontal="right"/>
    </xf>
    <xf numFmtId="1" fontId="7" fillId="0" borderId="15" xfId="0" applyNumberFormat="1" applyFont="1" applyBorder="1"/>
    <xf numFmtId="172" fontId="5" fillId="0" borderId="13" xfId="10" applyNumberFormat="1" applyFont="1" applyBorder="1" applyAlignment="1">
      <alignment horizontal="right"/>
    </xf>
    <xf numFmtId="172" fontId="5" fillId="0" borderId="12" xfId="10" applyNumberFormat="1" applyFont="1" applyBorder="1" applyAlignment="1">
      <alignment horizontal="right"/>
    </xf>
    <xf numFmtId="172" fontId="5" fillId="0" borderId="0" xfId="10" applyNumberFormat="1" applyFont="1" applyBorder="1" applyAlignment="1">
      <alignment horizontal="right"/>
    </xf>
    <xf numFmtId="172" fontId="7" fillId="0" borderId="0" xfId="10" applyNumberFormat="1" applyFont="1" applyBorder="1" applyAlignment="1">
      <alignment horizontal="right" vertical="center"/>
    </xf>
    <xf numFmtId="172" fontId="7" fillId="0" borderId="0" xfId="1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44" fontId="7" fillId="0" borderId="5" xfId="41" applyFont="1" applyBorder="1" applyAlignment="1">
      <alignment horizontal="center" vertical="center"/>
    </xf>
    <xf numFmtId="44" fontId="7" fillId="0" borderId="8" xfId="4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left" vertical="center"/>
    </xf>
    <xf numFmtId="165" fontId="24" fillId="13" borderId="13" xfId="1" applyFont="1" applyFill="1" applyBorder="1" applyAlignment="1">
      <alignment horizontal="right" vertical="center"/>
    </xf>
    <xf numFmtId="165" fontId="24" fillId="13" borderId="12" xfId="1" applyFont="1" applyFill="1" applyBorder="1" applyAlignment="1">
      <alignment horizontal="right" vertical="center"/>
    </xf>
    <xf numFmtId="0" fontId="33" fillId="0" borderId="18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7" fontId="24" fillId="13" borderId="13" xfId="1" applyNumberFormat="1" applyFont="1" applyFill="1" applyBorder="1" applyAlignment="1">
      <alignment horizontal="right" vertical="center"/>
    </xf>
    <xf numFmtId="187" fontId="24" fillId="13" borderId="12" xfId="1" applyNumberFormat="1" applyFont="1" applyFill="1" applyBorder="1" applyAlignment="1">
      <alignment horizontal="righ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72" fontId="5" fillId="0" borderId="2" xfId="1" applyNumberFormat="1" applyFont="1" applyBorder="1" applyAlignment="1">
      <alignment horizontal="right"/>
    </xf>
    <xf numFmtId="0" fontId="33" fillId="8" borderId="18" xfId="0" applyFont="1" applyFill="1" applyBorder="1" applyAlignment="1">
      <alignment horizontal="left" vertical="center" wrapText="1"/>
    </xf>
    <xf numFmtId="0" fontId="33" fillId="8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3" fillId="8" borderId="2" xfId="0" applyFont="1" applyFill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172" fontId="5" fillId="0" borderId="13" xfId="1" applyNumberFormat="1" applyFont="1" applyBorder="1" applyAlignment="1">
      <alignment horizontal="right"/>
    </xf>
    <xf numFmtId="172" fontId="5" fillId="0" borderId="12" xfId="1" applyNumberFormat="1" applyFont="1" applyBorder="1" applyAlignment="1">
      <alignment horizontal="right"/>
    </xf>
    <xf numFmtId="172" fontId="5" fillId="13" borderId="2" xfId="1" applyNumberFormat="1" applyFont="1" applyFill="1" applyBorder="1" applyAlignment="1">
      <alignment horizontal="right"/>
    </xf>
    <xf numFmtId="3" fontId="5" fillId="0" borderId="13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5" fontId="5" fillId="13" borderId="2" xfId="1" applyFont="1" applyFill="1" applyBorder="1" applyAlignment="1">
      <alignment horizontal="right"/>
    </xf>
    <xf numFmtId="172" fontId="9" fillId="13" borderId="13" xfId="1" applyNumberFormat="1" applyFont="1" applyFill="1" applyBorder="1" applyAlignment="1">
      <alignment horizontal="right" vertical="center"/>
    </xf>
    <xf numFmtId="172" fontId="9" fillId="13" borderId="12" xfId="1" applyNumberFormat="1" applyFont="1" applyFill="1" applyBorder="1" applyAlignment="1">
      <alignment horizontal="right" vertical="center"/>
    </xf>
    <xf numFmtId="172" fontId="9" fillId="13" borderId="10" xfId="1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24" fillId="13" borderId="13" xfId="10" applyFont="1" applyFill="1" applyBorder="1" applyAlignment="1">
      <alignment horizontal="right" vertical="center"/>
    </xf>
    <xf numFmtId="43" fontId="24" fillId="13" borderId="12" xfId="10" applyFont="1" applyFill="1" applyBorder="1" applyAlignment="1">
      <alignment horizontal="right" vertical="center"/>
    </xf>
    <xf numFmtId="172" fontId="5" fillId="0" borderId="13" xfId="10" applyNumberFormat="1" applyFont="1" applyBorder="1" applyAlignment="1">
      <alignment horizontal="right"/>
    </xf>
    <xf numFmtId="172" fontId="5" fillId="0" borderId="12" xfId="10" applyNumberFormat="1" applyFont="1" applyBorder="1" applyAlignment="1">
      <alignment horizontal="right"/>
    </xf>
    <xf numFmtId="172" fontId="5" fillId="0" borderId="2" xfId="10" applyNumberFormat="1" applyFont="1" applyBorder="1" applyAlignment="1">
      <alignment horizontal="right"/>
    </xf>
    <xf numFmtId="172" fontId="5" fillId="13" borderId="2" xfId="10" applyNumberFormat="1" applyFont="1" applyFill="1" applyBorder="1" applyAlignment="1">
      <alignment horizontal="right"/>
    </xf>
    <xf numFmtId="172" fontId="9" fillId="13" borderId="13" xfId="10" applyNumberFormat="1" applyFont="1" applyFill="1" applyBorder="1" applyAlignment="1">
      <alignment horizontal="right" vertical="center"/>
    </xf>
    <xf numFmtId="172" fontId="9" fillId="13" borderId="12" xfId="1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72" fontId="9" fillId="13" borderId="10" xfId="10" applyNumberFormat="1" applyFont="1" applyFill="1" applyBorder="1" applyAlignment="1">
      <alignment horizontal="right" vertical="center"/>
    </xf>
    <xf numFmtId="0" fontId="24" fillId="20" borderId="29" xfId="0" applyFont="1" applyFill="1" applyBorder="1" applyAlignment="1">
      <alignment horizontal="left" vertical="center"/>
    </xf>
    <xf numFmtId="0" fontId="24" fillId="20" borderId="2" xfId="0" applyFont="1" applyFill="1" applyBorder="1" applyAlignment="1">
      <alignment horizontal="left" vertical="center"/>
    </xf>
    <xf numFmtId="0" fontId="24" fillId="20" borderId="13" xfId="0" applyFont="1" applyFill="1" applyBorder="1" applyAlignment="1">
      <alignment horizontal="left" vertical="center"/>
    </xf>
    <xf numFmtId="172" fontId="5" fillId="6" borderId="0" xfId="1" applyNumberFormat="1" applyFont="1" applyFill="1" applyBorder="1" applyAlignment="1">
      <alignment horizontal="center"/>
    </xf>
    <xf numFmtId="165" fontId="24" fillId="19" borderId="39" xfId="1" applyFont="1" applyFill="1" applyBorder="1" applyAlignment="1">
      <alignment horizontal="center" vertical="center"/>
    </xf>
    <xf numFmtId="165" fontId="24" fillId="19" borderId="10" xfId="1" applyFont="1" applyFill="1" applyBorder="1" applyAlignment="1">
      <alignment horizontal="center" vertical="center"/>
    </xf>
    <xf numFmtId="0" fontId="33" fillId="6" borderId="18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left" vertical="center" wrapText="1"/>
    </xf>
    <xf numFmtId="0" fontId="33" fillId="6" borderId="32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165" fontId="24" fillId="19" borderId="38" xfId="1" applyFont="1" applyFill="1" applyBorder="1" applyAlignment="1">
      <alignment horizontal="center" vertical="center"/>
    </xf>
    <xf numFmtId="165" fontId="24" fillId="19" borderId="4" xfId="1" applyFont="1" applyFill="1" applyBorder="1" applyAlignment="1">
      <alignment horizontal="center" vertical="center"/>
    </xf>
    <xf numFmtId="187" fontId="24" fillId="19" borderId="39" xfId="1" applyNumberFormat="1" applyFont="1" applyFill="1" applyBorder="1" applyAlignment="1">
      <alignment horizontal="center" vertical="center"/>
    </xf>
    <xf numFmtId="187" fontId="24" fillId="19" borderId="10" xfId="1" applyNumberFormat="1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6" fillId="2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43" fontId="41" fillId="0" borderId="2" xfId="10" applyFont="1" applyBorder="1" applyAlignment="1">
      <alignment horizontal="center" vertical="center"/>
    </xf>
    <xf numFmtId="185" fontId="39" fillId="0" borderId="2" xfId="41" applyNumberFormat="1" applyFont="1" applyBorder="1" applyAlignment="1">
      <alignment horizontal="center" vertical="center"/>
    </xf>
    <xf numFmtId="44" fontId="41" fillId="0" borderId="2" xfId="4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 wrapText="1"/>
    </xf>
    <xf numFmtId="2" fontId="6" fillId="6" borderId="0" xfId="0" applyNumberFormat="1" applyFont="1" applyFill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70" fontId="7" fillId="6" borderId="13" xfId="0" applyNumberFormat="1" applyFont="1" applyFill="1" applyBorder="1" applyAlignment="1">
      <alignment horizontal="center" vertical="center"/>
    </xf>
    <xf numFmtId="170" fontId="7" fillId="6" borderId="10" xfId="0" applyNumberFormat="1" applyFont="1" applyFill="1" applyBorder="1" applyAlignment="1">
      <alignment horizontal="center" vertical="center"/>
    </xf>
    <xf numFmtId="170" fontId="7" fillId="6" borderId="12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72" fontId="7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41" fontId="7" fillId="0" borderId="13" xfId="8" applyFont="1" applyBorder="1" applyAlignment="1">
      <alignment horizontal="center" vertical="center" wrapText="1"/>
    </xf>
    <xf numFmtId="41" fontId="7" fillId="0" borderId="12" xfId="8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13" borderId="13" xfId="0" applyFont="1" applyFill="1" applyBorder="1" applyAlignment="1">
      <alignment horizontal="center" vertical="center" wrapText="1"/>
    </xf>
    <xf numFmtId="0" fontId="24" fillId="13" borderId="12" xfId="0" applyFont="1" applyFill="1" applyBorder="1" applyAlignment="1">
      <alignment horizontal="center" vertical="center" wrapText="1"/>
    </xf>
    <xf numFmtId="0" fontId="24" fillId="13" borderId="10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41" fontId="22" fillId="0" borderId="13" xfId="8" applyFont="1" applyBorder="1" applyAlignment="1">
      <alignment horizontal="center" vertical="center" wrapText="1"/>
    </xf>
    <xf numFmtId="41" fontId="22" fillId="0" borderId="12" xfId="8" applyFont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6" fillId="13" borderId="12" xfId="0" applyFont="1" applyFill="1" applyBorder="1" applyAlignment="1">
      <alignment horizontal="left" vertical="center" wrapText="1"/>
    </xf>
    <xf numFmtId="0" fontId="26" fillId="13" borderId="13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6" fillId="13" borderId="10" xfId="0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0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2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/>
    </xf>
    <xf numFmtId="0" fontId="24" fillId="4" borderId="2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6" fillId="15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7" fillId="18" borderId="2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24" fillId="13" borderId="13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24" fillId="13" borderId="12" xfId="0" applyFont="1" applyFill="1" applyBorder="1" applyAlignment="1">
      <alignment horizontal="left" vertical="center" wrapText="1"/>
    </xf>
    <xf numFmtId="0" fontId="30" fillId="9" borderId="13" xfId="0" applyFont="1" applyFill="1" applyBorder="1" applyAlignment="1">
      <alignment horizontal="left"/>
    </xf>
    <xf numFmtId="0" fontId="30" fillId="9" borderId="10" xfId="0" applyFont="1" applyFill="1" applyBorder="1" applyAlignment="1">
      <alignment horizontal="left"/>
    </xf>
    <xf numFmtId="0" fontId="30" fillId="9" borderId="12" xfId="0" applyFont="1" applyFill="1" applyBorder="1" applyAlignment="1">
      <alignment horizontal="left"/>
    </xf>
    <xf numFmtId="0" fontId="31" fillId="9" borderId="2" xfId="0" applyFont="1" applyFill="1" applyBorder="1" applyAlignment="1">
      <alignment horizontal="left" vertical="center"/>
    </xf>
    <xf numFmtId="0" fontId="31" fillId="9" borderId="13" xfId="0" applyFont="1" applyFill="1" applyBorder="1" applyAlignment="1">
      <alignment horizontal="left" vertical="center"/>
    </xf>
    <xf numFmtId="0" fontId="31" fillId="9" borderId="10" xfId="0" applyFont="1" applyFill="1" applyBorder="1" applyAlignment="1">
      <alignment horizontal="left" vertical="center"/>
    </xf>
    <xf numFmtId="0" fontId="31" fillId="9" borderId="12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9" borderId="2" xfId="0" applyFont="1" applyFill="1" applyBorder="1" applyAlignment="1">
      <alignment horizontal="left"/>
    </xf>
    <xf numFmtId="0" fontId="31" fillId="9" borderId="2" xfId="0" applyFont="1" applyFill="1" applyBorder="1" applyAlignment="1">
      <alignment horizontal="left"/>
    </xf>
    <xf numFmtId="174" fontId="32" fillId="0" borderId="2" xfId="1" applyNumberFormat="1" applyFont="1" applyBorder="1" applyAlignment="1">
      <alignment horizontal="left"/>
    </xf>
    <xf numFmtId="0" fontId="31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0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72" fontId="9" fillId="4" borderId="13" xfId="1" applyNumberFormat="1" applyFont="1" applyFill="1" applyBorder="1" applyAlignment="1">
      <alignment horizontal="right" vertical="center"/>
    </xf>
    <xf numFmtId="172" fontId="9" fillId="4" borderId="12" xfId="1" applyNumberFormat="1" applyFont="1" applyFill="1" applyBorder="1" applyAlignment="1">
      <alignment horizontal="right" vertical="center"/>
    </xf>
    <xf numFmtId="172" fontId="9" fillId="4" borderId="1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/>
    </xf>
    <xf numFmtId="165" fontId="24" fillId="4" borderId="13" xfId="1" applyFont="1" applyFill="1" applyBorder="1" applyAlignment="1">
      <alignment horizontal="right" vertical="center"/>
    </xf>
    <xf numFmtId="165" fontId="24" fillId="4" borderId="12" xfId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70" fontId="7" fillId="0" borderId="13" xfId="0" applyNumberFormat="1" applyFont="1" applyBorder="1" applyAlignment="1">
      <alignment horizontal="center" vertical="center"/>
    </xf>
    <xf numFmtId="170" fontId="7" fillId="0" borderId="10" xfId="0" applyNumberFormat="1" applyFont="1" applyBorder="1" applyAlignment="1">
      <alignment horizontal="center" vertical="center"/>
    </xf>
    <xf numFmtId="170" fontId="7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11" borderId="0" xfId="0" applyFont="1" applyFill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0" xfId="0" applyFont="1" applyAlignment="1">
      <alignment horizontal="center"/>
    </xf>
  </cellXfs>
  <cellStyles count="42">
    <cellStyle name="20% - Énfasis1 2" xfId="28" xr:uid="{00000000-0005-0000-0000-000000000000}"/>
    <cellStyle name="Hipervínculo" xfId="4" builtinId="8"/>
    <cellStyle name="Millares" xfId="1" builtinId="3"/>
    <cellStyle name="Millares [0]" xfId="8" builtinId="6"/>
    <cellStyle name="Millares 10" xfId="34" xr:uid="{00000000-0005-0000-0000-000004000000}"/>
    <cellStyle name="Millares 2" xfId="6" xr:uid="{00000000-0005-0000-0000-000005000000}"/>
    <cellStyle name="Millares 2 2" xfId="32" xr:uid="{00000000-0005-0000-0000-000006000000}"/>
    <cellStyle name="Millares 2 3" xfId="19" xr:uid="{00000000-0005-0000-0000-000007000000}"/>
    <cellStyle name="Millares 2 5" xfId="35" xr:uid="{00000000-0005-0000-0000-000008000000}"/>
    <cellStyle name="Millares 3" xfId="10" xr:uid="{00000000-0005-0000-0000-000009000000}"/>
    <cellStyle name="Millares 3 2" xfId="24" xr:uid="{00000000-0005-0000-0000-00000A000000}"/>
    <cellStyle name="Moneda" xfId="41" builtinId="4"/>
    <cellStyle name="Moneda [0]" xfId="40" builtinId="7"/>
    <cellStyle name="Moneda [0] 2" xfId="29" xr:uid="{00000000-0005-0000-0000-00000C000000}"/>
    <cellStyle name="Moneda 2" xfId="11" xr:uid="{00000000-0005-0000-0000-00000D000000}"/>
    <cellStyle name="Moneda 2 2" xfId="31" xr:uid="{00000000-0005-0000-0000-00000E000000}"/>
    <cellStyle name="Moneda 2 3" xfId="27" xr:uid="{00000000-0005-0000-0000-00000F000000}"/>
    <cellStyle name="Moneda 3" xfId="25" xr:uid="{00000000-0005-0000-0000-000010000000}"/>
    <cellStyle name="Normal" xfId="0" builtinId="0"/>
    <cellStyle name="Normal 10 2" xfId="9" xr:uid="{00000000-0005-0000-0000-000012000000}"/>
    <cellStyle name="Normal 11" xfId="20" xr:uid="{00000000-0005-0000-0000-000013000000}"/>
    <cellStyle name="Normal 12" xfId="33" xr:uid="{00000000-0005-0000-0000-000014000000}"/>
    <cellStyle name="Normal 14" xfId="2" xr:uid="{00000000-0005-0000-0000-000015000000}"/>
    <cellStyle name="Normal 14 3 2" xfId="37" xr:uid="{00000000-0005-0000-0000-000016000000}"/>
    <cellStyle name="Normal 18" xfId="38" xr:uid="{00000000-0005-0000-0000-000017000000}"/>
    <cellStyle name="Normal 2" xfId="12" xr:uid="{00000000-0005-0000-0000-000018000000}"/>
    <cellStyle name="Normal 2 2" xfId="13" xr:uid="{00000000-0005-0000-0000-000019000000}"/>
    <cellStyle name="Normal 2 2 5" xfId="39" xr:uid="{00000000-0005-0000-0000-00001A000000}"/>
    <cellStyle name="Normal 2 4" xfId="30" xr:uid="{00000000-0005-0000-0000-00001B000000}"/>
    <cellStyle name="Normal 3" xfId="23" xr:uid="{00000000-0005-0000-0000-00001C000000}"/>
    <cellStyle name="Normal 4" xfId="15" xr:uid="{00000000-0005-0000-0000-00001D000000}"/>
    <cellStyle name="Normal 5" xfId="18" xr:uid="{00000000-0005-0000-0000-00001E000000}"/>
    <cellStyle name="Normal 5 2" xfId="21" xr:uid="{00000000-0005-0000-0000-00001F000000}"/>
    <cellStyle name="Normal 6" xfId="17" xr:uid="{00000000-0005-0000-0000-000020000000}"/>
    <cellStyle name="Normal 7" xfId="16" xr:uid="{00000000-0005-0000-0000-000021000000}"/>
    <cellStyle name="Normal 8" xfId="14" xr:uid="{00000000-0005-0000-0000-000022000000}"/>
    <cellStyle name="Normal 8 2" xfId="22" xr:uid="{00000000-0005-0000-0000-000023000000}"/>
    <cellStyle name="Normal 9 2" xfId="26" xr:uid="{00000000-0005-0000-0000-000024000000}"/>
    <cellStyle name="Porcentaje" xfId="5" builtinId="5"/>
    <cellStyle name="Porcentaje 2" xfId="7" xr:uid="{00000000-0005-0000-0000-000026000000}"/>
    <cellStyle name="Porcentual 2" xfId="36" xr:uid="{00000000-0005-0000-0000-000027000000}"/>
    <cellStyle name="Porcentual 9" xfId="3" xr:uid="{00000000-0005-0000-0000-000028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CC00"/>
      <color rgb="FF008000"/>
      <color rgb="FF3399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INDICE!A1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INICIO!A1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INDICE!A1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INDICE!A1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INDICE!A1"/><Relationship Id="rId1" Type="http://schemas.openxmlformats.org/officeDocument/2006/relationships/hyperlink" Target="#INICIO!A1"/><Relationship Id="rId4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INDICE!A1"/><Relationship Id="rId4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INDICE!A1"/><Relationship Id="rId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47624</xdr:rowOff>
    </xdr:from>
    <xdr:to>
      <xdr:col>8</xdr:col>
      <xdr:colOff>828674</xdr:colOff>
      <xdr:row>0</xdr:row>
      <xdr:rowOff>409575</xdr:rowOff>
    </xdr:to>
    <xdr:sp macro="" textlink="">
      <xdr:nvSpPr>
        <xdr:cNvPr id="2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B50E3-6AB6-426A-921C-01582409B2FB}"/>
            </a:ext>
          </a:extLst>
        </xdr:cNvPr>
        <xdr:cNvSpPr/>
      </xdr:nvSpPr>
      <xdr:spPr>
        <a:xfrm>
          <a:off x="57148" y="47624"/>
          <a:ext cx="6707506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PRESUPUESTO DE OBRA</a:t>
          </a:r>
        </a:p>
      </xdr:txBody>
    </xdr:sp>
    <xdr:clientData/>
  </xdr:twoCellAnchor>
  <xdr:twoCellAnchor editAs="oneCell">
    <xdr:from>
      <xdr:col>0</xdr:col>
      <xdr:colOff>203200</xdr:colOff>
      <xdr:row>1</xdr:row>
      <xdr:rowOff>101599</xdr:rowOff>
    </xdr:from>
    <xdr:to>
      <xdr:col>4</xdr:col>
      <xdr:colOff>211015</xdr:colOff>
      <xdr:row>5</xdr:row>
      <xdr:rowOff>54233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B70299-4A24-4263-A14F-87165185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0" y="581659"/>
          <a:ext cx="2933895" cy="47079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77</xdr:row>
      <xdr:rowOff>45720</xdr:rowOff>
    </xdr:from>
    <xdr:to>
      <xdr:col>2</xdr:col>
      <xdr:colOff>213995</xdr:colOff>
      <xdr:row>78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8A4424-6A22-4CA1-AC4E-78F3B10E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5590520"/>
          <a:ext cx="572135" cy="2590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31750</xdr:rowOff>
    </xdr:from>
    <xdr:to>
      <xdr:col>10</xdr:col>
      <xdr:colOff>2540</xdr:colOff>
      <xdr:row>0</xdr:row>
      <xdr:rowOff>361950</xdr:rowOff>
    </xdr:to>
    <xdr:sp macro="" textlink="">
      <xdr:nvSpPr>
        <xdr:cNvPr id="2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46C71-C0B5-4819-8732-B160B8D35AF9}"/>
            </a:ext>
          </a:extLst>
        </xdr:cNvPr>
        <xdr:cNvSpPr/>
      </xdr:nvSpPr>
      <xdr:spPr>
        <a:xfrm>
          <a:off x="50800" y="31750"/>
          <a:ext cx="6863080" cy="330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PLAN DE MANEJO D TRANSITO"PMT"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476250</xdr:rowOff>
    </xdr:from>
    <xdr:to>
      <xdr:col>3</xdr:col>
      <xdr:colOff>577850</xdr:colOff>
      <xdr:row>4</xdr:row>
      <xdr:rowOff>5815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22D70B-05EF-430F-A020-D77A8865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0"/>
          <a:ext cx="3092450" cy="3753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18</xdr:col>
      <xdr:colOff>0</xdr:colOff>
      <xdr:row>1</xdr:row>
      <xdr:rowOff>15240</xdr:rowOff>
    </xdr:to>
    <xdr:sp macro="" textlink="">
      <xdr:nvSpPr>
        <xdr:cNvPr id="9" name="Rectángulo redondead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0" y="47624"/>
          <a:ext cx="7086600" cy="249556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CRONOGRAMA DE INVERSION </a:t>
          </a:r>
        </a:p>
      </xdr:txBody>
    </xdr:sp>
    <xdr:clientData/>
  </xdr:twoCellAnchor>
  <xdr:twoCellAnchor editAs="oneCell">
    <xdr:from>
      <xdr:col>0</xdr:col>
      <xdr:colOff>91440</xdr:colOff>
      <xdr:row>1</xdr:row>
      <xdr:rowOff>53339</xdr:rowOff>
    </xdr:from>
    <xdr:to>
      <xdr:col>8</xdr:col>
      <xdr:colOff>220980</xdr:colOff>
      <xdr:row>5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088955-95AC-4D1E-A5CB-14DA26704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" y="335279"/>
          <a:ext cx="5341620" cy="5181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95250</xdr:rowOff>
    </xdr:from>
    <xdr:to>
      <xdr:col>14</xdr:col>
      <xdr:colOff>1181100</xdr:colOff>
      <xdr:row>0</xdr:row>
      <xdr:rowOff>419100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F4244-F13A-4161-B55B-8B8DC8FE19E3}"/>
            </a:ext>
          </a:extLst>
        </xdr:cNvPr>
        <xdr:cNvSpPr/>
      </xdr:nvSpPr>
      <xdr:spPr>
        <a:xfrm>
          <a:off x="200024" y="95250"/>
          <a:ext cx="6269356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MANO DE OBRA "MDEO"</a:t>
          </a:r>
        </a:p>
      </xdr:txBody>
    </xdr:sp>
    <xdr:clientData/>
  </xdr:twoCellAnchor>
  <xdr:twoCellAnchor>
    <xdr:from>
      <xdr:col>0</xdr:col>
      <xdr:colOff>200024</xdr:colOff>
      <xdr:row>0</xdr:row>
      <xdr:rowOff>95250</xdr:rowOff>
    </xdr:from>
    <xdr:to>
      <xdr:col>14</xdr:col>
      <xdr:colOff>1181100</xdr:colOff>
      <xdr:row>0</xdr:row>
      <xdr:rowOff>419100</xdr:rowOff>
    </xdr:to>
    <xdr:sp macro="" textlink="">
      <xdr:nvSpPr>
        <xdr:cNvPr id="6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5C54F-E7D3-4CDD-A0FE-C8E06A71AE6F}"/>
            </a:ext>
          </a:extLst>
        </xdr:cNvPr>
        <xdr:cNvSpPr/>
      </xdr:nvSpPr>
      <xdr:spPr>
        <a:xfrm>
          <a:off x="200024" y="95250"/>
          <a:ext cx="6269356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MANO DE OBRA "MDEO"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534986</xdr:rowOff>
    </xdr:from>
    <xdr:to>
      <xdr:col>1</xdr:col>
      <xdr:colOff>38051</xdr:colOff>
      <xdr:row>4</xdr:row>
      <xdr:rowOff>126999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AD7C89-9DE3-4AAE-8524-67233C104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806" t="1048" r="5795" b="1036"/>
        <a:stretch/>
      </xdr:blipFill>
      <xdr:spPr>
        <a:xfrm>
          <a:off x="76200" y="534986"/>
          <a:ext cx="431751" cy="5572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31750</xdr:rowOff>
    </xdr:from>
    <xdr:to>
      <xdr:col>10</xdr:col>
      <xdr:colOff>2540</xdr:colOff>
      <xdr:row>0</xdr:row>
      <xdr:rowOff>361950</xdr:rowOff>
    </xdr:to>
    <xdr:sp macro="" textlink="">
      <xdr:nvSpPr>
        <xdr:cNvPr id="2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4603B-2C94-4299-8A21-5876078290EF}"/>
            </a:ext>
          </a:extLst>
        </xdr:cNvPr>
        <xdr:cNvSpPr/>
      </xdr:nvSpPr>
      <xdr:spPr>
        <a:xfrm>
          <a:off x="50800" y="31750"/>
          <a:ext cx="6756400" cy="330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PRESPUESTO DE INTERVENTORIA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476250</xdr:rowOff>
    </xdr:from>
    <xdr:to>
      <xdr:col>3</xdr:col>
      <xdr:colOff>482600</xdr:colOff>
      <xdr:row>4</xdr:row>
      <xdr:rowOff>5815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A58EF4-F6D9-437D-87D9-89AE19D5E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0"/>
          <a:ext cx="3088640" cy="3753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85724</xdr:rowOff>
    </xdr:from>
    <xdr:to>
      <xdr:col>7</xdr:col>
      <xdr:colOff>685800</xdr:colOff>
      <xdr:row>0</xdr:row>
      <xdr:rowOff>485775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80974" y="85724"/>
          <a:ext cx="7370446" cy="40005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baseline="0">
              <a:solidFill>
                <a:schemeClr val="tx1"/>
              </a:solidFill>
            </a:rPr>
            <a:t>DISCRIMINACION DEL FACTOR MULTIPLICADOR</a:t>
          </a:r>
        </a:p>
      </xdr:txBody>
    </xdr:sp>
    <xdr:clientData/>
  </xdr:twoCellAnchor>
  <xdr:twoCellAnchor>
    <xdr:from>
      <xdr:col>3</xdr:col>
      <xdr:colOff>100966</xdr:colOff>
      <xdr:row>1</xdr:row>
      <xdr:rowOff>74295</xdr:rowOff>
    </xdr:from>
    <xdr:to>
      <xdr:col>3</xdr:col>
      <xdr:colOff>710566</xdr:colOff>
      <xdr:row>2</xdr:row>
      <xdr:rowOff>83820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478406" y="440055"/>
          <a:ext cx="609600" cy="192405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 editAs="oneCell">
    <xdr:from>
      <xdr:col>0</xdr:col>
      <xdr:colOff>0</xdr:colOff>
      <xdr:row>1</xdr:row>
      <xdr:rowOff>121920</xdr:rowOff>
    </xdr:from>
    <xdr:to>
      <xdr:col>2</xdr:col>
      <xdr:colOff>758190</xdr:colOff>
      <xdr:row>4</xdr:row>
      <xdr:rowOff>69559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1B0B0F-85AB-4D7C-A216-1177B26B2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87680"/>
          <a:ext cx="2362200" cy="3895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38101</xdr:rowOff>
    </xdr:from>
    <xdr:to>
      <xdr:col>2</xdr:col>
      <xdr:colOff>847725</xdr:colOff>
      <xdr:row>2</xdr:row>
      <xdr:rowOff>142875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2100" y="523876"/>
          <a:ext cx="600075" cy="266699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57148</xdr:colOff>
      <xdr:row>0</xdr:row>
      <xdr:rowOff>47624</xdr:rowOff>
    </xdr:from>
    <xdr:to>
      <xdr:col>8</xdr:col>
      <xdr:colOff>828674</xdr:colOff>
      <xdr:row>0</xdr:row>
      <xdr:rowOff>409575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48" y="47624"/>
          <a:ext cx="7048501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PRESUPUESTO DE OBRA</a:t>
          </a:r>
        </a:p>
      </xdr:txBody>
    </xdr:sp>
    <xdr:clientData/>
  </xdr:twoCellAnchor>
  <xdr:twoCellAnchor editAs="oneCell">
    <xdr:from>
      <xdr:col>0</xdr:col>
      <xdr:colOff>458932</xdr:colOff>
      <xdr:row>1</xdr:row>
      <xdr:rowOff>51954</xdr:rowOff>
    </xdr:from>
    <xdr:to>
      <xdr:col>1</xdr:col>
      <xdr:colOff>284935</xdr:colOff>
      <xdr:row>4</xdr:row>
      <xdr:rowOff>53686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06" t="1048" r="5795" b="1036"/>
        <a:stretch/>
      </xdr:blipFill>
      <xdr:spPr>
        <a:xfrm>
          <a:off x="458932" y="536863"/>
          <a:ext cx="362867" cy="4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19052</xdr:rowOff>
    </xdr:from>
    <xdr:to>
      <xdr:col>2</xdr:col>
      <xdr:colOff>962025</xdr:colOff>
      <xdr:row>2</xdr:row>
      <xdr:rowOff>95251</xdr:rowOff>
    </xdr:to>
    <xdr:sp macro="" textlink="">
      <xdr:nvSpPr>
        <xdr:cNvPr id="8" name="Rectángulo redondead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19300" y="504827"/>
          <a:ext cx="666750" cy="200024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200024</xdr:colOff>
      <xdr:row>0</xdr:row>
      <xdr:rowOff>95249</xdr:rowOff>
    </xdr:from>
    <xdr:to>
      <xdr:col>8</xdr:col>
      <xdr:colOff>685799</xdr:colOff>
      <xdr:row>0</xdr:row>
      <xdr:rowOff>457200</xdr:rowOff>
    </xdr:to>
    <xdr:sp macro="" textlink="">
      <xdr:nvSpPr>
        <xdr:cNvPr id="9" name="Rectángulo redondead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00024" y="95249"/>
          <a:ext cx="5676900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ANALISIS DE PRECIOS UNITARIOS</a:t>
          </a:r>
        </a:p>
      </xdr:txBody>
    </xdr:sp>
    <xdr:clientData/>
  </xdr:twoCellAnchor>
  <xdr:twoCellAnchor editAs="oneCell">
    <xdr:from>
      <xdr:col>0</xdr:col>
      <xdr:colOff>676275</xdr:colOff>
      <xdr:row>1</xdr:row>
      <xdr:rowOff>9525</xdr:rowOff>
    </xdr:from>
    <xdr:to>
      <xdr:col>1</xdr:col>
      <xdr:colOff>208562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06" t="1048" r="5795" b="1036"/>
        <a:stretch/>
      </xdr:blipFill>
      <xdr:spPr>
        <a:xfrm>
          <a:off x="676275" y="495300"/>
          <a:ext cx="362867" cy="495300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</xdr:row>
      <xdr:rowOff>19052</xdr:rowOff>
    </xdr:from>
    <xdr:to>
      <xdr:col>2</xdr:col>
      <xdr:colOff>962025</xdr:colOff>
      <xdr:row>2</xdr:row>
      <xdr:rowOff>95251</xdr:rowOff>
    </xdr:to>
    <xdr:sp macro="" textlink="">
      <xdr:nvSpPr>
        <xdr:cNvPr id="5" name="Rectángulo redondead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69DCF-F3BA-4E19-96F3-51B4AC26C970}"/>
            </a:ext>
          </a:extLst>
        </xdr:cNvPr>
        <xdr:cNvSpPr/>
      </xdr:nvSpPr>
      <xdr:spPr>
        <a:xfrm>
          <a:off x="1773555" y="499112"/>
          <a:ext cx="666750" cy="198119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200024</xdr:colOff>
      <xdr:row>0</xdr:row>
      <xdr:rowOff>95249</xdr:rowOff>
    </xdr:from>
    <xdr:to>
      <xdr:col>8</xdr:col>
      <xdr:colOff>685799</xdr:colOff>
      <xdr:row>0</xdr:row>
      <xdr:rowOff>457200</xdr:rowOff>
    </xdr:to>
    <xdr:sp macro="" textlink="">
      <xdr:nvSpPr>
        <xdr:cNvPr id="7" name="Rectángulo redondead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92C4F-D66E-4B8A-A522-1952A6FBD158}"/>
            </a:ext>
          </a:extLst>
        </xdr:cNvPr>
        <xdr:cNvSpPr/>
      </xdr:nvSpPr>
      <xdr:spPr>
        <a:xfrm>
          <a:off x="200024" y="95249"/>
          <a:ext cx="7831455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ANALISIS DE PRECIOS UNITARIOS</a:t>
          </a:r>
        </a:p>
      </xdr:txBody>
    </xdr:sp>
    <xdr:clientData/>
  </xdr:twoCellAnchor>
  <xdr:twoCellAnchor editAs="oneCell">
    <xdr:from>
      <xdr:col>0</xdr:col>
      <xdr:colOff>676275</xdr:colOff>
      <xdr:row>1</xdr:row>
      <xdr:rowOff>9525</xdr:rowOff>
    </xdr:from>
    <xdr:to>
      <xdr:col>1</xdr:col>
      <xdr:colOff>208562</xdr:colOff>
      <xdr:row>4</xdr:row>
      <xdr:rowOff>76200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7F0BF21-4A34-44B0-8742-8EDB81F88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06" t="1048" r="5795" b="1036"/>
        <a:stretch/>
      </xdr:blipFill>
      <xdr:spPr>
        <a:xfrm>
          <a:off x="676275" y="489585"/>
          <a:ext cx="362867" cy="4933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95250</xdr:rowOff>
    </xdr:from>
    <xdr:to>
      <xdr:col>6</xdr:col>
      <xdr:colOff>685799</xdr:colOff>
      <xdr:row>0</xdr:row>
      <xdr:rowOff>371476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00024" y="95250"/>
          <a:ext cx="6981825" cy="27622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MATERIAL "MAT"</a:t>
          </a:r>
        </a:p>
      </xdr:txBody>
    </xdr:sp>
    <xdr:clientData/>
  </xdr:twoCellAnchor>
  <xdr:twoCellAnchor editAs="oneCell">
    <xdr:from>
      <xdr:col>0</xdr:col>
      <xdr:colOff>0</xdr:colOff>
      <xdr:row>0</xdr:row>
      <xdr:rowOff>426720</xdr:rowOff>
    </xdr:from>
    <xdr:to>
      <xdr:col>2</xdr:col>
      <xdr:colOff>419100</xdr:colOff>
      <xdr:row>3</xdr:row>
      <xdr:rowOff>19368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6C4636-4860-4487-935D-91BFA357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6720"/>
          <a:ext cx="2011680" cy="33178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95250</xdr:rowOff>
    </xdr:from>
    <xdr:to>
      <xdr:col>6</xdr:col>
      <xdr:colOff>685799</xdr:colOff>
      <xdr:row>0</xdr:row>
      <xdr:rowOff>371476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96F50-EE54-4D0D-9317-A8DD0848095B}"/>
            </a:ext>
          </a:extLst>
        </xdr:cNvPr>
        <xdr:cNvSpPr/>
      </xdr:nvSpPr>
      <xdr:spPr>
        <a:xfrm>
          <a:off x="200024" y="95250"/>
          <a:ext cx="7503795" cy="27622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MATERIAL "MAT"</a:t>
          </a:r>
        </a:p>
      </xdr:txBody>
    </xdr:sp>
    <xdr:clientData/>
  </xdr:twoCellAnchor>
  <xdr:twoCellAnchor editAs="oneCell">
    <xdr:from>
      <xdr:col>0</xdr:col>
      <xdr:colOff>152400</xdr:colOff>
      <xdr:row>1</xdr:row>
      <xdr:rowOff>25400</xdr:rowOff>
    </xdr:from>
    <xdr:to>
      <xdr:col>2</xdr:col>
      <xdr:colOff>705812</xdr:colOff>
      <xdr:row>3</xdr:row>
      <xdr:rowOff>92212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B971F3-DD2B-4A6F-8716-C6534509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457200"/>
          <a:ext cx="2330142" cy="38431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95250</xdr:rowOff>
    </xdr:from>
    <xdr:to>
      <xdr:col>4</xdr:col>
      <xdr:colOff>1228725</xdr:colOff>
      <xdr:row>0</xdr:row>
      <xdr:rowOff>447676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6199" y="95250"/>
          <a:ext cx="5905501" cy="35242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EQUIPO "EQUI"</a:t>
          </a:r>
        </a:p>
      </xdr:txBody>
    </xdr:sp>
    <xdr:clientData/>
  </xdr:twoCellAnchor>
  <xdr:twoCellAnchor editAs="oneCell">
    <xdr:from>
      <xdr:col>0</xdr:col>
      <xdr:colOff>215152</xdr:colOff>
      <xdr:row>0</xdr:row>
      <xdr:rowOff>502023</xdr:rowOff>
    </xdr:from>
    <xdr:to>
      <xdr:col>2</xdr:col>
      <xdr:colOff>820286</xdr:colOff>
      <xdr:row>3</xdr:row>
      <xdr:rowOff>134471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128E2C-14F0-4BD3-A8A2-72A676FE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152" y="502023"/>
          <a:ext cx="2282879" cy="475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513080</xdr:colOff>
      <xdr:row>2</xdr:row>
      <xdr:rowOff>38101</xdr:rowOff>
    </xdr:from>
    <xdr:to>
      <xdr:col>5</xdr:col>
      <xdr:colOff>619125</xdr:colOff>
      <xdr:row>3</xdr:row>
      <xdr:rowOff>121920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CF4E1-8A8D-4AD3-BEF0-EA2E5F0A0195}"/>
            </a:ext>
          </a:extLst>
        </xdr:cNvPr>
        <xdr:cNvSpPr/>
      </xdr:nvSpPr>
      <xdr:spPr>
        <a:xfrm>
          <a:off x="3530600" y="678181"/>
          <a:ext cx="624205" cy="243839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57148</xdr:colOff>
      <xdr:row>0</xdr:row>
      <xdr:rowOff>47624</xdr:rowOff>
    </xdr:from>
    <xdr:to>
      <xdr:col>8</xdr:col>
      <xdr:colOff>828674</xdr:colOff>
      <xdr:row>0</xdr:row>
      <xdr:rowOff>409575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8341D5-1432-4960-B74D-9B27A7BD0BE9}"/>
            </a:ext>
          </a:extLst>
        </xdr:cNvPr>
        <xdr:cNvSpPr/>
      </xdr:nvSpPr>
      <xdr:spPr>
        <a:xfrm>
          <a:off x="57148" y="47624"/>
          <a:ext cx="6905626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PRESUPUESTO DE OBRA</a:t>
          </a:r>
        </a:p>
      </xdr:txBody>
    </xdr:sp>
    <xdr:clientData/>
  </xdr:twoCellAnchor>
  <xdr:twoCellAnchor editAs="oneCell">
    <xdr:from>
      <xdr:col>0</xdr:col>
      <xdr:colOff>203200</xdr:colOff>
      <xdr:row>1</xdr:row>
      <xdr:rowOff>101599</xdr:rowOff>
    </xdr:from>
    <xdr:to>
      <xdr:col>4</xdr:col>
      <xdr:colOff>97790</xdr:colOff>
      <xdr:row>4</xdr:row>
      <xdr:rowOff>98194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5A0EA9-1CBD-4A2D-B118-E3ADD276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" y="581659"/>
          <a:ext cx="2912110" cy="476655"/>
        </a:xfrm>
        <a:prstGeom prst="rect">
          <a:avLst/>
        </a:prstGeom>
      </xdr:spPr>
    </xdr:pic>
    <xdr:clientData/>
  </xdr:twoCellAnchor>
  <xdr:oneCellAnchor>
    <xdr:from>
      <xdr:col>1</xdr:col>
      <xdr:colOff>175260</xdr:colOff>
      <xdr:row>72</xdr:row>
      <xdr:rowOff>123825</xdr:rowOff>
    </xdr:from>
    <xdr:ext cx="710565" cy="369570"/>
    <xdr:pic>
      <xdr:nvPicPr>
        <xdr:cNvPr id="5" name="Imagen 4">
          <a:extLst>
            <a:ext uri="{FF2B5EF4-FFF2-40B4-BE49-F238E27FC236}">
              <a16:creationId xmlns:a16="http://schemas.microsoft.com/office/drawing/2014/main" id="{C06DD7F7-D780-4036-8C87-EC661B1B54D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3222605"/>
          <a:ext cx="710565" cy="36957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513080</xdr:colOff>
      <xdr:row>2</xdr:row>
      <xdr:rowOff>38101</xdr:rowOff>
    </xdr:from>
    <xdr:to>
      <xdr:col>5</xdr:col>
      <xdr:colOff>619125</xdr:colOff>
      <xdr:row>3</xdr:row>
      <xdr:rowOff>121920</xdr:rowOff>
    </xdr:to>
    <xdr:sp macro="" textlink="">
      <xdr:nvSpPr>
        <xdr:cNvPr id="6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D268A-048D-46EB-8169-1AED89D63E85}"/>
            </a:ext>
          </a:extLst>
        </xdr:cNvPr>
        <xdr:cNvSpPr/>
      </xdr:nvSpPr>
      <xdr:spPr>
        <a:xfrm>
          <a:off x="3530600" y="678181"/>
          <a:ext cx="624205" cy="243839"/>
        </a:xfrm>
        <a:prstGeom prst="round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 baseline="0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57148</xdr:colOff>
      <xdr:row>0</xdr:row>
      <xdr:rowOff>47624</xdr:rowOff>
    </xdr:from>
    <xdr:to>
      <xdr:col>8</xdr:col>
      <xdr:colOff>828674</xdr:colOff>
      <xdr:row>0</xdr:row>
      <xdr:rowOff>409575</xdr:rowOff>
    </xdr:to>
    <xdr:sp macro="" textlink="">
      <xdr:nvSpPr>
        <xdr:cNvPr id="7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7C96F2-2C8D-4869-869D-76DA42D24BFD}"/>
            </a:ext>
          </a:extLst>
        </xdr:cNvPr>
        <xdr:cNvSpPr/>
      </xdr:nvSpPr>
      <xdr:spPr>
        <a:xfrm>
          <a:off x="57148" y="47624"/>
          <a:ext cx="6905626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PRESUPUESTO DE OBRA</a:t>
          </a:r>
        </a:p>
      </xdr:txBody>
    </xdr:sp>
    <xdr:clientData/>
  </xdr:twoCellAnchor>
  <xdr:twoCellAnchor editAs="oneCell">
    <xdr:from>
      <xdr:col>0</xdr:col>
      <xdr:colOff>203200</xdr:colOff>
      <xdr:row>1</xdr:row>
      <xdr:rowOff>101599</xdr:rowOff>
    </xdr:from>
    <xdr:to>
      <xdr:col>4</xdr:col>
      <xdr:colOff>120650</xdr:colOff>
      <xdr:row>4</xdr:row>
      <xdr:rowOff>98194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2BF14A-13A7-4BD2-922C-A2ABF5DC3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" y="581659"/>
          <a:ext cx="2934970" cy="4766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95250</xdr:rowOff>
    </xdr:from>
    <xdr:to>
      <xdr:col>6</xdr:col>
      <xdr:colOff>685799</xdr:colOff>
      <xdr:row>0</xdr:row>
      <xdr:rowOff>371476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00024" y="95250"/>
          <a:ext cx="7581900" cy="276226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TRANSPORTE "TRAN"</a:t>
          </a:r>
        </a:p>
      </xdr:txBody>
    </xdr:sp>
    <xdr:clientData/>
  </xdr:twoCellAnchor>
  <xdr:twoCellAnchor editAs="oneCell">
    <xdr:from>
      <xdr:col>0</xdr:col>
      <xdr:colOff>66262</xdr:colOff>
      <xdr:row>0</xdr:row>
      <xdr:rowOff>437323</xdr:rowOff>
    </xdr:from>
    <xdr:to>
      <xdr:col>2</xdr:col>
      <xdr:colOff>402863</xdr:colOff>
      <xdr:row>3</xdr:row>
      <xdr:rowOff>91854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CD12F0B-2336-4084-AB12-44427AD9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62" y="437323"/>
          <a:ext cx="2330142" cy="3843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95250</xdr:rowOff>
    </xdr:from>
    <xdr:to>
      <xdr:col>15</xdr:col>
      <xdr:colOff>1181100</xdr:colOff>
      <xdr:row>0</xdr:row>
      <xdr:rowOff>419100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0024" y="95250"/>
          <a:ext cx="8543926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MANO DE OBRA "MDEO"</a:t>
          </a:r>
        </a:p>
      </xdr:txBody>
    </xdr:sp>
    <xdr:clientData/>
  </xdr:twoCellAnchor>
  <xdr:twoCellAnchor>
    <xdr:from>
      <xdr:col>0</xdr:col>
      <xdr:colOff>200024</xdr:colOff>
      <xdr:row>0</xdr:row>
      <xdr:rowOff>95250</xdr:rowOff>
    </xdr:from>
    <xdr:to>
      <xdr:col>15</xdr:col>
      <xdr:colOff>1181100</xdr:colOff>
      <xdr:row>0</xdr:row>
      <xdr:rowOff>419100</xdr:rowOff>
    </xdr:to>
    <xdr:sp macro="" textlink="">
      <xdr:nvSpPr>
        <xdr:cNvPr id="7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6E8EC-57C3-4941-ACA2-CF0E31FD771E}"/>
            </a:ext>
          </a:extLst>
        </xdr:cNvPr>
        <xdr:cNvSpPr/>
      </xdr:nvSpPr>
      <xdr:spPr>
        <a:xfrm>
          <a:off x="200024" y="95250"/>
          <a:ext cx="10193656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INSUMO: MANO DE OBRA "MDEO"</a:t>
          </a:r>
        </a:p>
      </xdr:txBody>
    </xdr:sp>
    <xdr:clientData/>
  </xdr:twoCellAnchor>
  <xdr:twoCellAnchor editAs="oneCell">
    <xdr:from>
      <xdr:col>0</xdr:col>
      <xdr:colOff>158750</xdr:colOff>
      <xdr:row>0</xdr:row>
      <xdr:rowOff>488950</xdr:rowOff>
    </xdr:from>
    <xdr:to>
      <xdr:col>3</xdr:col>
      <xdr:colOff>243840</xdr:colOff>
      <xdr:row>4</xdr:row>
      <xdr:rowOff>22360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52E70E3-C066-4853-B255-F64A2F3D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0" y="488950"/>
          <a:ext cx="3092450" cy="510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47624</xdr:rowOff>
    </xdr:from>
    <xdr:to>
      <xdr:col>8</xdr:col>
      <xdr:colOff>828674</xdr:colOff>
      <xdr:row>0</xdr:row>
      <xdr:rowOff>409575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F4E17-A646-4561-B896-C9EFF4B23189}"/>
            </a:ext>
          </a:extLst>
        </xdr:cNvPr>
        <xdr:cNvSpPr/>
      </xdr:nvSpPr>
      <xdr:spPr>
        <a:xfrm>
          <a:off x="57148" y="47624"/>
          <a:ext cx="6997066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PRESUPUESTO DE OBRA</a:t>
          </a:r>
        </a:p>
      </xdr:txBody>
    </xdr:sp>
    <xdr:clientData/>
  </xdr:twoCellAnchor>
  <xdr:twoCellAnchor editAs="oneCell">
    <xdr:from>
      <xdr:col>0</xdr:col>
      <xdr:colOff>203200</xdr:colOff>
      <xdr:row>1</xdr:row>
      <xdr:rowOff>101599</xdr:rowOff>
    </xdr:from>
    <xdr:to>
      <xdr:col>4</xdr:col>
      <xdr:colOff>211015</xdr:colOff>
      <xdr:row>5</xdr:row>
      <xdr:rowOff>54233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B76E3B-DB50-46A5-805E-7AD4956F6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0" y="584199"/>
          <a:ext cx="2936240" cy="484275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77</xdr:row>
      <xdr:rowOff>45720</xdr:rowOff>
    </xdr:from>
    <xdr:to>
      <xdr:col>2</xdr:col>
      <xdr:colOff>213995</xdr:colOff>
      <xdr:row>78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4A39A-E73D-2044-07C0-CCFE4CAF3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5590520"/>
          <a:ext cx="572135" cy="259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259080</xdr:colOff>
      <xdr:row>18</xdr:row>
      <xdr:rowOff>91440</xdr:rowOff>
    </xdr:from>
    <xdr:ext cx="1026478" cy="464820"/>
    <xdr:pic>
      <xdr:nvPicPr>
        <xdr:cNvPr id="2" name="Imagen 1">
          <a:extLst>
            <a:ext uri="{FF2B5EF4-FFF2-40B4-BE49-F238E27FC236}">
              <a16:creationId xmlns:a16="http://schemas.microsoft.com/office/drawing/2014/main" id="{2327E42C-937E-4F36-9C11-3B3A914F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780" y="4716780"/>
          <a:ext cx="1026478" cy="46482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95249</xdr:rowOff>
    </xdr:from>
    <xdr:to>
      <xdr:col>11</xdr:col>
      <xdr:colOff>619124</xdr:colOff>
      <xdr:row>0</xdr:row>
      <xdr:rowOff>419100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0024" y="95249"/>
          <a:ext cx="7115175" cy="323851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MEMORIA DE CALCULO</a:t>
          </a:r>
        </a:p>
      </xdr:txBody>
    </xdr:sp>
    <xdr:clientData/>
  </xdr:twoCellAnchor>
  <xdr:twoCellAnchor editAs="oneCell">
    <xdr:from>
      <xdr:col>0</xdr:col>
      <xdr:colOff>0</xdr:colOff>
      <xdr:row>0</xdr:row>
      <xdr:rowOff>457201</xdr:rowOff>
    </xdr:from>
    <xdr:to>
      <xdr:col>2</xdr:col>
      <xdr:colOff>57150</xdr:colOff>
      <xdr:row>4</xdr:row>
      <xdr:rowOff>55032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527ECE2-4661-4400-9A0D-0DD6906C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1"/>
          <a:ext cx="2628900" cy="4398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95249</xdr:rowOff>
    </xdr:from>
    <xdr:to>
      <xdr:col>8</xdr:col>
      <xdr:colOff>685799</xdr:colOff>
      <xdr:row>0</xdr:row>
      <xdr:rowOff>457200</xdr:rowOff>
    </xdr:to>
    <xdr:sp macro="" textlink="">
      <xdr:nvSpPr>
        <xdr:cNvPr id="3" name="Rectángulo redondead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1C215-05CC-4026-A95D-34BEFCF76036}"/>
            </a:ext>
          </a:extLst>
        </xdr:cNvPr>
        <xdr:cNvSpPr/>
      </xdr:nvSpPr>
      <xdr:spPr>
        <a:xfrm>
          <a:off x="200024" y="95249"/>
          <a:ext cx="7831455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ANALISIS DE PRECIOS UNITARIOS</a:t>
          </a:r>
        </a:p>
      </xdr:txBody>
    </xdr:sp>
    <xdr:clientData/>
  </xdr:twoCellAnchor>
  <xdr:twoCellAnchor>
    <xdr:from>
      <xdr:col>0</xdr:col>
      <xdr:colOff>200024</xdr:colOff>
      <xdr:row>0</xdr:row>
      <xdr:rowOff>95249</xdr:rowOff>
    </xdr:from>
    <xdr:to>
      <xdr:col>8</xdr:col>
      <xdr:colOff>685799</xdr:colOff>
      <xdr:row>0</xdr:row>
      <xdr:rowOff>457200</xdr:rowOff>
    </xdr:to>
    <xdr:sp macro="" textlink="">
      <xdr:nvSpPr>
        <xdr:cNvPr id="6" name="Rectángulo redondead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A31A0-A513-497A-811D-C45D0D7B135B}"/>
            </a:ext>
          </a:extLst>
        </xdr:cNvPr>
        <xdr:cNvSpPr/>
      </xdr:nvSpPr>
      <xdr:spPr>
        <a:xfrm>
          <a:off x="200024" y="95249"/>
          <a:ext cx="7831455" cy="361951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8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ANALISIS DE PRECIOS UNITARIOS</a:t>
          </a:r>
        </a:p>
      </xdr:txBody>
    </xdr:sp>
    <xdr:clientData/>
  </xdr:twoCellAnchor>
  <xdr:twoCellAnchor editAs="oneCell">
    <xdr:from>
      <xdr:col>0</xdr:col>
      <xdr:colOff>257175</xdr:colOff>
      <xdr:row>1</xdr:row>
      <xdr:rowOff>57150</xdr:rowOff>
    </xdr:from>
    <xdr:to>
      <xdr:col>2</xdr:col>
      <xdr:colOff>1409982</xdr:colOff>
      <xdr:row>4</xdr:row>
      <xdr:rowOff>54537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E1401E-5538-4C98-B8B8-F0B39A83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533400"/>
          <a:ext cx="2629182" cy="433632"/>
        </a:xfrm>
        <a:prstGeom prst="rect">
          <a:avLst/>
        </a:prstGeom>
      </xdr:spPr>
    </xdr:pic>
    <xdr:clientData/>
  </xdr:twoCellAnchor>
  <xdr:twoCellAnchor editAs="oneCell">
    <xdr:from>
      <xdr:col>2</xdr:col>
      <xdr:colOff>308429</xdr:colOff>
      <xdr:row>41</xdr:row>
      <xdr:rowOff>916214</xdr:rowOff>
    </xdr:from>
    <xdr:to>
      <xdr:col>2</xdr:col>
      <xdr:colOff>880564</xdr:colOff>
      <xdr:row>43</xdr:row>
      <xdr:rowOff>32294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7B1EA-8819-460A-95DF-ECE13259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072" y="7774214"/>
          <a:ext cx="572135" cy="25908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74</xdr:row>
      <xdr:rowOff>888999</xdr:rowOff>
    </xdr:from>
    <xdr:to>
      <xdr:col>2</xdr:col>
      <xdr:colOff>889635</xdr:colOff>
      <xdr:row>76</xdr:row>
      <xdr:rowOff>5079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4F86F1-8740-4DC8-AE44-741D2D958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3" y="14496142"/>
          <a:ext cx="572135" cy="259080"/>
        </a:xfrm>
        <a:prstGeom prst="rect">
          <a:avLst/>
        </a:prstGeom>
      </xdr:spPr>
    </xdr:pic>
    <xdr:clientData/>
  </xdr:twoCellAnchor>
  <xdr:oneCellAnchor>
    <xdr:from>
      <xdr:col>2</xdr:col>
      <xdr:colOff>272143</xdr:colOff>
      <xdr:row>108</xdr:row>
      <xdr:rowOff>879927</xdr:rowOff>
    </xdr:from>
    <xdr:ext cx="572135" cy="259080"/>
    <xdr:pic>
      <xdr:nvPicPr>
        <xdr:cNvPr id="5" name="Imagen 4">
          <a:extLst>
            <a:ext uri="{FF2B5EF4-FFF2-40B4-BE49-F238E27FC236}">
              <a16:creationId xmlns:a16="http://schemas.microsoft.com/office/drawing/2014/main" id="{F1314D82-651B-47BA-96D5-8C5B013F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21363213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140</xdr:row>
      <xdr:rowOff>879927</xdr:rowOff>
    </xdr:from>
    <xdr:ext cx="572135" cy="259080"/>
    <xdr:pic>
      <xdr:nvPicPr>
        <xdr:cNvPr id="7" name="Imagen 6">
          <a:extLst>
            <a:ext uri="{FF2B5EF4-FFF2-40B4-BE49-F238E27FC236}">
              <a16:creationId xmlns:a16="http://schemas.microsoft.com/office/drawing/2014/main" id="{1B53643E-617E-4890-BD5D-448648B41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21363213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172</xdr:row>
      <xdr:rowOff>879927</xdr:rowOff>
    </xdr:from>
    <xdr:ext cx="572135" cy="259080"/>
    <xdr:pic>
      <xdr:nvPicPr>
        <xdr:cNvPr id="44" name="Imagen 43">
          <a:extLst>
            <a:ext uri="{FF2B5EF4-FFF2-40B4-BE49-F238E27FC236}">
              <a16:creationId xmlns:a16="http://schemas.microsoft.com/office/drawing/2014/main" id="{5BC4580E-1D13-4125-8118-B349B1D6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27885570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207</xdr:row>
      <xdr:rowOff>879927</xdr:rowOff>
    </xdr:from>
    <xdr:ext cx="572135" cy="259080"/>
    <xdr:pic>
      <xdr:nvPicPr>
        <xdr:cNvPr id="45" name="Imagen 44">
          <a:extLst>
            <a:ext uri="{FF2B5EF4-FFF2-40B4-BE49-F238E27FC236}">
              <a16:creationId xmlns:a16="http://schemas.microsoft.com/office/drawing/2014/main" id="{E35F92E4-7001-40AD-B0FD-42212395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34208356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243</xdr:row>
      <xdr:rowOff>879927</xdr:rowOff>
    </xdr:from>
    <xdr:ext cx="572135" cy="259080"/>
    <xdr:pic>
      <xdr:nvPicPr>
        <xdr:cNvPr id="46" name="Imagen 45">
          <a:extLst>
            <a:ext uri="{FF2B5EF4-FFF2-40B4-BE49-F238E27FC236}">
              <a16:creationId xmlns:a16="http://schemas.microsoft.com/office/drawing/2014/main" id="{1CC1A902-80D5-443E-B2CB-C496A81E0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4110264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277</xdr:row>
      <xdr:rowOff>879927</xdr:rowOff>
    </xdr:from>
    <xdr:ext cx="572135" cy="259080"/>
    <xdr:pic>
      <xdr:nvPicPr>
        <xdr:cNvPr id="47" name="Imagen 46">
          <a:extLst>
            <a:ext uri="{FF2B5EF4-FFF2-40B4-BE49-F238E27FC236}">
              <a16:creationId xmlns:a16="http://schemas.microsoft.com/office/drawing/2014/main" id="{AFAC74F4-C565-4746-ADF2-52E12B34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48060427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311</xdr:row>
      <xdr:rowOff>879927</xdr:rowOff>
    </xdr:from>
    <xdr:ext cx="572135" cy="259080"/>
    <xdr:pic>
      <xdr:nvPicPr>
        <xdr:cNvPr id="48" name="Imagen 47">
          <a:extLst>
            <a:ext uri="{FF2B5EF4-FFF2-40B4-BE49-F238E27FC236}">
              <a16:creationId xmlns:a16="http://schemas.microsoft.com/office/drawing/2014/main" id="{13AF2340-6BB5-4065-87D1-C2E4451D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54655356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345</xdr:row>
      <xdr:rowOff>879927</xdr:rowOff>
    </xdr:from>
    <xdr:ext cx="572135" cy="259080"/>
    <xdr:pic>
      <xdr:nvPicPr>
        <xdr:cNvPr id="49" name="Imagen 48">
          <a:extLst>
            <a:ext uri="{FF2B5EF4-FFF2-40B4-BE49-F238E27FC236}">
              <a16:creationId xmlns:a16="http://schemas.microsoft.com/office/drawing/2014/main" id="{C6CD3153-CB6E-4D5E-8D65-60496D15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6048828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377</xdr:row>
      <xdr:rowOff>879927</xdr:rowOff>
    </xdr:from>
    <xdr:ext cx="572135" cy="259080"/>
    <xdr:pic>
      <xdr:nvPicPr>
        <xdr:cNvPr id="50" name="Imagen 49">
          <a:extLst>
            <a:ext uri="{FF2B5EF4-FFF2-40B4-BE49-F238E27FC236}">
              <a16:creationId xmlns:a16="http://schemas.microsoft.com/office/drawing/2014/main" id="{AAB06AF6-52FB-4D2C-801D-9BDF8CCC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6620328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411</xdr:row>
      <xdr:rowOff>879927</xdr:rowOff>
    </xdr:from>
    <xdr:ext cx="572135" cy="259080"/>
    <xdr:pic>
      <xdr:nvPicPr>
        <xdr:cNvPr id="51" name="Imagen 50">
          <a:extLst>
            <a:ext uri="{FF2B5EF4-FFF2-40B4-BE49-F238E27FC236}">
              <a16:creationId xmlns:a16="http://schemas.microsoft.com/office/drawing/2014/main" id="{D8530803-0C76-4186-9376-52F8ABC6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71718713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448</xdr:row>
      <xdr:rowOff>879927</xdr:rowOff>
    </xdr:from>
    <xdr:ext cx="572135" cy="259080"/>
    <xdr:pic>
      <xdr:nvPicPr>
        <xdr:cNvPr id="52" name="Imagen 51">
          <a:extLst>
            <a:ext uri="{FF2B5EF4-FFF2-40B4-BE49-F238E27FC236}">
              <a16:creationId xmlns:a16="http://schemas.microsoft.com/office/drawing/2014/main" id="{BC4895B3-43F2-40D1-987C-8B080648D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7748814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483</xdr:row>
      <xdr:rowOff>879927</xdr:rowOff>
    </xdr:from>
    <xdr:ext cx="572135" cy="259080"/>
    <xdr:pic>
      <xdr:nvPicPr>
        <xdr:cNvPr id="53" name="Imagen 52">
          <a:extLst>
            <a:ext uri="{FF2B5EF4-FFF2-40B4-BE49-F238E27FC236}">
              <a16:creationId xmlns:a16="http://schemas.microsoft.com/office/drawing/2014/main" id="{599FCC6C-254E-4A86-8E80-BB4FB255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83934298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515</xdr:row>
      <xdr:rowOff>879927</xdr:rowOff>
    </xdr:from>
    <xdr:ext cx="572135" cy="259080"/>
    <xdr:pic>
      <xdr:nvPicPr>
        <xdr:cNvPr id="54" name="Imagen 53">
          <a:extLst>
            <a:ext uri="{FF2B5EF4-FFF2-40B4-BE49-F238E27FC236}">
              <a16:creationId xmlns:a16="http://schemas.microsoft.com/office/drawing/2014/main" id="{8FB2A7B6-57F7-4950-B768-5F116CE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89843427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552</xdr:row>
      <xdr:rowOff>879927</xdr:rowOff>
    </xdr:from>
    <xdr:ext cx="572135" cy="259080"/>
    <xdr:pic>
      <xdr:nvPicPr>
        <xdr:cNvPr id="55" name="Imagen 54">
          <a:extLst>
            <a:ext uri="{FF2B5EF4-FFF2-40B4-BE49-F238E27FC236}">
              <a16:creationId xmlns:a16="http://schemas.microsoft.com/office/drawing/2014/main" id="{C5244233-7D66-4013-9A3D-B4366D4A0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95703570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585</xdr:row>
      <xdr:rowOff>879927</xdr:rowOff>
    </xdr:from>
    <xdr:ext cx="572135" cy="259080"/>
    <xdr:pic>
      <xdr:nvPicPr>
        <xdr:cNvPr id="56" name="Imagen 55">
          <a:extLst>
            <a:ext uri="{FF2B5EF4-FFF2-40B4-BE49-F238E27FC236}">
              <a16:creationId xmlns:a16="http://schemas.microsoft.com/office/drawing/2014/main" id="{9B2AC6DA-9F65-4DF0-8C0A-E4FD0101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102552498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272143</xdr:colOff>
      <xdr:row>619</xdr:row>
      <xdr:rowOff>879927</xdr:rowOff>
    </xdr:from>
    <xdr:ext cx="572135" cy="259080"/>
    <xdr:pic>
      <xdr:nvPicPr>
        <xdr:cNvPr id="57" name="Imagen 56">
          <a:extLst>
            <a:ext uri="{FF2B5EF4-FFF2-40B4-BE49-F238E27FC236}">
              <a16:creationId xmlns:a16="http://schemas.microsoft.com/office/drawing/2014/main" id="{56D0D68E-DDCE-4030-949D-DE42BA4F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786" y="109165570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657</xdr:row>
      <xdr:rowOff>658221</xdr:rowOff>
    </xdr:from>
    <xdr:ext cx="572135" cy="259080"/>
    <xdr:pic>
      <xdr:nvPicPr>
        <xdr:cNvPr id="58" name="Imagen 57">
          <a:extLst>
            <a:ext uri="{FF2B5EF4-FFF2-40B4-BE49-F238E27FC236}">
              <a16:creationId xmlns:a16="http://schemas.microsoft.com/office/drawing/2014/main" id="{FF0BBD90-5C10-4603-995D-1F4C43CF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2297736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694</xdr:row>
      <xdr:rowOff>658221</xdr:rowOff>
    </xdr:from>
    <xdr:ext cx="572135" cy="259080"/>
    <xdr:pic>
      <xdr:nvPicPr>
        <xdr:cNvPr id="59" name="Imagen 58">
          <a:extLst>
            <a:ext uri="{FF2B5EF4-FFF2-40B4-BE49-F238E27FC236}">
              <a16:creationId xmlns:a16="http://schemas.microsoft.com/office/drawing/2014/main" id="{B0F91536-6D31-4042-B69F-43263F5C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2297736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732</xdr:row>
      <xdr:rowOff>658221</xdr:rowOff>
    </xdr:from>
    <xdr:ext cx="572135" cy="259080"/>
    <xdr:pic>
      <xdr:nvPicPr>
        <xdr:cNvPr id="60" name="Imagen 59">
          <a:extLst>
            <a:ext uri="{FF2B5EF4-FFF2-40B4-BE49-F238E27FC236}">
              <a16:creationId xmlns:a16="http://schemas.microsoft.com/office/drawing/2014/main" id="{8A49FEF4-7FF7-443A-9AF0-3FBF7089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30298007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774</xdr:row>
      <xdr:rowOff>658221</xdr:rowOff>
    </xdr:from>
    <xdr:ext cx="572135" cy="259080"/>
    <xdr:pic>
      <xdr:nvPicPr>
        <xdr:cNvPr id="61" name="Imagen 60">
          <a:extLst>
            <a:ext uri="{FF2B5EF4-FFF2-40B4-BE49-F238E27FC236}">
              <a16:creationId xmlns:a16="http://schemas.microsoft.com/office/drawing/2014/main" id="{795BFEDC-421D-4C5A-A39E-66B3A182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3688386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806</xdr:row>
      <xdr:rowOff>658221</xdr:rowOff>
    </xdr:from>
    <xdr:ext cx="572135" cy="259080"/>
    <xdr:pic>
      <xdr:nvPicPr>
        <xdr:cNvPr id="62" name="Imagen 61">
          <a:extLst>
            <a:ext uri="{FF2B5EF4-FFF2-40B4-BE49-F238E27FC236}">
              <a16:creationId xmlns:a16="http://schemas.microsoft.com/office/drawing/2014/main" id="{668363D1-2D91-4C21-9E02-1F2274BB6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4327922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838</xdr:row>
      <xdr:rowOff>658221</xdr:rowOff>
    </xdr:from>
    <xdr:ext cx="572135" cy="259080"/>
    <xdr:pic>
      <xdr:nvPicPr>
        <xdr:cNvPr id="63" name="Imagen 62">
          <a:extLst>
            <a:ext uri="{FF2B5EF4-FFF2-40B4-BE49-F238E27FC236}">
              <a16:creationId xmlns:a16="http://schemas.microsoft.com/office/drawing/2014/main" id="{87F0EAAE-AC82-4341-BF57-0747C7C1C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49257292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868</xdr:row>
      <xdr:rowOff>658221</xdr:rowOff>
    </xdr:from>
    <xdr:ext cx="572135" cy="259080"/>
    <xdr:pic>
      <xdr:nvPicPr>
        <xdr:cNvPr id="64" name="Imagen 63">
          <a:extLst>
            <a:ext uri="{FF2B5EF4-FFF2-40B4-BE49-F238E27FC236}">
              <a16:creationId xmlns:a16="http://schemas.microsoft.com/office/drawing/2014/main" id="{66E93FD0-13B9-424C-9998-DE44DE9C0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55162792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903</xdr:row>
      <xdr:rowOff>658221</xdr:rowOff>
    </xdr:from>
    <xdr:ext cx="572135" cy="259080"/>
    <xdr:pic>
      <xdr:nvPicPr>
        <xdr:cNvPr id="65" name="Imagen 64">
          <a:extLst>
            <a:ext uri="{FF2B5EF4-FFF2-40B4-BE49-F238E27FC236}">
              <a16:creationId xmlns:a16="http://schemas.microsoft.com/office/drawing/2014/main" id="{3F6B10ED-2B37-4325-9BD9-FFA127D1C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60651007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939</xdr:row>
      <xdr:rowOff>658221</xdr:rowOff>
    </xdr:from>
    <xdr:ext cx="572135" cy="259080"/>
    <xdr:pic>
      <xdr:nvPicPr>
        <xdr:cNvPr id="66" name="Imagen 65">
          <a:extLst>
            <a:ext uri="{FF2B5EF4-FFF2-40B4-BE49-F238E27FC236}">
              <a16:creationId xmlns:a16="http://schemas.microsoft.com/office/drawing/2014/main" id="{631661F2-DE6B-4AB6-92A9-F08736C1E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66792364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977</xdr:row>
      <xdr:rowOff>658221</xdr:rowOff>
    </xdr:from>
    <xdr:ext cx="572135" cy="259080"/>
    <xdr:pic>
      <xdr:nvPicPr>
        <xdr:cNvPr id="67" name="Imagen 66">
          <a:extLst>
            <a:ext uri="{FF2B5EF4-FFF2-40B4-BE49-F238E27FC236}">
              <a16:creationId xmlns:a16="http://schemas.microsoft.com/office/drawing/2014/main" id="{C0785E67-DB17-4066-8CA2-DA69D5D1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7337822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1013</xdr:row>
      <xdr:rowOff>658221</xdr:rowOff>
    </xdr:from>
    <xdr:ext cx="572135" cy="259080"/>
    <xdr:pic>
      <xdr:nvPicPr>
        <xdr:cNvPr id="68" name="Imagen 67">
          <a:extLst>
            <a:ext uri="{FF2B5EF4-FFF2-40B4-BE49-F238E27FC236}">
              <a16:creationId xmlns:a16="http://schemas.microsoft.com/office/drawing/2014/main" id="{23FBDE26-801E-4873-BAEC-5972D3BF7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79338150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1046</xdr:row>
      <xdr:rowOff>658221</xdr:rowOff>
    </xdr:from>
    <xdr:ext cx="572135" cy="259080"/>
    <xdr:pic>
      <xdr:nvPicPr>
        <xdr:cNvPr id="69" name="Imagen 68">
          <a:extLst>
            <a:ext uri="{FF2B5EF4-FFF2-40B4-BE49-F238E27FC236}">
              <a16:creationId xmlns:a16="http://schemas.microsoft.com/office/drawing/2014/main" id="{1A83E70B-275E-493E-B186-0A8BFAC5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85815150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1083</xdr:row>
      <xdr:rowOff>658221</xdr:rowOff>
    </xdr:from>
    <xdr:ext cx="572135" cy="259080"/>
    <xdr:pic>
      <xdr:nvPicPr>
        <xdr:cNvPr id="70" name="Imagen 69">
          <a:extLst>
            <a:ext uri="{FF2B5EF4-FFF2-40B4-BE49-F238E27FC236}">
              <a16:creationId xmlns:a16="http://schemas.microsoft.com/office/drawing/2014/main" id="{70A4987A-7AD6-4346-B269-D4B13FB98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9204722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254000</xdr:colOff>
      <xdr:row>1120</xdr:row>
      <xdr:rowOff>658221</xdr:rowOff>
    </xdr:from>
    <xdr:ext cx="572135" cy="259080"/>
    <xdr:pic>
      <xdr:nvPicPr>
        <xdr:cNvPr id="71" name="Imagen 70">
          <a:extLst>
            <a:ext uri="{FF2B5EF4-FFF2-40B4-BE49-F238E27FC236}">
              <a16:creationId xmlns:a16="http://schemas.microsoft.com/office/drawing/2014/main" id="{9B179D1F-AD58-47C7-ABE6-13056293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3" y="198306507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235857</xdr:colOff>
      <xdr:row>1158</xdr:row>
      <xdr:rowOff>369750</xdr:rowOff>
    </xdr:from>
    <xdr:ext cx="572135" cy="259080"/>
    <xdr:pic>
      <xdr:nvPicPr>
        <xdr:cNvPr id="72" name="Imagen 71">
          <a:extLst>
            <a:ext uri="{FF2B5EF4-FFF2-40B4-BE49-F238E27FC236}">
              <a16:creationId xmlns:a16="http://schemas.microsoft.com/office/drawing/2014/main" id="{BCC58A94-6703-4DC1-81AA-770C32FB3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211135321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299357</xdr:colOff>
      <xdr:row>1197</xdr:row>
      <xdr:rowOff>144053</xdr:rowOff>
    </xdr:from>
    <xdr:ext cx="572135" cy="259080"/>
    <xdr:pic>
      <xdr:nvPicPr>
        <xdr:cNvPr id="73" name="Imagen 72">
          <a:extLst>
            <a:ext uri="{FF2B5EF4-FFF2-40B4-BE49-F238E27FC236}">
              <a16:creationId xmlns:a16="http://schemas.microsoft.com/office/drawing/2014/main" id="{EAC03B85-C15D-4706-A0E1-895FE1BC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216715339"/>
          <a:ext cx="572135" cy="259080"/>
        </a:xfrm>
        <a:prstGeom prst="rect">
          <a:avLst/>
        </a:prstGeom>
      </xdr:spPr>
    </xdr:pic>
    <xdr:clientData/>
  </xdr:oneCellAnchor>
  <xdr:oneCellAnchor>
    <xdr:from>
      <xdr:col>2</xdr:col>
      <xdr:colOff>653143</xdr:colOff>
      <xdr:row>1232</xdr:row>
      <xdr:rowOff>74384</xdr:rowOff>
    </xdr:from>
    <xdr:ext cx="572135" cy="259080"/>
    <xdr:pic>
      <xdr:nvPicPr>
        <xdr:cNvPr id="74" name="Imagen 73">
          <a:extLst>
            <a:ext uri="{FF2B5EF4-FFF2-40B4-BE49-F238E27FC236}">
              <a16:creationId xmlns:a16="http://schemas.microsoft.com/office/drawing/2014/main" id="{2FF6AB8D-6EF7-4668-A630-FB579390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786" y="221907098"/>
          <a:ext cx="572135" cy="25908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31750</xdr:rowOff>
    </xdr:from>
    <xdr:to>
      <xdr:col>10</xdr:col>
      <xdr:colOff>0</xdr:colOff>
      <xdr:row>0</xdr:row>
      <xdr:rowOff>361950</xdr:rowOff>
    </xdr:to>
    <xdr:sp macro="" textlink="">
      <xdr:nvSpPr>
        <xdr:cNvPr id="5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759A2-1651-4664-95E5-B52AF2BDC09E}"/>
            </a:ext>
          </a:extLst>
        </xdr:cNvPr>
        <xdr:cNvSpPr/>
      </xdr:nvSpPr>
      <xdr:spPr>
        <a:xfrm>
          <a:off x="50800" y="31750"/>
          <a:ext cx="7882890" cy="330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ADMINISTRACION DE OBRA CIVIL 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476250</xdr:rowOff>
    </xdr:from>
    <xdr:to>
      <xdr:col>3</xdr:col>
      <xdr:colOff>474980</xdr:colOff>
      <xdr:row>4</xdr:row>
      <xdr:rowOff>15340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7B25EF-0ED1-416A-BFB5-3365A00EB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0"/>
          <a:ext cx="3086100" cy="3741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31750</xdr:rowOff>
    </xdr:from>
    <xdr:to>
      <xdr:col>10</xdr:col>
      <xdr:colOff>0</xdr:colOff>
      <xdr:row>0</xdr:row>
      <xdr:rowOff>361950</xdr:rowOff>
    </xdr:to>
    <xdr:sp macro="" textlink="">
      <xdr:nvSpPr>
        <xdr:cNvPr id="2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CC822-0876-4A6B-9525-0267978D9CDB}"/>
            </a:ext>
          </a:extLst>
        </xdr:cNvPr>
        <xdr:cNvSpPr/>
      </xdr:nvSpPr>
      <xdr:spPr>
        <a:xfrm>
          <a:off x="50800" y="31750"/>
          <a:ext cx="6756400" cy="330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PLAN DE GESTION INTEGRAL DE OBRA"PGIO"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476250</xdr:rowOff>
    </xdr:from>
    <xdr:to>
      <xdr:col>3</xdr:col>
      <xdr:colOff>478790</xdr:colOff>
      <xdr:row>4</xdr:row>
      <xdr:rowOff>19150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BD1A56-0FAC-4498-B72B-4D90568A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0"/>
          <a:ext cx="3088640" cy="3753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31750</xdr:rowOff>
    </xdr:from>
    <xdr:to>
      <xdr:col>10</xdr:col>
      <xdr:colOff>2540</xdr:colOff>
      <xdr:row>0</xdr:row>
      <xdr:rowOff>361950</xdr:rowOff>
    </xdr:to>
    <xdr:sp macro="" textlink="">
      <xdr:nvSpPr>
        <xdr:cNvPr id="2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F8A52B-6C08-4CC1-AB49-9E3BFBF11810}"/>
            </a:ext>
          </a:extLst>
        </xdr:cNvPr>
        <xdr:cNvSpPr/>
      </xdr:nvSpPr>
      <xdr:spPr>
        <a:xfrm>
          <a:off x="50800" y="31750"/>
          <a:ext cx="6550660" cy="33020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  <a:bevelB prst="slop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baseline="0">
              <a:solidFill>
                <a:schemeClr val="tx1"/>
              </a:solidFill>
            </a:rPr>
            <a:t>PLAN DE GESTION INTEGRAL DE OBRA"PGIO"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476250</xdr:rowOff>
    </xdr:from>
    <xdr:to>
      <xdr:col>3</xdr:col>
      <xdr:colOff>587375</xdr:colOff>
      <xdr:row>4</xdr:row>
      <xdr:rowOff>15340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E04CB3-EE04-4C0E-A4A7-5B8A5F03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0"/>
          <a:ext cx="3092450" cy="375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hi\OneDrive\Escritorio\EDUH\Informacion%20Eduh%20Turbo%202021\Contratos%202021\001%20PAVIMENTA%20TU%20BARRIO\PAVTUBARRIO%20VF-14-08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%20GESTION%20DE%20PROYECTOS\1.%20DISE&#209;O\5.%20MUNICIPIO%20DE%20TURBO\1.%20PROYECTOS%20REGALIAS\5.SANTO%20ECCEHOMO\4.%20PRESUPUESTO\PRESUPUESTO%20VIA%20SANTA%20FE%20Y%20LA%20PLAYA%20TURB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COORDINACION%20TECNICA\1.%20GESTION%20DE%20PROYECTOS\1.%20DISE&#209;O\1.%20MUNICIPIO%20DE%20APARTADO\1.%20PROYECTO%20REGALIAS\3.%20REVISION%20PROYECTO%20REGALIAS\PRESU_GNRAL_APO_CLL102-CR8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1.%20COORDINACION%20TECNICA\1.%20GESTION%20DE%20PROYECTOS\1.%20DISE&#209;O\5.%20MUNICIPIO%20DE%20TURBO\1.%20PROYECTOS%20REGALIAS\1.PROY_REG_CRA_14\1.%20PROY_REG_CRA_14\PRESU_GNRAL_TURB_14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.%20GESTION%20DE%20PROYECTOS\1.%20DISE&#209;O\5.%20MUNICIPIO%20DE%20TURBO\2.%20PROYECTOS%20DPS\3.PROYECTO_DPS_3_CLL%20109\2.%20PRESUPUESTO\PRESU_GAL_TURB_CLL109_DPS%20V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gus1-my.sharepoint.com/personal/lzapata_grupoberza_com_co/Documents/PAVTUBARRIO%205barri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hi\OneDrive\Escritorio\EDUH\Informacion%20Eduh%20Turbo%202021\Contratos%202021\001%20PAVIMENTA%20TU%20BARRIO\REAJUSTE%20PAVIMENTO%20FINAL\PAVIMENTA%20TU%20BARRIO%20AJUSTE\PRESUPUESTO%20GENERAL%20versi&#243;n%20no%20aprob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hi\OneDrive\Escritorio\EDUH\Informacion%20Eduh%20Turbo%202021\Contratos%202021\001%20PAVIMENTA%20TU%20BARRIO\PAVTUBARRIO%20v3%205b%20(1)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gus1-my.sharepoint.com/Users/Gerencia/Downloads/propuesta%20turbo%201km%2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gus1-my.sharepoint.com/personal/lzapata_grupoberza_com_co/Documents/PAVTUBARRIO%20v3%205b%20complet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gus1-my.sharepoint.com/Users/Gerencia/AppData/Roaming/Microsoft/Excel/propuesta%20MANO%20DE%20OBRA%2017k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A"/>
      <sheetName val="AIU Obra civil "/>
      <sheetName val="aiu insumos"/>
      <sheetName val="MEM"/>
      <sheetName val="PGIO"/>
      <sheetName val="PMT"/>
      <sheetName val="APU1"/>
      <sheetName val="CRONOGRAMA "/>
      <sheetName val="MDEO ADMON"/>
      <sheetName val="prespuesto interventoria"/>
      <sheetName val="FACTOR MULTIPLICADOR"/>
      <sheetName val="PRESUPUESTO"/>
      <sheetName val="APU"/>
      <sheetName val="MAT1"/>
      <sheetName val="MAT2"/>
      <sheetName val="EQUI"/>
      <sheetName val="TRAN"/>
      <sheetName val="MDEO"/>
    </sheetNames>
    <sheetDataSet>
      <sheetData sheetId="0"/>
      <sheetData sheetId="1">
        <row r="42">
          <cell r="H42">
            <v>2224092806.056838</v>
          </cell>
        </row>
        <row r="46">
          <cell r="H46">
            <v>2685303536.8616328</v>
          </cell>
          <cell r="I46"/>
          <cell r="J46"/>
        </row>
      </sheetData>
      <sheetData sheetId="2">
        <row r="32">
          <cell r="J32">
            <v>849999836.09822905</v>
          </cell>
        </row>
      </sheetData>
      <sheetData sheetId="3">
        <row r="285">
          <cell r="B285" t="str">
            <v>1.1</v>
          </cell>
          <cell r="C285" t="str">
            <v>DESCRIPCION</v>
          </cell>
          <cell r="D285"/>
          <cell r="E285" t="str">
            <v>Localización, replanteo y plano récord, en sección completa de vía, incluyendo andes, cordones y sección de calzada</v>
          </cell>
          <cell r="F285"/>
          <cell r="G285"/>
          <cell r="H285"/>
          <cell r="I285" t="str">
            <v>UN</v>
          </cell>
          <cell r="J285" t="str">
            <v>ML</v>
          </cell>
          <cell r="K285" t="str">
            <v>CANTIDAD</v>
          </cell>
          <cell r="L285">
            <v>9031</v>
          </cell>
        </row>
        <row r="287">
          <cell r="B287" t="str">
            <v>REFERENCIA</v>
          </cell>
          <cell r="C287"/>
          <cell r="D287" t="str">
            <v>DESCRIPCION /LOCALIZACION</v>
          </cell>
          <cell r="E287"/>
          <cell r="F287"/>
          <cell r="G287" t="str">
            <v>UNIDAD</v>
          </cell>
          <cell r="H287" t="str">
            <v>CAN/UN</v>
          </cell>
          <cell r="I287" t="str">
            <v>LARGO</v>
          </cell>
          <cell r="J287" t="str">
            <v>ANCHO</v>
          </cell>
          <cell r="K287" t="str">
            <v>ALTURA</v>
          </cell>
          <cell r="L287" t="str">
            <v>CAN MED</v>
          </cell>
        </row>
        <row r="288">
          <cell r="B288" t="str">
            <v>CRA 19 * 102C</v>
          </cell>
          <cell r="C288" t="str">
            <v>DV_TOTALA</v>
          </cell>
          <cell r="D288" t="str">
            <v>BARRIO CIUDADELA INDUSTRIAL</v>
          </cell>
          <cell r="E288"/>
          <cell r="F288"/>
          <cell r="G288" t="str">
            <v>ML</v>
          </cell>
          <cell r="H288">
            <v>1</v>
          </cell>
          <cell r="I288">
            <v>3</v>
          </cell>
          <cell r="L288">
            <v>3</v>
          </cell>
        </row>
        <row r="289">
          <cell r="B289" t="str">
            <v>CALLE 102C ENTRE CARRERA 19 - 20</v>
          </cell>
          <cell r="C289" t="str">
            <v>DV_TOTALA</v>
          </cell>
          <cell r="D289" t="str">
            <v>BARRIO CIUDADELA INDUSTRIAL</v>
          </cell>
          <cell r="E289"/>
          <cell r="F289"/>
          <cell r="G289" t="str">
            <v>ML</v>
          </cell>
          <cell r="H289">
            <v>1</v>
          </cell>
          <cell r="I289">
            <v>87.95</v>
          </cell>
          <cell r="L289">
            <v>87.95</v>
          </cell>
        </row>
        <row r="290">
          <cell r="B290" t="str">
            <v>CRA 20 * 102C</v>
          </cell>
          <cell r="C290" t="str">
            <v>DV_TOTALA</v>
          </cell>
          <cell r="D290" t="str">
            <v>BARRIO CIUDADELA INDUSTRIAL</v>
          </cell>
          <cell r="E290"/>
          <cell r="F290"/>
          <cell r="G290" t="str">
            <v>ML</v>
          </cell>
          <cell r="H290">
            <v>1</v>
          </cell>
          <cell r="I290">
            <v>6</v>
          </cell>
          <cell r="L290">
            <v>6</v>
          </cell>
        </row>
        <row r="291">
          <cell r="B291" t="str">
            <v>CALLE 102C ENTRE CARRERA 20 - 21</v>
          </cell>
          <cell r="C291" t="str">
            <v>DV_TOTALA</v>
          </cell>
          <cell r="D291" t="str">
            <v>BARRIO CIUDADELA INDUSTRIAL</v>
          </cell>
          <cell r="E291"/>
          <cell r="F291"/>
          <cell r="G291" t="str">
            <v>ML</v>
          </cell>
          <cell r="H291">
            <v>1</v>
          </cell>
          <cell r="I291">
            <v>93.72</v>
          </cell>
          <cell r="L291">
            <v>93.72</v>
          </cell>
        </row>
        <row r="292">
          <cell r="B292" t="str">
            <v xml:space="preserve">CRA 21 * 102C </v>
          </cell>
          <cell r="C292" t="str">
            <v>DV_TOTALA</v>
          </cell>
          <cell r="D292" t="str">
            <v>BARRIO CIUDADELA INDUSTRIAL</v>
          </cell>
          <cell r="E292"/>
          <cell r="F292"/>
          <cell r="G292" t="str">
            <v>ML</v>
          </cell>
          <cell r="H292">
            <v>1</v>
          </cell>
          <cell r="I292">
            <v>3</v>
          </cell>
          <cell r="L292">
            <v>3</v>
          </cell>
        </row>
        <row r="293">
          <cell r="B293" t="str">
            <v>CRA 19 * 102B</v>
          </cell>
          <cell r="C293" t="str">
            <v>DV_TOTALA</v>
          </cell>
          <cell r="D293" t="str">
            <v>BARRIO CIUDADELA INDUSTRIAL</v>
          </cell>
          <cell r="E293"/>
          <cell r="F293"/>
          <cell r="G293" t="str">
            <v>ML</v>
          </cell>
          <cell r="H293">
            <v>1</v>
          </cell>
          <cell r="I293">
            <v>3</v>
          </cell>
          <cell r="L293">
            <v>3</v>
          </cell>
        </row>
        <row r="294">
          <cell r="B294" t="str">
            <v>CALLE 102B ENTRE CARRERA 19 - 20</v>
          </cell>
          <cell r="C294" t="str">
            <v>DV_TOTALA</v>
          </cell>
          <cell r="D294" t="str">
            <v>BARRIO CIUDADELA INDUSTRIAL</v>
          </cell>
          <cell r="E294"/>
          <cell r="F294"/>
          <cell r="G294" t="str">
            <v>ML</v>
          </cell>
          <cell r="H294">
            <v>1</v>
          </cell>
          <cell r="I294">
            <v>79.709999999999994</v>
          </cell>
          <cell r="L294">
            <v>79.709999999999994</v>
          </cell>
        </row>
        <row r="295">
          <cell r="B295" t="str">
            <v>CRA 20 * 102B</v>
          </cell>
          <cell r="C295" t="str">
            <v>DV_TOTALA</v>
          </cell>
          <cell r="D295" t="str">
            <v>BARRIO CIUDADELA INDUSTRIAL</v>
          </cell>
          <cell r="E295"/>
          <cell r="F295"/>
          <cell r="G295" t="str">
            <v>ML</v>
          </cell>
          <cell r="H295">
            <v>1</v>
          </cell>
          <cell r="I295">
            <v>6</v>
          </cell>
          <cell r="L295">
            <v>6</v>
          </cell>
        </row>
        <row r="296">
          <cell r="B296" t="str">
            <v>CALLE 102B ENTRE CARRERA 20 - 21</v>
          </cell>
          <cell r="C296" t="str">
            <v>DV_TOTALA</v>
          </cell>
          <cell r="D296" t="str">
            <v>BARRIO CIUDADELA INDUSTRIAL</v>
          </cell>
          <cell r="E296"/>
          <cell r="F296"/>
          <cell r="G296" t="str">
            <v>ML</v>
          </cell>
          <cell r="H296">
            <v>1</v>
          </cell>
          <cell r="I296">
            <v>93.02</v>
          </cell>
          <cell r="L296">
            <v>93.02</v>
          </cell>
        </row>
        <row r="297">
          <cell r="B297" t="str">
            <v>CRA 21 * 102B</v>
          </cell>
          <cell r="C297" t="str">
            <v>DV_TOTALA</v>
          </cell>
          <cell r="D297" t="str">
            <v>BARRIO CIUDADELA INDUSTRIAL</v>
          </cell>
          <cell r="E297"/>
          <cell r="F297"/>
          <cell r="G297" t="str">
            <v>ML</v>
          </cell>
          <cell r="H297">
            <v>1</v>
          </cell>
          <cell r="I297">
            <v>6</v>
          </cell>
          <cell r="L297">
            <v>6</v>
          </cell>
        </row>
        <row r="298">
          <cell r="B298" t="str">
            <v>CALLE 102B ENTRE CARRERA 20 - 21A</v>
          </cell>
          <cell r="C298" t="str">
            <v>DV_TOTALA</v>
          </cell>
          <cell r="D298" t="str">
            <v>BARRIO CIUDADELA INDUSTRIAL</v>
          </cell>
          <cell r="E298"/>
          <cell r="F298"/>
          <cell r="G298" t="str">
            <v>ML</v>
          </cell>
          <cell r="H298">
            <v>1</v>
          </cell>
          <cell r="I298">
            <v>48.73</v>
          </cell>
          <cell r="L298">
            <v>48.73</v>
          </cell>
        </row>
        <row r="299">
          <cell r="B299" t="str">
            <v>CRA 21A * 102B</v>
          </cell>
          <cell r="C299" t="str">
            <v>DV_TOTALA</v>
          </cell>
          <cell r="D299" t="str">
            <v>BARRIO CIUDADELA INDUSTRIAL</v>
          </cell>
          <cell r="E299"/>
          <cell r="F299"/>
          <cell r="G299" t="str">
            <v>ML</v>
          </cell>
          <cell r="H299">
            <v>1</v>
          </cell>
          <cell r="I299">
            <v>3</v>
          </cell>
          <cell r="L299">
            <v>3</v>
          </cell>
        </row>
        <row r="300">
          <cell r="B300" t="str">
            <v>CLL 102B * CRA 20</v>
          </cell>
          <cell r="C300" t="str">
            <v>DV_TOTALA</v>
          </cell>
          <cell r="D300" t="str">
            <v>BARRIO CIUDADELA INDUSTRIAL</v>
          </cell>
          <cell r="E300"/>
          <cell r="F300"/>
          <cell r="G300" t="str">
            <v>ML</v>
          </cell>
          <cell r="H300">
            <v>1</v>
          </cell>
          <cell r="I300">
            <v>3</v>
          </cell>
          <cell r="L300">
            <v>3</v>
          </cell>
        </row>
        <row r="301">
          <cell r="B301" t="str">
            <v>CARRERA 20 ENTRE CALLE 102 B Y 102 C</v>
          </cell>
          <cell r="C301" t="str">
            <v>DV_TOTALA</v>
          </cell>
          <cell r="D301" t="str">
            <v>BARRIO CIUDADELA INDUSTRIAL</v>
          </cell>
          <cell r="E301"/>
          <cell r="F301"/>
          <cell r="G301" t="str">
            <v>ML</v>
          </cell>
          <cell r="H301">
            <v>1</v>
          </cell>
          <cell r="I301">
            <v>44.93</v>
          </cell>
          <cell r="L301">
            <v>44.93</v>
          </cell>
        </row>
        <row r="302">
          <cell r="B302" t="str">
            <v>CLL 102C * CRA 20</v>
          </cell>
          <cell r="C302" t="str">
            <v>DV_TOTALA</v>
          </cell>
          <cell r="D302" t="str">
            <v>BARRIO CIUDADELA INDUSTRIAL</v>
          </cell>
          <cell r="E302"/>
          <cell r="F302"/>
          <cell r="G302" t="str">
            <v>ML</v>
          </cell>
          <cell r="H302">
            <v>1</v>
          </cell>
          <cell r="I302">
            <v>0</v>
          </cell>
          <cell r="L302">
            <v>0</v>
          </cell>
        </row>
        <row r="303">
          <cell r="B303" t="str">
            <v>CARRERA 20 ENTRE CALLE 102 C Y 102D</v>
          </cell>
          <cell r="C303" t="str">
            <v>DV_TOTALA</v>
          </cell>
          <cell r="D303" t="str">
            <v>BARRIO CIUDADELA INDUSTRIAL</v>
          </cell>
          <cell r="E303"/>
          <cell r="F303"/>
          <cell r="G303" t="str">
            <v>ML</v>
          </cell>
          <cell r="H303">
            <v>1</v>
          </cell>
          <cell r="I303">
            <v>42.8</v>
          </cell>
          <cell r="L303">
            <v>42.8</v>
          </cell>
        </row>
        <row r="304">
          <cell r="B304" t="str">
            <v>CLL 102D * CRA 20</v>
          </cell>
          <cell r="C304" t="str">
            <v>DV_TOTALA</v>
          </cell>
          <cell r="D304" t="str">
            <v>BARRIO CIUDADELA INDUSTRIAL</v>
          </cell>
          <cell r="E304"/>
          <cell r="F304"/>
          <cell r="G304" t="str">
            <v>ML</v>
          </cell>
          <cell r="H304">
            <v>1</v>
          </cell>
          <cell r="I304">
            <v>3</v>
          </cell>
          <cell r="L304">
            <v>3</v>
          </cell>
        </row>
        <row r="305">
          <cell r="B305" t="str">
            <v>CLL 102B * CRA 21</v>
          </cell>
          <cell r="C305" t="str">
            <v>DV_TOTALA</v>
          </cell>
          <cell r="D305" t="str">
            <v>BARRIO CIUDADELA INDUSTRIAL</v>
          </cell>
          <cell r="E305"/>
          <cell r="F305"/>
          <cell r="G305" t="str">
            <v>ML</v>
          </cell>
          <cell r="H305">
            <v>1</v>
          </cell>
          <cell r="I305">
            <v>3</v>
          </cell>
          <cell r="L305">
            <v>3</v>
          </cell>
        </row>
        <row r="306">
          <cell r="B306" t="str">
            <v>CARRERA 21 ENTRE CALLE 102 B Y 102 C</v>
          </cell>
          <cell r="C306" t="str">
            <v>DV_TOTALA</v>
          </cell>
          <cell r="D306" t="str">
            <v>BARRIO CIUDADELA INDUSTRIAL</v>
          </cell>
          <cell r="E306"/>
          <cell r="F306"/>
          <cell r="G306" t="str">
            <v>ML</v>
          </cell>
          <cell r="H306">
            <v>1</v>
          </cell>
          <cell r="I306">
            <v>45</v>
          </cell>
          <cell r="L306">
            <v>45</v>
          </cell>
        </row>
        <row r="307">
          <cell r="B307" t="str">
            <v>CLL 102C * CRA 21</v>
          </cell>
          <cell r="C307" t="str">
            <v>DV_TOTALA</v>
          </cell>
          <cell r="D307" t="str">
            <v>BARRIO CIUDADELA INDUSTRIAL</v>
          </cell>
          <cell r="E307"/>
          <cell r="F307"/>
          <cell r="G307" t="str">
            <v>ML</v>
          </cell>
          <cell r="H307">
            <v>1</v>
          </cell>
          <cell r="I307">
            <v>6</v>
          </cell>
          <cell r="L307">
            <v>6</v>
          </cell>
        </row>
        <row r="308">
          <cell r="B308" t="str">
            <v>CARRERA 21 ENTRE CALLE 102 C Y 102D</v>
          </cell>
          <cell r="C308" t="str">
            <v>DV_TOTALA</v>
          </cell>
          <cell r="D308" t="str">
            <v>BARRIO CIUDADELA INDUSTRIAL</v>
          </cell>
          <cell r="E308"/>
          <cell r="F308"/>
          <cell r="G308" t="str">
            <v>ML</v>
          </cell>
          <cell r="H308">
            <v>1</v>
          </cell>
          <cell r="I308">
            <v>40.57</v>
          </cell>
          <cell r="L308">
            <v>40.57</v>
          </cell>
        </row>
        <row r="309">
          <cell r="B309" t="str">
            <v>CLL 102D * CRA 21</v>
          </cell>
          <cell r="C309" t="str">
            <v>DV_TOTALA</v>
          </cell>
          <cell r="D309" t="str">
            <v>BARRIO CIUDADELA INDUSTRIAL</v>
          </cell>
          <cell r="E309"/>
          <cell r="F309"/>
          <cell r="G309" t="str">
            <v>ML</v>
          </cell>
          <cell r="H309">
            <v>1</v>
          </cell>
          <cell r="I309">
            <v>3</v>
          </cell>
          <cell r="L309">
            <v>3</v>
          </cell>
        </row>
        <row r="310">
          <cell r="B310" t="str">
            <v>CRA 20 * CALLE 102C</v>
          </cell>
          <cell r="C310" t="str">
            <v>DV_TOTALA</v>
          </cell>
          <cell r="D310" t="str">
            <v>BARRIO CIUDADELA INDUSTRIAL</v>
          </cell>
          <cell r="E310"/>
          <cell r="F310"/>
          <cell r="G310" t="str">
            <v>ML</v>
          </cell>
          <cell r="H310">
            <v>1</v>
          </cell>
          <cell r="I310">
            <v>3</v>
          </cell>
          <cell r="L310">
            <v>3</v>
          </cell>
        </row>
        <row r="311">
          <cell r="B311" t="str">
            <v>CALLE 102D ENTRE CARRERA 20 - 21</v>
          </cell>
          <cell r="C311" t="str">
            <v>DV_TOTALA</v>
          </cell>
          <cell r="D311" t="str">
            <v>BARRIO CIUDADELA INDUSTRIAL</v>
          </cell>
          <cell r="E311"/>
          <cell r="F311"/>
          <cell r="G311" t="str">
            <v>ML</v>
          </cell>
          <cell r="H311">
            <v>1</v>
          </cell>
          <cell r="I311">
            <v>102.75</v>
          </cell>
          <cell r="L311">
            <v>102.75</v>
          </cell>
        </row>
        <row r="312">
          <cell r="B312" t="str">
            <v>CRA 21* CALLE 102C</v>
          </cell>
          <cell r="C312" t="str">
            <v>DV_TOTALA</v>
          </cell>
          <cell r="D312" t="str">
            <v>BARRIO CIUDADELA INDUSTRIAL</v>
          </cell>
          <cell r="E312"/>
          <cell r="F312"/>
          <cell r="G312" t="str">
            <v>ML</v>
          </cell>
          <cell r="H312">
            <v>1</v>
          </cell>
          <cell r="I312">
            <v>3</v>
          </cell>
          <cell r="L312">
            <v>3</v>
          </cell>
        </row>
        <row r="313">
          <cell r="B313" t="str">
            <v>CRA 17 * CLL  102A</v>
          </cell>
          <cell r="C313" t="str">
            <v>DV_TOTALB</v>
          </cell>
          <cell r="D313" t="str">
            <v>BARRIO JUAN XXIII</v>
          </cell>
          <cell r="E313"/>
          <cell r="F313"/>
          <cell r="G313" t="str">
            <v>ML</v>
          </cell>
          <cell r="H313">
            <v>1</v>
          </cell>
          <cell r="I313">
            <v>3</v>
          </cell>
          <cell r="L313">
            <v>3</v>
          </cell>
        </row>
        <row r="314">
          <cell r="B314" t="str">
            <v>CALLE 102A ENTRE CARRERA 17 - 19</v>
          </cell>
          <cell r="C314" t="str">
            <v>DV_TOTALB</v>
          </cell>
          <cell r="D314" t="str">
            <v>BARRIO JUAN XXIII</v>
          </cell>
          <cell r="E314"/>
          <cell r="F314"/>
          <cell r="G314" t="str">
            <v>ML</v>
          </cell>
          <cell r="H314">
            <v>1</v>
          </cell>
          <cell r="I314">
            <v>180.84</v>
          </cell>
          <cell r="L314">
            <v>180.84</v>
          </cell>
        </row>
        <row r="315">
          <cell r="B315" t="str">
            <v>CRA 19 * CLL  102A</v>
          </cell>
          <cell r="C315" t="str">
            <v>DV_TOTALB</v>
          </cell>
          <cell r="D315" t="str">
            <v>BARRIO JUAN XXIII</v>
          </cell>
          <cell r="E315"/>
          <cell r="F315"/>
          <cell r="G315" t="str">
            <v>ML</v>
          </cell>
          <cell r="H315">
            <v>1</v>
          </cell>
          <cell r="I315">
            <v>3</v>
          </cell>
          <cell r="L315">
            <v>3</v>
          </cell>
        </row>
        <row r="316">
          <cell r="B316" t="str">
            <v>CRA 17 * CALLE 102B</v>
          </cell>
          <cell r="C316" t="str">
            <v>DV_TOTALB</v>
          </cell>
          <cell r="D316" t="str">
            <v>BARRIO JUAN XXIII</v>
          </cell>
          <cell r="E316"/>
          <cell r="F316"/>
          <cell r="G316" t="str">
            <v>ML</v>
          </cell>
          <cell r="H316">
            <v>1</v>
          </cell>
          <cell r="I316">
            <v>3</v>
          </cell>
          <cell r="L316">
            <v>3</v>
          </cell>
        </row>
        <row r="317">
          <cell r="B317" t="str">
            <v>CALLE 102B ENTRE CARRERA 17 - 19</v>
          </cell>
          <cell r="C317" t="str">
            <v>DV_TOTALB</v>
          </cell>
          <cell r="D317" t="str">
            <v>BARRIO JUAN XXIII</v>
          </cell>
          <cell r="E317"/>
          <cell r="F317"/>
          <cell r="G317" t="str">
            <v>ML</v>
          </cell>
          <cell r="H317">
            <v>1</v>
          </cell>
          <cell r="I317">
            <v>129.94</v>
          </cell>
          <cell r="L317">
            <v>129.94</v>
          </cell>
        </row>
        <row r="318">
          <cell r="B318" t="str">
            <v>CRA 19 * CALLE 102B</v>
          </cell>
          <cell r="C318" t="str">
            <v>DV_TOTALB</v>
          </cell>
          <cell r="D318" t="str">
            <v>BARRIO JUAN XXIII</v>
          </cell>
          <cell r="E318"/>
          <cell r="F318"/>
          <cell r="G318" t="str">
            <v>ML</v>
          </cell>
          <cell r="H318">
            <v>1</v>
          </cell>
          <cell r="I318">
            <v>3</v>
          </cell>
          <cell r="L318">
            <v>3</v>
          </cell>
        </row>
        <row r="319">
          <cell r="B319" t="str">
            <v>CRA 17 * CALLE 102</v>
          </cell>
          <cell r="C319" t="str">
            <v>DV_TOTALB</v>
          </cell>
          <cell r="D319" t="str">
            <v>BARRIO JUAN XXIII</v>
          </cell>
          <cell r="E319"/>
          <cell r="F319"/>
          <cell r="G319" t="str">
            <v>ML</v>
          </cell>
          <cell r="H319">
            <v>1</v>
          </cell>
          <cell r="I319">
            <v>3</v>
          </cell>
          <cell r="L319">
            <v>3</v>
          </cell>
        </row>
        <row r="320">
          <cell r="B320" t="str">
            <v>CALLE 102 ENTRE CARRERA 17 - 17A</v>
          </cell>
          <cell r="C320" t="str">
            <v>DV_TOTALB</v>
          </cell>
          <cell r="D320" t="str">
            <v>BARRIO JUAN XXIII</v>
          </cell>
          <cell r="E320"/>
          <cell r="F320"/>
          <cell r="G320" t="str">
            <v>ML</v>
          </cell>
          <cell r="H320">
            <v>1</v>
          </cell>
          <cell r="I320">
            <v>143.56</v>
          </cell>
          <cell r="L320">
            <v>143.56</v>
          </cell>
        </row>
        <row r="321">
          <cell r="B321" t="str">
            <v>CRA 17A * CALLE 102</v>
          </cell>
          <cell r="C321" t="str">
            <v>DV_TOTALB</v>
          </cell>
          <cell r="D321" t="str">
            <v>BARRIO JUAN XXIII</v>
          </cell>
          <cell r="E321"/>
          <cell r="F321"/>
          <cell r="G321" t="str">
            <v>ML</v>
          </cell>
          <cell r="H321">
            <v>1</v>
          </cell>
          <cell r="I321">
            <v>11.64</v>
          </cell>
          <cell r="L321">
            <v>11.64</v>
          </cell>
        </row>
        <row r="322">
          <cell r="B322" t="str">
            <v>CALLE 102 ENTRE CARRERA 17A - 19</v>
          </cell>
          <cell r="C322" t="str">
            <v>DV_TOTALB</v>
          </cell>
          <cell r="D322" t="str">
            <v>BARRIO JUAN XXIII</v>
          </cell>
          <cell r="E322"/>
          <cell r="F322"/>
          <cell r="G322" t="str">
            <v>ML</v>
          </cell>
          <cell r="H322">
            <v>1</v>
          </cell>
          <cell r="I322">
            <v>86.13</v>
          </cell>
          <cell r="L322">
            <v>86.13</v>
          </cell>
        </row>
        <row r="323">
          <cell r="B323" t="str">
            <v>CRA 19 * CALLE 102</v>
          </cell>
          <cell r="C323" t="str">
            <v>DV_TOTALB</v>
          </cell>
          <cell r="D323" t="str">
            <v>BARRIO JUAN XXIII</v>
          </cell>
          <cell r="E323"/>
          <cell r="F323"/>
          <cell r="G323" t="str">
            <v>ML</v>
          </cell>
          <cell r="H323">
            <v>1</v>
          </cell>
          <cell r="I323">
            <v>3</v>
          </cell>
          <cell r="L323">
            <v>3</v>
          </cell>
        </row>
        <row r="324">
          <cell r="B324" t="str">
            <v>CRA 17 * CALLE 101</v>
          </cell>
          <cell r="C324" t="str">
            <v>DV_TOTALB</v>
          </cell>
          <cell r="D324" t="str">
            <v>BARRIO JUAN XXIII</v>
          </cell>
          <cell r="E324"/>
          <cell r="F324"/>
          <cell r="G324" t="str">
            <v>ML</v>
          </cell>
          <cell r="H324">
            <v>1</v>
          </cell>
          <cell r="I324">
            <v>3</v>
          </cell>
          <cell r="L324">
            <v>3</v>
          </cell>
        </row>
        <row r="325">
          <cell r="B325" t="str">
            <v>CALLE 101 ENTRE CARRERA 17 - 17A</v>
          </cell>
          <cell r="C325" t="str">
            <v>DV_TOTALB</v>
          </cell>
          <cell r="D325" t="str">
            <v>BARRIO JUAN XXIII</v>
          </cell>
          <cell r="E325"/>
          <cell r="F325"/>
          <cell r="G325" t="str">
            <v>ML</v>
          </cell>
          <cell r="H325">
            <v>1</v>
          </cell>
          <cell r="I325">
            <v>155.94999999999999</v>
          </cell>
          <cell r="L325">
            <v>155.94999999999999</v>
          </cell>
        </row>
        <row r="326">
          <cell r="B326" t="str">
            <v>CRA 17A * CALLE 101</v>
          </cell>
          <cell r="C326" t="str">
            <v>DV_TOTALB</v>
          </cell>
          <cell r="D326" t="str">
            <v>BARRIO JUAN XXIII</v>
          </cell>
          <cell r="E326"/>
          <cell r="F326"/>
          <cell r="G326" t="str">
            <v>ML</v>
          </cell>
          <cell r="H326">
            <v>1</v>
          </cell>
          <cell r="I326">
            <v>3</v>
          </cell>
          <cell r="L326">
            <v>3</v>
          </cell>
        </row>
        <row r="327">
          <cell r="B327" t="str">
            <v>CLL 101 * CRA 17A</v>
          </cell>
          <cell r="C327" t="str">
            <v>DV_TOTALB</v>
          </cell>
          <cell r="D327" t="str">
            <v>BARRIO JUAN XXIII</v>
          </cell>
          <cell r="E327"/>
          <cell r="F327"/>
          <cell r="G327" t="str">
            <v>ML</v>
          </cell>
          <cell r="H327">
            <v>1</v>
          </cell>
          <cell r="I327">
            <v>3</v>
          </cell>
          <cell r="L327">
            <v>3</v>
          </cell>
        </row>
        <row r="328">
          <cell r="B328" t="str">
            <v>CRA 17A ENTRE CALLE 101 Y 102</v>
          </cell>
          <cell r="C328" t="str">
            <v>DV_TOTALB</v>
          </cell>
          <cell r="D328" t="str">
            <v>BARRIO JUAN XXIII</v>
          </cell>
          <cell r="E328"/>
          <cell r="F328"/>
          <cell r="G328" t="str">
            <v>ML</v>
          </cell>
          <cell r="H328">
            <v>1</v>
          </cell>
          <cell r="I328">
            <v>44.239999999999995</v>
          </cell>
          <cell r="L328">
            <v>44.239999999999995</v>
          </cell>
        </row>
        <row r="329">
          <cell r="B329" t="str">
            <v>CLL 102 * CRA 17A</v>
          </cell>
          <cell r="C329" t="str">
            <v>DV_TOTALB</v>
          </cell>
          <cell r="D329" t="str">
            <v>BARRIO JUAN XXIII</v>
          </cell>
          <cell r="E329"/>
          <cell r="F329"/>
          <cell r="G329" t="str">
            <v>ML</v>
          </cell>
          <cell r="H329">
            <v>1</v>
          </cell>
          <cell r="I329">
            <v>3</v>
          </cell>
          <cell r="L329">
            <v>3</v>
          </cell>
        </row>
        <row r="330">
          <cell r="B330" t="str">
            <v>CLL 100 * CRA 17</v>
          </cell>
          <cell r="C330" t="str">
            <v>DV_TOTALB</v>
          </cell>
          <cell r="D330" t="str">
            <v>BARRIO JUAN XXIII</v>
          </cell>
          <cell r="E330"/>
          <cell r="F330"/>
          <cell r="G330" t="str">
            <v>ML</v>
          </cell>
          <cell r="H330">
            <v>1</v>
          </cell>
          <cell r="I330">
            <v>3</v>
          </cell>
          <cell r="L330">
            <v>3</v>
          </cell>
        </row>
        <row r="331">
          <cell r="B331" t="str">
            <v>CRA 17 ENTRE CALLE 100 Y 101</v>
          </cell>
          <cell r="C331" t="str">
            <v>DV_TOTALB</v>
          </cell>
          <cell r="D331" t="str">
            <v>BARRIO JUAN XXIII</v>
          </cell>
          <cell r="E331"/>
          <cell r="F331"/>
          <cell r="G331" t="str">
            <v>ML</v>
          </cell>
          <cell r="H331">
            <v>1</v>
          </cell>
          <cell r="I331">
            <v>100.75</v>
          </cell>
          <cell r="L331">
            <v>100.75</v>
          </cell>
        </row>
        <row r="332">
          <cell r="B332" t="str">
            <v>CLL 101 * CRA 17</v>
          </cell>
          <cell r="C332" t="str">
            <v>DV_TOTALB</v>
          </cell>
          <cell r="D332" t="str">
            <v>BARRIO JUAN XXIII</v>
          </cell>
          <cell r="E332"/>
          <cell r="F332"/>
          <cell r="G332" t="str">
            <v>ML</v>
          </cell>
          <cell r="H332">
            <v>1</v>
          </cell>
          <cell r="I332">
            <v>13.54</v>
          </cell>
          <cell r="L332">
            <v>13.54</v>
          </cell>
        </row>
        <row r="333">
          <cell r="B333" t="str">
            <v>CRA 17 ENTRE CALLE 101 Y 102</v>
          </cell>
          <cell r="C333" t="str">
            <v>DV_TOTALB</v>
          </cell>
          <cell r="D333" t="str">
            <v>BARRIO JUAN XXIII</v>
          </cell>
          <cell r="E333"/>
          <cell r="F333"/>
          <cell r="G333" t="str">
            <v>ML</v>
          </cell>
          <cell r="H333">
            <v>1</v>
          </cell>
          <cell r="I333">
            <v>72.400000000000006</v>
          </cell>
          <cell r="L333">
            <v>72.400000000000006</v>
          </cell>
        </row>
        <row r="334">
          <cell r="B334" t="str">
            <v>CLL 102 * CRA 17</v>
          </cell>
          <cell r="C334" t="str">
            <v>DV_TOTALB</v>
          </cell>
          <cell r="D334" t="str">
            <v>BARRIO JUAN XXIII</v>
          </cell>
          <cell r="E334"/>
          <cell r="F334"/>
          <cell r="G334" t="str">
            <v>ML</v>
          </cell>
          <cell r="H334">
            <v>1</v>
          </cell>
          <cell r="I334">
            <v>18.53</v>
          </cell>
          <cell r="L334">
            <v>18.53</v>
          </cell>
        </row>
        <row r="335">
          <cell r="B335" t="str">
            <v>CRA 17 ENTRE CALLE 102 Y 102A</v>
          </cell>
          <cell r="C335" t="str">
            <v>DV_TOTALB</v>
          </cell>
          <cell r="D335" t="str">
            <v>BARRIO JUAN XXIII</v>
          </cell>
          <cell r="E335"/>
          <cell r="F335"/>
          <cell r="G335" t="str">
            <v>ML</v>
          </cell>
          <cell r="H335">
            <v>1</v>
          </cell>
          <cell r="I335">
            <v>56.95</v>
          </cell>
          <cell r="L335">
            <v>56.95</v>
          </cell>
        </row>
        <row r="336">
          <cell r="B336" t="str">
            <v>CLL 102A * CRA 17</v>
          </cell>
          <cell r="C336" t="str">
            <v>DV_TOTALB</v>
          </cell>
          <cell r="D336" t="str">
            <v>BARRIO JUAN XXIII</v>
          </cell>
          <cell r="E336"/>
          <cell r="F336"/>
          <cell r="G336" t="str">
            <v>ML</v>
          </cell>
          <cell r="H336">
            <v>1</v>
          </cell>
          <cell r="I336">
            <v>14.4</v>
          </cell>
          <cell r="L336">
            <v>14.4</v>
          </cell>
        </row>
        <row r="337">
          <cell r="B337" t="str">
            <v>CRA 17 ENTRE CALLE 102A Y 102B</v>
          </cell>
          <cell r="C337" t="str">
            <v>DV_TOTALB</v>
          </cell>
          <cell r="D337" t="str">
            <v>BARRIO JUAN XXIII</v>
          </cell>
          <cell r="E337"/>
          <cell r="F337"/>
          <cell r="G337" t="str">
            <v>ML</v>
          </cell>
          <cell r="H337">
            <v>1</v>
          </cell>
          <cell r="I337">
            <v>57.339999999999996</v>
          </cell>
          <cell r="L337">
            <v>57.339999999999996</v>
          </cell>
        </row>
        <row r="338">
          <cell r="B338" t="str">
            <v>CLL 102B * CRA 17</v>
          </cell>
          <cell r="C338" t="str">
            <v>DV_TOTALB</v>
          </cell>
          <cell r="D338" t="str">
            <v>BARRIO JUAN XXIII</v>
          </cell>
          <cell r="E338"/>
          <cell r="F338"/>
          <cell r="G338" t="str">
            <v>ML</v>
          </cell>
          <cell r="H338">
            <v>1</v>
          </cell>
          <cell r="I338">
            <v>3</v>
          </cell>
          <cell r="L338">
            <v>3</v>
          </cell>
        </row>
        <row r="339">
          <cell r="B339" t="str">
            <v>LOTE *CLL99E</v>
          </cell>
          <cell r="C339" t="str">
            <v>DV_TOTALC</v>
          </cell>
          <cell r="D339" t="str">
            <v>BARRIO LAS DELICIAS</v>
          </cell>
          <cell r="E339"/>
          <cell r="F339"/>
          <cell r="G339" t="str">
            <v>ML</v>
          </cell>
          <cell r="H339">
            <v>1</v>
          </cell>
          <cell r="I339">
            <v>3</v>
          </cell>
          <cell r="L339">
            <v>3</v>
          </cell>
        </row>
        <row r="340">
          <cell r="B340" t="str">
            <v>CALLE 99E ENTRE CRA 16A-LOTE</v>
          </cell>
          <cell r="C340" t="str">
            <v>DV_TOTALC</v>
          </cell>
          <cell r="D340" t="str">
            <v>BARRIO LAS DELICIAS</v>
          </cell>
          <cell r="E340"/>
          <cell r="F340"/>
          <cell r="G340" t="str">
            <v>ML</v>
          </cell>
          <cell r="H340">
            <v>1</v>
          </cell>
          <cell r="I340">
            <v>71.13</v>
          </cell>
          <cell r="L340">
            <v>71.13</v>
          </cell>
        </row>
        <row r="341">
          <cell r="B341" t="str">
            <v>CRA 16A * CLL 99E</v>
          </cell>
          <cell r="C341" t="str">
            <v>DV_TOTALC</v>
          </cell>
          <cell r="D341" t="str">
            <v>BARRIO LAS DELICIAS</v>
          </cell>
          <cell r="E341"/>
          <cell r="F341"/>
          <cell r="G341" t="str">
            <v>ML</v>
          </cell>
          <cell r="H341">
            <v>1</v>
          </cell>
          <cell r="I341">
            <v>12.03</v>
          </cell>
          <cell r="L341">
            <v>12.03</v>
          </cell>
        </row>
        <row r="342">
          <cell r="B342" t="str">
            <v>CALLE 99E ENTRE CRA 16A Y 17</v>
          </cell>
          <cell r="C342" t="str">
            <v>DV_TOTALC</v>
          </cell>
          <cell r="D342" t="str">
            <v>BARRIO LAS DELICIAS</v>
          </cell>
          <cell r="E342"/>
          <cell r="F342"/>
          <cell r="G342" t="str">
            <v>ML</v>
          </cell>
          <cell r="H342">
            <v>1</v>
          </cell>
          <cell r="I342">
            <v>74.91</v>
          </cell>
          <cell r="L342">
            <v>74.91</v>
          </cell>
        </row>
        <row r="343">
          <cell r="B343" t="str">
            <v>CRA 17 * CLL 99E</v>
          </cell>
          <cell r="C343" t="str">
            <v>DV_TOTALC</v>
          </cell>
          <cell r="D343" t="str">
            <v>BARRIO LAS DELICIAS</v>
          </cell>
          <cell r="E343"/>
          <cell r="F343"/>
          <cell r="G343" t="str">
            <v>ML</v>
          </cell>
          <cell r="H343">
            <v>1</v>
          </cell>
          <cell r="I343">
            <v>3</v>
          </cell>
          <cell r="L343">
            <v>3</v>
          </cell>
        </row>
        <row r="344">
          <cell r="B344" t="str">
            <v>CRA 16A * CLL 99D</v>
          </cell>
          <cell r="C344" t="str">
            <v>DV_TOTALC</v>
          </cell>
          <cell r="D344" t="str">
            <v>BARRIO LAS DELICIAS</v>
          </cell>
          <cell r="E344"/>
          <cell r="F344"/>
          <cell r="G344" t="str">
            <v>ML</v>
          </cell>
          <cell r="H344">
            <v>1</v>
          </cell>
          <cell r="I344">
            <v>3</v>
          </cell>
          <cell r="L344">
            <v>3</v>
          </cell>
        </row>
        <row r="345">
          <cell r="B345" t="str">
            <v>CALLE 99D ENTRE CRA 16A Y 17</v>
          </cell>
          <cell r="C345" t="str">
            <v>DV_TOTALC</v>
          </cell>
          <cell r="D345" t="str">
            <v>BARRIO LAS DELICIAS</v>
          </cell>
          <cell r="E345"/>
          <cell r="F345"/>
          <cell r="G345" t="str">
            <v>ML</v>
          </cell>
          <cell r="H345">
            <v>1</v>
          </cell>
          <cell r="I345">
            <v>69.63</v>
          </cell>
          <cell r="L345">
            <v>69.63</v>
          </cell>
        </row>
        <row r="346">
          <cell r="B346" t="str">
            <v>CRA 17 * CLL 99D</v>
          </cell>
          <cell r="C346" t="str">
            <v>DV_TOTALC</v>
          </cell>
          <cell r="D346" t="str">
            <v>BARRIO LAS DELICIAS</v>
          </cell>
          <cell r="E346"/>
          <cell r="F346"/>
          <cell r="G346" t="str">
            <v>ML</v>
          </cell>
          <cell r="H346">
            <v>1</v>
          </cell>
          <cell r="I346">
            <v>3</v>
          </cell>
          <cell r="L346">
            <v>3</v>
          </cell>
        </row>
        <row r="347">
          <cell r="B347" t="str">
            <v>CRA 16A * CLL 99C</v>
          </cell>
          <cell r="C347" t="str">
            <v>DV_TOTALC</v>
          </cell>
          <cell r="D347" t="str">
            <v>BARRIO LAS DELICIAS</v>
          </cell>
          <cell r="E347"/>
          <cell r="F347"/>
          <cell r="G347" t="str">
            <v>ML</v>
          </cell>
          <cell r="H347">
            <v>1</v>
          </cell>
          <cell r="I347">
            <v>3</v>
          </cell>
          <cell r="L347">
            <v>3</v>
          </cell>
        </row>
        <row r="348">
          <cell r="B348" t="str">
            <v>CALLE 99C ENTRE CRA 16A Y 17</v>
          </cell>
          <cell r="C348" t="str">
            <v>DV_TOTALC</v>
          </cell>
          <cell r="D348" t="str">
            <v>BARRIO LAS DELICIAS</v>
          </cell>
          <cell r="E348"/>
          <cell r="F348"/>
          <cell r="G348" t="str">
            <v>ML</v>
          </cell>
          <cell r="H348">
            <v>1</v>
          </cell>
          <cell r="I348">
            <v>63.64</v>
          </cell>
          <cell r="L348">
            <v>63.64</v>
          </cell>
        </row>
        <row r="349">
          <cell r="B349" t="str">
            <v>CRA 17 * CLL 99C</v>
          </cell>
          <cell r="C349" t="str">
            <v>DV_TOTALC</v>
          </cell>
          <cell r="D349" t="str">
            <v>BARRIO LAS DELICIAS</v>
          </cell>
          <cell r="E349"/>
          <cell r="F349"/>
          <cell r="G349" t="str">
            <v>ML</v>
          </cell>
          <cell r="H349">
            <v>1</v>
          </cell>
          <cell r="I349">
            <v>3</v>
          </cell>
          <cell r="L349">
            <v>3</v>
          </cell>
        </row>
        <row r="350">
          <cell r="B350" t="str">
            <v>CRA 16A</v>
          </cell>
          <cell r="C350" t="str">
            <v>DV_TOTALC</v>
          </cell>
          <cell r="D350" t="str">
            <v>BARRIO LAS DELICIAS</v>
          </cell>
          <cell r="E350"/>
          <cell r="F350"/>
          <cell r="G350" t="str">
            <v>ML</v>
          </cell>
          <cell r="H350">
            <v>1</v>
          </cell>
          <cell r="I350">
            <v>3</v>
          </cell>
          <cell r="L350">
            <v>3</v>
          </cell>
        </row>
        <row r="351">
          <cell r="B351" t="str">
            <v>CALLE 99B ENTRE CRA 16A Y 17</v>
          </cell>
          <cell r="C351" t="str">
            <v>DV_TOTALC</v>
          </cell>
          <cell r="D351" t="str">
            <v>BARRIO LAS DELICIAS</v>
          </cell>
          <cell r="E351"/>
          <cell r="F351"/>
          <cell r="G351" t="str">
            <v>ML</v>
          </cell>
          <cell r="H351">
            <v>1</v>
          </cell>
          <cell r="I351">
            <v>54.67</v>
          </cell>
          <cell r="L351">
            <v>54.67</v>
          </cell>
        </row>
        <row r="352">
          <cell r="B352" t="str">
            <v>CRA 17 * CALLE 99B</v>
          </cell>
          <cell r="C352" t="str">
            <v>DV_TOTALC</v>
          </cell>
          <cell r="D352" t="str">
            <v>BARRIO LAS DELICIAS</v>
          </cell>
          <cell r="E352"/>
          <cell r="F352"/>
          <cell r="G352" t="str">
            <v>ML</v>
          </cell>
          <cell r="H352">
            <v>1</v>
          </cell>
          <cell r="I352">
            <v>3</v>
          </cell>
          <cell r="L352">
            <v>3</v>
          </cell>
        </row>
        <row r="353">
          <cell r="B353" t="str">
            <v>CRA 16 * CALLE 99A</v>
          </cell>
          <cell r="C353" t="str">
            <v>DV_TOTALC</v>
          </cell>
          <cell r="D353" t="str">
            <v>BARRIO LAS DELICIAS</v>
          </cell>
          <cell r="E353"/>
          <cell r="F353"/>
          <cell r="G353" t="str">
            <v>ML</v>
          </cell>
          <cell r="H353">
            <v>1</v>
          </cell>
          <cell r="I353">
            <v>3</v>
          </cell>
          <cell r="L353">
            <v>3</v>
          </cell>
        </row>
        <row r="354">
          <cell r="B354" t="str">
            <v>CALLE 99A ENTRE CRA 16A Y 16</v>
          </cell>
          <cell r="C354" t="str">
            <v>DV_TOTALC</v>
          </cell>
          <cell r="D354" t="str">
            <v>BARRIO LAS DELICIAS</v>
          </cell>
          <cell r="E354"/>
          <cell r="F354"/>
          <cell r="G354" t="str">
            <v>ML</v>
          </cell>
          <cell r="H354">
            <v>1</v>
          </cell>
          <cell r="I354">
            <v>67</v>
          </cell>
          <cell r="L354">
            <v>67</v>
          </cell>
        </row>
        <row r="355">
          <cell r="B355" t="str">
            <v>CRA 16A * CALLE 99A</v>
          </cell>
          <cell r="C355" t="str">
            <v>DV_TOTALC</v>
          </cell>
          <cell r="D355" t="str">
            <v>BARRIO LAS DELICIAS</v>
          </cell>
          <cell r="E355"/>
          <cell r="F355"/>
          <cell r="G355" t="str">
            <v>ML</v>
          </cell>
          <cell r="H355">
            <v>1</v>
          </cell>
          <cell r="I355">
            <v>14</v>
          </cell>
          <cell r="L355">
            <v>14</v>
          </cell>
        </row>
        <row r="356">
          <cell r="B356" t="str">
            <v>CALLE 99A ENTRE CRA 16A Y 17</v>
          </cell>
          <cell r="C356" t="str">
            <v>DV_TOTALC</v>
          </cell>
          <cell r="D356" t="str">
            <v>BARRIO LAS DELICIAS</v>
          </cell>
          <cell r="E356"/>
          <cell r="F356"/>
          <cell r="G356" t="str">
            <v>ML</v>
          </cell>
          <cell r="H356">
            <v>1</v>
          </cell>
          <cell r="I356">
            <v>49.3</v>
          </cell>
          <cell r="L356">
            <v>49.3</v>
          </cell>
        </row>
        <row r="357">
          <cell r="B357" t="str">
            <v xml:space="preserve">CRA 17 * CALLE 99A  </v>
          </cell>
          <cell r="C357" t="str">
            <v>DV_TOTALC</v>
          </cell>
          <cell r="D357" t="str">
            <v>BARRIO LAS DELICIAS</v>
          </cell>
          <cell r="E357"/>
          <cell r="F357"/>
          <cell r="G357" t="str">
            <v>ML</v>
          </cell>
          <cell r="H357">
            <v>1</v>
          </cell>
          <cell r="I357">
            <v>13.18</v>
          </cell>
          <cell r="L357">
            <v>13.18</v>
          </cell>
        </row>
        <row r="358">
          <cell r="B358" t="str">
            <v>CALLE 99A ENTRE CRA 17 Y 19</v>
          </cell>
          <cell r="C358" t="str">
            <v>DV_TOTALC</v>
          </cell>
          <cell r="D358" t="str">
            <v>BARRIO LAS DELICIAS</v>
          </cell>
          <cell r="E358"/>
          <cell r="F358"/>
          <cell r="G358" t="str">
            <v>ML</v>
          </cell>
          <cell r="H358">
            <v>1</v>
          </cell>
          <cell r="I358">
            <v>150</v>
          </cell>
          <cell r="L358">
            <v>150</v>
          </cell>
        </row>
        <row r="359">
          <cell r="B359" t="str">
            <v>CRA 19 * CALLE 99A</v>
          </cell>
          <cell r="C359" t="str">
            <v>DV_TOTALC</v>
          </cell>
          <cell r="D359" t="str">
            <v>BARRIO LAS DELICIAS</v>
          </cell>
          <cell r="E359"/>
          <cell r="F359"/>
          <cell r="G359" t="str">
            <v>ML</v>
          </cell>
          <cell r="H359">
            <v>1</v>
          </cell>
          <cell r="I359">
            <v>3</v>
          </cell>
          <cell r="L359">
            <v>3</v>
          </cell>
        </row>
        <row r="360">
          <cell r="B360" t="str">
            <v>CRA 17 * CALLE 99C</v>
          </cell>
          <cell r="C360" t="str">
            <v>DV_TOTALC</v>
          </cell>
          <cell r="D360" t="str">
            <v>BARRIO LAS DELICIAS</v>
          </cell>
          <cell r="E360"/>
          <cell r="F360"/>
          <cell r="G360" t="str">
            <v>ML</v>
          </cell>
          <cell r="H360">
            <v>1</v>
          </cell>
          <cell r="I360">
            <v>3</v>
          </cell>
          <cell r="L360">
            <v>3</v>
          </cell>
        </row>
        <row r="361">
          <cell r="B361" t="str">
            <v xml:space="preserve">CALLE 99AA ENTRE CRA 17 Y 19 </v>
          </cell>
          <cell r="C361" t="str">
            <v>DV_TOTALC</v>
          </cell>
          <cell r="D361" t="str">
            <v>BARRIO LAS DELICIAS</v>
          </cell>
          <cell r="E361"/>
          <cell r="F361"/>
          <cell r="G361" t="str">
            <v>ML</v>
          </cell>
          <cell r="H361">
            <v>1</v>
          </cell>
          <cell r="I361">
            <v>150</v>
          </cell>
          <cell r="L361">
            <v>150</v>
          </cell>
        </row>
        <row r="362">
          <cell r="B362" t="str">
            <v>CRA 19 * CALLE 99C</v>
          </cell>
          <cell r="C362" t="str">
            <v>DV_TOTALC</v>
          </cell>
          <cell r="D362" t="str">
            <v>BARRIO LAS DELICIAS</v>
          </cell>
          <cell r="E362"/>
          <cell r="F362"/>
          <cell r="G362" t="str">
            <v>ML</v>
          </cell>
          <cell r="H362">
            <v>1</v>
          </cell>
          <cell r="I362">
            <v>3</v>
          </cell>
          <cell r="L362">
            <v>3</v>
          </cell>
        </row>
        <row r="363">
          <cell r="B363" t="str">
            <v>CLL99 * CRA 17</v>
          </cell>
          <cell r="C363" t="str">
            <v>DV_TOTALC</v>
          </cell>
          <cell r="D363" t="str">
            <v>BARRIO LAS DELICIAS</v>
          </cell>
          <cell r="E363"/>
          <cell r="F363"/>
          <cell r="G363" t="str">
            <v>ML</v>
          </cell>
          <cell r="H363">
            <v>1</v>
          </cell>
          <cell r="I363">
            <v>3</v>
          </cell>
          <cell r="L363">
            <v>3</v>
          </cell>
        </row>
        <row r="364">
          <cell r="B364" t="str">
            <v>CARRERA 17 ENTRE CALLE 99 Y 99AA</v>
          </cell>
          <cell r="C364" t="str">
            <v>DV_TOTALC</v>
          </cell>
          <cell r="D364" t="str">
            <v>BARRIO LAS DELICIAS</v>
          </cell>
          <cell r="E364"/>
          <cell r="F364"/>
          <cell r="G364" t="str">
            <v>ML</v>
          </cell>
          <cell r="H364">
            <v>1</v>
          </cell>
          <cell r="I364">
            <v>54</v>
          </cell>
          <cell r="L364">
            <v>54</v>
          </cell>
        </row>
        <row r="365">
          <cell r="B365" t="str">
            <v>CLL99AA * CRA 17</v>
          </cell>
          <cell r="C365" t="str">
            <v>DV_TOTALC</v>
          </cell>
          <cell r="D365" t="str">
            <v>BARRIO LAS DELICIAS</v>
          </cell>
          <cell r="E365"/>
          <cell r="F365"/>
          <cell r="G365" t="str">
            <v>ML</v>
          </cell>
          <cell r="H365">
            <v>1</v>
          </cell>
          <cell r="I365">
            <v>9.9700000000000006</v>
          </cell>
          <cell r="L365">
            <v>9.9700000000000006</v>
          </cell>
        </row>
        <row r="366">
          <cell r="B366" t="str">
            <v>CARRERA 17 ENTRE CALLE 99AA Y 99A</v>
          </cell>
          <cell r="C366" t="str">
            <v>DV_TOTALC</v>
          </cell>
          <cell r="D366" t="str">
            <v>BARRIO LAS DELICIAS</v>
          </cell>
          <cell r="E366"/>
          <cell r="F366"/>
          <cell r="G366" t="str">
            <v>ML</v>
          </cell>
          <cell r="H366">
            <v>1</v>
          </cell>
          <cell r="I366">
            <v>56.37</v>
          </cell>
          <cell r="L366">
            <v>56.37</v>
          </cell>
        </row>
        <row r="367">
          <cell r="B367" t="str">
            <v>CLL99A * CRA 17</v>
          </cell>
          <cell r="C367" t="str">
            <v>DV_TOTALC</v>
          </cell>
          <cell r="D367" t="str">
            <v>BARRIO LAS DELICIAS</v>
          </cell>
          <cell r="E367"/>
          <cell r="F367"/>
          <cell r="G367" t="str">
            <v>ML</v>
          </cell>
          <cell r="H367">
            <v>1</v>
          </cell>
          <cell r="I367">
            <v>12</v>
          </cell>
          <cell r="L367">
            <v>12</v>
          </cell>
        </row>
        <row r="368">
          <cell r="B368" t="str">
            <v>CARRERA 17 ENTRE CALLE 99A Y 99B</v>
          </cell>
          <cell r="C368" t="str">
            <v>DV_TOTALC</v>
          </cell>
          <cell r="D368" t="str">
            <v>BARRIO LAS DELICIAS</v>
          </cell>
          <cell r="E368"/>
          <cell r="F368"/>
          <cell r="G368" t="str">
            <v>ML</v>
          </cell>
          <cell r="H368">
            <v>1</v>
          </cell>
          <cell r="I368">
            <v>23.93</v>
          </cell>
          <cell r="L368">
            <v>23.93</v>
          </cell>
        </row>
        <row r="369">
          <cell r="B369" t="str">
            <v>CLL99B * CRA 17</v>
          </cell>
          <cell r="C369" t="str">
            <v>DV_TOTALC</v>
          </cell>
          <cell r="D369" t="str">
            <v>BARRIO LAS DELICIAS</v>
          </cell>
          <cell r="E369"/>
          <cell r="F369"/>
          <cell r="G369" t="str">
            <v>ML</v>
          </cell>
          <cell r="H369">
            <v>1</v>
          </cell>
          <cell r="I369">
            <v>6.11</v>
          </cell>
          <cell r="L369">
            <v>6.11</v>
          </cell>
        </row>
        <row r="370">
          <cell r="B370" t="str">
            <v>CARRERA 17 ENTRE CALLE 99B Y 99E</v>
          </cell>
          <cell r="C370" t="str">
            <v>DV_TOTALC</v>
          </cell>
          <cell r="D370" t="str">
            <v>BARRIO LAS DELICIAS</v>
          </cell>
          <cell r="E370"/>
          <cell r="F370"/>
          <cell r="G370" t="str">
            <v>ML</v>
          </cell>
          <cell r="H370">
            <v>1</v>
          </cell>
          <cell r="I370">
            <v>82.740000000000009</v>
          </cell>
          <cell r="L370">
            <v>82.740000000000009</v>
          </cell>
        </row>
        <row r="371">
          <cell r="B371" t="str">
            <v>CLL99E * CRA 17</v>
          </cell>
          <cell r="C371" t="str">
            <v>DV_TOTALC</v>
          </cell>
          <cell r="D371" t="str">
            <v>BARRIO LAS DELICIAS</v>
          </cell>
          <cell r="E371"/>
          <cell r="F371"/>
          <cell r="G371" t="str">
            <v>ML</v>
          </cell>
          <cell r="H371">
            <v>1</v>
          </cell>
          <cell r="I371">
            <v>8.1999999999999993</v>
          </cell>
          <cell r="L371">
            <v>8.1999999999999993</v>
          </cell>
        </row>
        <row r="372">
          <cell r="B372" t="str">
            <v>CARRERA 17 ENTRE CALLE 99E Y 99F</v>
          </cell>
          <cell r="C372" t="str">
            <v>DV_TOTALC</v>
          </cell>
          <cell r="D372" t="str">
            <v>BARRIO LAS DELICIAS</v>
          </cell>
          <cell r="E372"/>
          <cell r="F372"/>
          <cell r="G372" t="str">
            <v>ML</v>
          </cell>
          <cell r="H372">
            <v>1</v>
          </cell>
          <cell r="I372">
            <v>37.61</v>
          </cell>
          <cell r="L372">
            <v>37.61</v>
          </cell>
        </row>
        <row r="373">
          <cell r="B373" t="str">
            <v>CLL99F * CRA 17</v>
          </cell>
          <cell r="C373" t="str">
            <v>DV_TOTALC</v>
          </cell>
          <cell r="D373" t="str">
            <v>BARRIO LAS DELICIAS</v>
          </cell>
          <cell r="E373"/>
          <cell r="F373"/>
          <cell r="G373" t="str">
            <v>ML</v>
          </cell>
          <cell r="H373">
            <v>1</v>
          </cell>
          <cell r="I373">
            <v>47.75</v>
          </cell>
          <cell r="L373">
            <v>47.75</v>
          </cell>
        </row>
        <row r="374">
          <cell r="B374" t="str">
            <v>CARRERA 17 ENTRE CALLE 99F Y 100</v>
          </cell>
          <cell r="C374" t="str">
            <v>DV_TOTALC</v>
          </cell>
          <cell r="D374" t="str">
            <v>BARRIO LAS DELICIAS</v>
          </cell>
          <cell r="E374"/>
          <cell r="F374"/>
          <cell r="G374" t="str">
            <v>ML</v>
          </cell>
          <cell r="H374">
            <v>1</v>
          </cell>
          <cell r="I374">
            <v>74</v>
          </cell>
          <cell r="L374">
            <v>74</v>
          </cell>
        </row>
        <row r="375">
          <cell r="B375" t="str">
            <v>CLL100 * CRA 17</v>
          </cell>
          <cell r="C375" t="str">
            <v>DV_TOTALC</v>
          </cell>
          <cell r="D375" t="str">
            <v>BARRIO LAS DELICIAS</v>
          </cell>
          <cell r="E375"/>
          <cell r="F375"/>
          <cell r="G375" t="str">
            <v>ML</v>
          </cell>
          <cell r="H375">
            <v>1</v>
          </cell>
          <cell r="I375">
            <v>3</v>
          </cell>
          <cell r="L375">
            <v>3</v>
          </cell>
        </row>
        <row r="376">
          <cell r="B376" t="str">
            <v>CLL99  * CRA 17A</v>
          </cell>
          <cell r="C376" t="str">
            <v>DV_TOTALC</v>
          </cell>
          <cell r="D376" t="str">
            <v>BARRIO LAS DELICIAS</v>
          </cell>
          <cell r="E376"/>
          <cell r="F376"/>
          <cell r="G376" t="str">
            <v>ML</v>
          </cell>
          <cell r="H376">
            <v>1</v>
          </cell>
          <cell r="I376">
            <v>3</v>
          </cell>
          <cell r="L376">
            <v>3</v>
          </cell>
        </row>
        <row r="377">
          <cell r="B377" t="str">
            <v>CARRERA 17A ENTRE CALLE 99 Y 99A</v>
          </cell>
          <cell r="C377" t="str">
            <v>DV_TOTALC</v>
          </cell>
          <cell r="D377" t="str">
            <v>BARRIO LAS DELICIAS</v>
          </cell>
          <cell r="E377"/>
          <cell r="F377"/>
          <cell r="G377" t="str">
            <v>ML</v>
          </cell>
          <cell r="H377">
            <v>1</v>
          </cell>
          <cell r="I377">
            <v>107.91</v>
          </cell>
          <cell r="L377">
            <v>107.91</v>
          </cell>
        </row>
        <row r="378">
          <cell r="B378" t="str">
            <v>CLL99AA * CRA 17A</v>
          </cell>
          <cell r="C378" t="str">
            <v>DV_TOTALC</v>
          </cell>
          <cell r="D378" t="str">
            <v>BARRIO LAS DELICIAS</v>
          </cell>
          <cell r="E378"/>
          <cell r="F378"/>
          <cell r="G378" t="str">
            <v>ML</v>
          </cell>
          <cell r="H378">
            <v>1</v>
          </cell>
          <cell r="I378">
            <v>13</v>
          </cell>
          <cell r="L378">
            <v>13</v>
          </cell>
        </row>
        <row r="379">
          <cell r="B379" t="str">
            <v>CARRERA 17 ENTRE CALLE 99A Y 99E</v>
          </cell>
          <cell r="C379" t="str">
            <v>DV_TOTALC</v>
          </cell>
          <cell r="D379" t="str">
            <v>BARRIO LAS DELICIAS</v>
          </cell>
          <cell r="E379"/>
          <cell r="F379"/>
          <cell r="G379" t="str">
            <v>ML</v>
          </cell>
          <cell r="H379">
            <v>1</v>
          </cell>
          <cell r="I379">
            <v>122.36000000000001</v>
          </cell>
          <cell r="L379">
            <v>122.36000000000001</v>
          </cell>
        </row>
        <row r="380">
          <cell r="B380" t="str">
            <v>CLL99A * CRA 17A</v>
          </cell>
          <cell r="C380" t="str">
            <v>DV_TOTALC</v>
          </cell>
          <cell r="D380" t="str">
            <v>BARRIO LAS DELICIAS</v>
          </cell>
          <cell r="E380"/>
          <cell r="F380"/>
          <cell r="G380" t="str">
            <v>ML</v>
          </cell>
          <cell r="H380">
            <v>1</v>
          </cell>
          <cell r="I380">
            <v>9.6199999999999992</v>
          </cell>
          <cell r="L380">
            <v>9.6199999999999992</v>
          </cell>
        </row>
        <row r="381">
          <cell r="B381" t="str">
            <v>CARRERA 17 ENTRE CALLE 99A Y 99B</v>
          </cell>
          <cell r="C381" t="str">
            <v>DV_TOTALC</v>
          </cell>
          <cell r="D381" t="str">
            <v>BARRIO LAS DELICIAS</v>
          </cell>
          <cell r="E381"/>
          <cell r="F381"/>
          <cell r="G381" t="str">
            <v>ML</v>
          </cell>
          <cell r="H381">
            <v>1</v>
          </cell>
          <cell r="I381">
            <v>44</v>
          </cell>
          <cell r="L381">
            <v>44</v>
          </cell>
        </row>
        <row r="382">
          <cell r="B382" t="str">
            <v>CLL99B * CRA 17A</v>
          </cell>
          <cell r="C382" t="str">
            <v>DV_TOTALC</v>
          </cell>
          <cell r="D382" t="str">
            <v>BARRIO LAS DELICIAS</v>
          </cell>
          <cell r="E382"/>
          <cell r="F382"/>
          <cell r="G382" t="str">
            <v>ML</v>
          </cell>
          <cell r="H382">
            <v>1</v>
          </cell>
          <cell r="I382">
            <v>3</v>
          </cell>
          <cell r="L382">
            <v>3</v>
          </cell>
        </row>
        <row r="383">
          <cell r="B383" t="str">
            <v>CRA 19 * CLL97A</v>
          </cell>
          <cell r="C383" t="str">
            <v>DV_TOTALD</v>
          </cell>
          <cell r="D383" t="str">
            <v>BARRIO EL BOSQUE</v>
          </cell>
          <cell r="E383"/>
          <cell r="F383"/>
          <cell r="G383" t="str">
            <v>ML</v>
          </cell>
          <cell r="H383">
            <v>1</v>
          </cell>
          <cell r="I383">
            <v>3</v>
          </cell>
          <cell r="L383">
            <v>3</v>
          </cell>
        </row>
        <row r="384">
          <cell r="B384" t="str">
            <v>CALLE 97A ENTRE CRA 19-20</v>
          </cell>
          <cell r="C384" t="str">
            <v>DV_TOTALD</v>
          </cell>
          <cell r="D384" t="str">
            <v>BARRIO EL BOSQUE</v>
          </cell>
          <cell r="E384"/>
          <cell r="F384"/>
          <cell r="G384" t="str">
            <v>ML</v>
          </cell>
          <cell r="H384">
            <v>1</v>
          </cell>
          <cell r="I384">
            <v>102.49</v>
          </cell>
          <cell r="L384">
            <v>102.49</v>
          </cell>
        </row>
        <row r="385">
          <cell r="B385" t="str">
            <v xml:space="preserve">CRA 20 * CLL97A  </v>
          </cell>
          <cell r="C385" t="str">
            <v>DV_TOTALD</v>
          </cell>
          <cell r="D385" t="str">
            <v>BARRIO EL BOSQUE</v>
          </cell>
          <cell r="E385"/>
          <cell r="F385"/>
          <cell r="G385" t="str">
            <v>ML</v>
          </cell>
          <cell r="H385">
            <v>1</v>
          </cell>
          <cell r="I385">
            <v>11.65</v>
          </cell>
          <cell r="L385">
            <v>11.65</v>
          </cell>
        </row>
        <row r="386">
          <cell r="B386" t="str">
            <v>CALLE 97A ENTRE CRA 20-21</v>
          </cell>
          <cell r="C386" t="str">
            <v>DV_TOTALD</v>
          </cell>
          <cell r="D386" t="str">
            <v>BARRIO EL BOSQUE</v>
          </cell>
          <cell r="E386"/>
          <cell r="F386"/>
          <cell r="G386" t="str">
            <v>ML</v>
          </cell>
          <cell r="H386">
            <v>1</v>
          </cell>
          <cell r="I386">
            <v>96.72999999999999</v>
          </cell>
          <cell r="L386">
            <v>96.72999999999999</v>
          </cell>
        </row>
        <row r="387">
          <cell r="B387" t="str">
            <v>CRA 21 * CLL97A</v>
          </cell>
          <cell r="C387" t="str">
            <v>DV_TOTALD</v>
          </cell>
          <cell r="D387" t="str">
            <v>BARRIO EL BOSQUE</v>
          </cell>
          <cell r="E387"/>
          <cell r="F387"/>
          <cell r="G387" t="str">
            <v>ML</v>
          </cell>
          <cell r="H387">
            <v>1</v>
          </cell>
          <cell r="I387">
            <v>10.23</v>
          </cell>
          <cell r="L387">
            <v>10.23</v>
          </cell>
        </row>
        <row r="388">
          <cell r="B388" t="str">
            <v>CALLE 97A ENTRE CRA 21-22</v>
          </cell>
          <cell r="C388" t="str">
            <v>DV_TOTALD</v>
          </cell>
          <cell r="D388" t="str">
            <v>BARRIO EL BOSQUE</v>
          </cell>
          <cell r="E388"/>
          <cell r="F388"/>
          <cell r="G388" t="str">
            <v>ML</v>
          </cell>
          <cell r="H388">
            <v>1</v>
          </cell>
          <cell r="I388">
            <v>102.87</v>
          </cell>
          <cell r="L388">
            <v>102.87</v>
          </cell>
        </row>
        <row r="389">
          <cell r="B389" t="str">
            <v>CRA 22 * CLL97A</v>
          </cell>
          <cell r="C389" t="str">
            <v>DV_TOTALD</v>
          </cell>
          <cell r="D389" t="str">
            <v>BARRIO EL BOSQUE</v>
          </cell>
          <cell r="E389"/>
          <cell r="F389"/>
          <cell r="G389" t="str">
            <v>ML</v>
          </cell>
          <cell r="H389">
            <v>1</v>
          </cell>
          <cell r="I389">
            <v>12.11</v>
          </cell>
          <cell r="L389">
            <v>12.11</v>
          </cell>
        </row>
        <row r="390">
          <cell r="B390" t="str">
            <v>CRA 15 * CLL97</v>
          </cell>
          <cell r="C390" t="str">
            <v>DV_TOTALD</v>
          </cell>
          <cell r="D390" t="str">
            <v>BARRIO EL BOSQUE</v>
          </cell>
          <cell r="E390"/>
          <cell r="F390"/>
          <cell r="G390" t="str">
            <v>ML</v>
          </cell>
          <cell r="H390">
            <v>1</v>
          </cell>
          <cell r="I390">
            <v>3</v>
          </cell>
          <cell r="L390">
            <v>3</v>
          </cell>
        </row>
        <row r="391">
          <cell r="B391" t="str">
            <v>CALLE 97 ENTRE CRA 15-16</v>
          </cell>
          <cell r="C391" t="str">
            <v>DV_TOTALD</v>
          </cell>
          <cell r="D391" t="str">
            <v>BARRIO EL BOSQUE</v>
          </cell>
          <cell r="E391"/>
          <cell r="F391"/>
          <cell r="G391" t="str">
            <v>ML</v>
          </cell>
          <cell r="H391">
            <v>1</v>
          </cell>
          <cell r="I391">
            <v>66.39</v>
          </cell>
          <cell r="L391">
            <v>66.39</v>
          </cell>
        </row>
        <row r="392">
          <cell r="B392" t="str">
            <v>CRA 16 * CLL97</v>
          </cell>
          <cell r="C392" t="str">
            <v>DV_TOTALD</v>
          </cell>
          <cell r="D392" t="str">
            <v>BARRIO EL BOSQUE</v>
          </cell>
          <cell r="E392"/>
          <cell r="F392"/>
          <cell r="G392" t="str">
            <v>ML</v>
          </cell>
          <cell r="H392">
            <v>1</v>
          </cell>
          <cell r="I392">
            <v>7.95</v>
          </cell>
          <cell r="L392">
            <v>7.95</v>
          </cell>
        </row>
        <row r="393">
          <cell r="B393" t="str">
            <v>CALLE 97 ENTRE CRA 16-17</v>
          </cell>
          <cell r="C393" t="str">
            <v>DV_TOTALD</v>
          </cell>
          <cell r="D393" t="str">
            <v>BARRIO EL BOSQUE</v>
          </cell>
          <cell r="E393"/>
          <cell r="F393"/>
          <cell r="G393" t="str">
            <v>ML</v>
          </cell>
          <cell r="H393">
            <v>1</v>
          </cell>
          <cell r="I393">
            <v>47.15</v>
          </cell>
          <cell r="L393">
            <v>47.15</v>
          </cell>
        </row>
        <row r="394">
          <cell r="B394" t="str">
            <v>CRA 17 * CLL97</v>
          </cell>
          <cell r="C394" t="str">
            <v>DV_TOTALD</v>
          </cell>
          <cell r="D394" t="str">
            <v>BARRIO EL BOSQUE</v>
          </cell>
          <cell r="E394"/>
          <cell r="F394"/>
          <cell r="G394" t="str">
            <v>ML</v>
          </cell>
          <cell r="H394">
            <v>1</v>
          </cell>
          <cell r="I394">
            <v>11.85</v>
          </cell>
          <cell r="L394">
            <v>11.85</v>
          </cell>
        </row>
        <row r="395">
          <cell r="B395" t="str">
            <v>CALLE 97 ENTRE CRA 17-19</v>
          </cell>
          <cell r="C395" t="str">
            <v>DV_TOTALD</v>
          </cell>
          <cell r="D395" t="str">
            <v>BARRIO EL BOSQUE</v>
          </cell>
          <cell r="E395"/>
          <cell r="F395"/>
          <cell r="G395" t="str">
            <v>ML</v>
          </cell>
          <cell r="H395">
            <v>1</v>
          </cell>
          <cell r="I395">
            <v>111.63</v>
          </cell>
          <cell r="L395">
            <v>111.63</v>
          </cell>
        </row>
        <row r="396">
          <cell r="B396" t="str">
            <v>CRA 19 * CLL97</v>
          </cell>
          <cell r="C396" t="str">
            <v>DV_TOTALD</v>
          </cell>
          <cell r="D396" t="str">
            <v>BARRIO EL BOSQUE</v>
          </cell>
          <cell r="E396"/>
          <cell r="F396"/>
          <cell r="G396" t="str">
            <v>ML</v>
          </cell>
          <cell r="H396">
            <v>1</v>
          </cell>
          <cell r="I396">
            <v>16.649999999999999</v>
          </cell>
          <cell r="L396">
            <v>16.649999999999999</v>
          </cell>
        </row>
        <row r="397">
          <cell r="B397" t="str">
            <v>CALLE 97 ENTRE CRA 19-20</v>
          </cell>
          <cell r="C397" t="str">
            <v>DV_TOTALD</v>
          </cell>
          <cell r="D397" t="str">
            <v>BARRIO EL BOSQUE</v>
          </cell>
          <cell r="E397"/>
          <cell r="F397"/>
          <cell r="G397" t="str">
            <v>ML</v>
          </cell>
          <cell r="H397">
            <v>1</v>
          </cell>
          <cell r="I397">
            <v>98.31</v>
          </cell>
          <cell r="L397">
            <v>98.31</v>
          </cell>
        </row>
        <row r="398">
          <cell r="B398" t="str">
            <v>CRA 20 * CLL97</v>
          </cell>
          <cell r="C398" t="str">
            <v>DV_TOTALD</v>
          </cell>
          <cell r="D398" t="str">
            <v>BARRIO EL BOSQUE</v>
          </cell>
          <cell r="E398"/>
          <cell r="F398"/>
          <cell r="G398" t="str">
            <v>ML</v>
          </cell>
          <cell r="H398">
            <v>1</v>
          </cell>
          <cell r="I398">
            <v>10.039999999999999</v>
          </cell>
          <cell r="L398">
            <v>10.039999999999999</v>
          </cell>
        </row>
        <row r="399">
          <cell r="B399" t="str">
            <v>CALLE 97 ENTRE CRA 20-21</v>
          </cell>
          <cell r="C399" t="str">
            <v>DV_TOTALD</v>
          </cell>
          <cell r="D399" t="str">
            <v>BARRIO EL BOSQUE</v>
          </cell>
          <cell r="E399"/>
          <cell r="F399"/>
          <cell r="G399" t="str">
            <v>ML</v>
          </cell>
          <cell r="H399">
            <v>1</v>
          </cell>
          <cell r="I399">
            <v>101.73</v>
          </cell>
          <cell r="L399">
            <v>101.73</v>
          </cell>
        </row>
        <row r="400">
          <cell r="B400" t="str">
            <v>CRA 21 * CLL97</v>
          </cell>
          <cell r="C400" t="str">
            <v>DV_TOTALD</v>
          </cell>
          <cell r="D400" t="str">
            <v>BARRIO EL BOSQUE</v>
          </cell>
          <cell r="E400"/>
          <cell r="F400"/>
          <cell r="G400" t="str">
            <v>ML</v>
          </cell>
          <cell r="H400">
            <v>1</v>
          </cell>
          <cell r="I400">
            <v>10.11</v>
          </cell>
          <cell r="L400">
            <v>10.11</v>
          </cell>
        </row>
        <row r="401">
          <cell r="B401" t="str">
            <v>CALLE 97 ENTRE CRA 21-22</v>
          </cell>
          <cell r="C401" t="str">
            <v>DV_TOTALD</v>
          </cell>
          <cell r="D401" t="str">
            <v>BARRIO EL BOSQUE</v>
          </cell>
          <cell r="E401"/>
          <cell r="F401"/>
          <cell r="G401" t="str">
            <v>ML</v>
          </cell>
          <cell r="H401">
            <v>1</v>
          </cell>
          <cell r="I401">
            <v>101.04</v>
          </cell>
          <cell r="L401">
            <v>101.04</v>
          </cell>
        </row>
        <row r="402">
          <cell r="B402" t="str">
            <v>CRA 22 * CLL97</v>
          </cell>
          <cell r="C402" t="str">
            <v>DV_TOTALD</v>
          </cell>
          <cell r="D402" t="str">
            <v>BARRIO EL BOSQUE</v>
          </cell>
          <cell r="E402"/>
          <cell r="F402"/>
          <cell r="G402" t="str">
            <v>ML</v>
          </cell>
          <cell r="H402">
            <v>1</v>
          </cell>
          <cell r="I402">
            <v>11</v>
          </cell>
          <cell r="L402">
            <v>11</v>
          </cell>
        </row>
        <row r="403">
          <cell r="B403" t="str">
            <v>CRA 15 * CLL96A</v>
          </cell>
          <cell r="C403" t="str">
            <v>DV_TOTALD</v>
          </cell>
          <cell r="D403" t="str">
            <v>BARRIO EL BOSQUE</v>
          </cell>
          <cell r="E403"/>
          <cell r="F403"/>
          <cell r="G403" t="str">
            <v>ML</v>
          </cell>
          <cell r="H403">
            <v>1</v>
          </cell>
          <cell r="I403">
            <v>3</v>
          </cell>
          <cell r="L403">
            <v>3</v>
          </cell>
        </row>
        <row r="404">
          <cell r="B404" t="str">
            <v>CALLE 96A ENTRE CRA 15-17</v>
          </cell>
          <cell r="C404" t="str">
            <v>DV_TOTALD</v>
          </cell>
          <cell r="D404" t="str">
            <v>BARRIO EL BOSQUE</v>
          </cell>
          <cell r="E404"/>
          <cell r="F404"/>
          <cell r="G404" t="str">
            <v>ML</v>
          </cell>
          <cell r="H404">
            <v>1</v>
          </cell>
          <cell r="I404">
            <v>111.7</v>
          </cell>
          <cell r="L404">
            <v>111.7</v>
          </cell>
        </row>
        <row r="405">
          <cell r="B405" t="str">
            <v>CRA 17 * CLL96A</v>
          </cell>
          <cell r="C405" t="str">
            <v>DV_TOTALD</v>
          </cell>
          <cell r="D405" t="str">
            <v>BARRIO EL BOSQUE</v>
          </cell>
          <cell r="E405"/>
          <cell r="F405"/>
          <cell r="G405" t="str">
            <v>ML</v>
          </cell>
          <cell r="H405">
            <v>1</v>
          </cell>
          <cell r="I405">
            <v>10.23</v>
          </cell>
          <cell r="L405">
            <v>10.23</v>
          </cell>
        </row>
        <row r="406">
          <cell r="B406" t="str">
            <v>CALLE 96A ENTRE CRA 17-19</v>
          </cell>
          <cell r="C406" t="str">
            <v>DV_TOTALD</v>
          </cell>
          <cell r="D406" t="str">
            <v>BARRIO EL BOSQUE</v>
          </cell>
          <cell r="E406"/>
          <cell r="F406"/>
          <cell r="G406" t="str">
            <v>ML</v>
          </cell>
          <cell r="H406">
            <v>1</v>
          </cell>
          <cell r="I406">
            <v>108.14</v>
          </cell>
          <cell r="L406">
            <v>108.14</v>
          </cell>
        </row>
        <row r="407">
          <cell r="B407" t="str">
            <v>CRA 19 * CLL96A</v>
          </cell>
          <cell r="C407" t="str">
            <v>DV_TOTALD</v>
          </cell>
          <cell r="D407" t="str">
            <v>BARRIO EL BOSQUE</v>
          </cell>
          <cell r="E407"/>
          <cell r="F407"/>
          <cell r="G407" t="str">
            <v>ML</v>
          </cell>
          <cell r="H407">
            <v>1</v>
          </cell>
          <cell r="I407">
            <v>15.13</v>
          </cell>
          <cell r="L407">
            <v>15.13</v>
          </cell>
        </row>
        <row r="408">
          <cell r="B408" t="str">
            <v>CALLE 96A ENTRE CRA 19-20</v>
          </cell>
          <cell r="C408" t="str">
            <v>DV_TOTALD</v>
          </cell>
          <cell r="D408" t="str">
            <v>BARRIO EL BOSQUE</v>
          </cell>
          <cell r="E408"/>
          <cell r="F408"/>
          <cell r="G408" t="str">
            <v>ML</v>
          </cell>
          <cell r="H408">
            <v>1</v>
          </cell>
          <cell r="I408">
            <v>99.02</v>
          </cell>
          <cell r="L408">
            <v>99.02</v>
          </cell>
        </row>
        <row r="409">
          <cell r="B409" t="str">
            <v>CRA 20 * CLL96A</v>
          </cell>
          <cell r="C409" t="str">
            <v>DV_TOTALD</v>
          </cell>
          <cell r="D409" t="str">
            <v>BARRIO EL BOSQUE</v>
          </cell>
          <cell r="E409"/>
          <cell r="F409"/>
          <cell r="G409" t="str">
            <v>ML</v>
          </cell>
          <cell r="H409">
            <v>1</v>
          </cell>
          <cell r="I409">
            <v>12.39</v>
          </cell>
          <cell r="L409">
            <v>12.39</v>
          </cell>
        </row>
        <row r="410">
          <cell r="B410" t="str">
            <v>CALLE 96A ENTRE CRA 20-21</v>
          </cell>
          <cell r="C410" t="str">
            <v>DV_TOTALD</v>
          </cell>
          <cell r="D410" t="str">
            <v>BARRIO EL BOSQUE</v>
          </cell>
          <cell r="E410"/>
          <cell r="F410"/>
          <cell r="G410" t="str">
            <v>ML</v>
          </cell>
          <cell r="H410">
            <v>1</v>
          </cell>
          <cell r="I410">
            <v>101.32</v>
          </cell>
          <cell r="L410">
            <v>101.32</v>
          </cell>
        </row>
        <row r="411">
          <cell r="B411" t="str">
            <v>CRA 21 * CLL96A</v>
          </cell>
          <cell r="C411" t="str">
            <v>DV_TOTALD</v>
          </cell>
          <cell r="D411" t="str">
            <v>BARRIO EL BOSQUE</v>
          </cell>
          <cell r="E411"/>
          <cell r="F411"/>
          <cell r="G411" t="str">
            <v>ML</v>
          </cell>
          <cell r="H411">
            <v>1</v>
          </cell>
          <cell r="I411">
            <v>13.3</v>
          </cell>
          <cell r="L411">
            <v>13.3</v>
          </cell>
        </row>
        <row r="412">
          <cell r="B412" t="str">
            <v>CALLE 96A ENTRE CRA 21-22</v>
          </cell>
          <cell r="C412" t="str">
            <v>DV_TOTALD</v>
          </cell>
          <cell r="D412" t="str">
            <v>BARRIO EL BOSQUE</v>
          </cell>
          <cell r="E412"/>
          <cell r="F412"/>
          <cell r="G412" t="str">
            <v>ML</v>
          </cell>
          <cell r="H412">
            <v>1</v>
          </cell>
          <cell r="I412">
            <v>99.2</v>
          </cell>
          <cell r="L412">
            <v>99.2</v>
          </cell>
        </row>
        <row r="413">
          <cell r="B413" t="str">
            <v>CRA 22 * CLL96A</v>
          </cell>
          <cell r="C413" t="str">
            <v>DV_TOTALD</v>
          </cell>
          <cell r="D413" t="str">
            <v>BARRIO EL BOSQUE</v>
          </cell>
          <cell r="E413"/>
          <cell r="F413"/>
          <cell r="G413" t="str">
            <v>ML</v>
          </cell>
          <cell r="H413">
            <v>1</v>
          </cell>
          <cell r="I413">
            <v>9.02</v>
          </cell>
          <cell r="L413">
            <v>9.02</v>
          </cell>
        </row>
        <row r="414">
          <cell r="B414" t="str">
            <v>CRA 15 * CLL96</v>
          </cell>
          <cell r="C414" t="str">
            <v>DV_TOTALD</v>
          </cell>
          <cell r="D414" t="str">
            <v>BARRIO EL BOSQUE</v>
          </cell>
          <cell r="E414"/>
          <cell r="F414"/>
          <cell r="G414" t="str">
            <v>ML</v>
          </cell>
          <cell r="H414">
            <v>1</v>
          </cell>
          <cell r="I414">
            <v>3</v>
          </cell>
          <cell r="L414">
            <v>3</v>
          </cell>
        </row>
        <row r="415">
          <cell r="B415" t="str">
            <v>CALLE 96 ENTRE CRA 15-17</v>
          </cell>
          <cell r="C415" t="str">
            <v>DV_TOTALD</v>
          </cell>
          <cell r="D415" t="str">
            <v>BARRIO EL BOSQUE</v>
          </cell>
          <cell r="E415"/>
          <cell r="F415"/>
          <cell r="G415" t="str">
            <v>ML</v>
          </cell>
          <cell r="H415">
            <v>1</v>
          </cell>
          <cell r="I415">
            <v>100.5</v>
          </cell>
          <cell r="L415">
            <v>100.5</v>
          </cell>
        </row>
        <row r="416">
          <cell r="B416" t="str">
            <v>CRA 17 * CLL96</v>
          </cell>
          <cell r="C416" t="str">
            <v>DV_TOTALD</v>
          </cell>
          <cell r="D416" t="str">
            <v>BARRIO EL BOSQUE</v>
          </cell>
          <cell r="E416"/>
          <cell r="F416"/>
          <cell r="G416" t="str">
            <v>ML</v>
          </cell>
          <cell r="H416">
            <v>1</v>
          </cell>
          <cell r="I416">
            <v>9.23</v>
          </cell>
          <cell r="L416">
            <v>9.23</v>
          </cell>
        </row>
        <row r="417">
          <cell r="B417" t="str">
            <v>CALLE 96 ENTRE CRA 17-19</v>
          </cell>
          <cell r="C417" t="str">
            <v>DV_TOTALD</v>
          </cell>
          <cell r="D417" t="str">
            <v>BARRIO EL BOSQUE</v>
          </cell>
          <cell r="E417"/>
          <cell r="F417"/>
          <cell r="G417" t="str">
            <v>ML</v>
          </cell>
          <cell r="H417">
            <v>1</v>
          </cell>
          <cell r="I417">
            <v>110.91</v>
          </cell>
          <cell r="L417">
            <v>110.91</v>
          </cell>
        </row>
        <row r="418">
          <cell r="B418" t="str">
            <v>CRA 19 * CLL96</v>
          </cell>
          <cell r="C418" t="str">
            <v>DV_TOTALD</v>
          </cell>
          <cell r="D418" t="str">
            <v>BARRIO EL BOSQUE</v>
          </cell>
          <cell r="E418"/>
          <cell r="F418"/>
          <cell r="G418" t="str">
            <v>ML</v>
          </cell>
          <cell r="H418">
            <v>1</v>
          </cell>
          <cell r="I418">
            <v>13.71</v>
          </cell>
          <cell r="L418">
            <v>13.71</v>
          </cell>
        </row>
        <row r="419">
          <cell r="B419" t="str">
            <v>CALLE 96 ENTRE CRA 19-20</v>
          </cell>
          <cell r="C419" t="str">
            <v>DV_TOTALD</v>
          </cell>
          <cell r="D419" t="str">
            <v>BARRIO EL BOSQUE</v>
          </cell>
          <cell r="E419"/>
          <cell r="F419"/>
          <cell r="G419" t="str">
            <v>ML</v>
          </cell>
          <cell r="H419">
            <v>1</v>
          </cell>
          <cell r="I419">
            <v>100.12</v>
          </cell>
          <cell r="L419">
            <v>100.12</v>
          </cell>
        </row>
        <row r="420">
          <cell r="B420" t="str">
            <v>CRA 20 * CLL96</v>
          </cell>
          <cell r="C420" t="str">
            <v>DV_TOTALD</v>
          </cell>
          <cell r="D420" t="str">
            <v>BARRIO EL BOSQUE</v>
          </cell>
          <cell r="E420"/>
          <cell r="F420"/>
          <cell r="G420" t="str">
            <v>ML</v>
          </cell>
          <cell r="H420">
            <v>1</v>
          </cell>
          <cell r="I420">
            <v>10.96</v>
          </cell>
          <cell r="L420">
            <v>10.96</v>
          </cell>
        </row>
        <row r="421">
          <cell r="B421" t="str">
            <v>CALLE 96 ENTRE CRA 20-21</v>
          </cell>
          <cell r="C421" t="str">
            <v>DV_TOTALD</v>
          </cell>
          <cell r="D421" t="str">
            <v>BARRIO EL BOSQUE</v>
          </cell>
          <cell r="E421"/>
          <cell r="F421"/>
          <cell r="G421" t="str">
            <v>ML</v>
          </cell>
          <cell r="H421">
            <v>1</v>
          </cell>
          <cell r="I421">
            <v>102.38</v>
          </cell>
          <cell r="L421">
            <v>102.38</v>
          </cell>
        </row>
        <row r="422">
          <cell r="B422" t="str">
            <v>CRA 21 * CLL96</v>
          </cell>
          <cell r="C422" t="str">
            <v>DV_TOTALD</v>
          </cell>
          <cell r="D422" t="str">
            <v>BARRIO EL BOSQUE</v>
          </cell>
          <cell r="E422"/>
          <cell r="F422"/>
          <cell r="G422" t="str">
            <v>ML</v>
          </cell>
          <cell r="H422">
            <v>1</v>
          </cell>
          <cell r="I422">
            <v>11.11</v>
          </cell>
          <cell r="L422">
            <v>11.11</v>
          </cell>
        </row>
        <row r="423">
          <cell r="B423" t="str">
            <v>CALLE 96 ENTRE CRA 21-22</v>
          </cell>
          <cell r="C423" t="str">
            <v>DV_TOTALD</v>
          </cell>
          <cell r="D423" t="str">
            <v>BARRIO EL BOSQUE</v>
          </cell>
          <cell r="E423"/>
          <cell r="F423"/>
          <cell r="G423" t="str">
            <v>ML</v>
          </cell>
          <cell r="H423">
            <v>1</v>
          </cell>
          <cell r="I423">
            <v>101.4</v>
          </cell>
          <cell r="L423">
            <v>101.4</v>
          </cell>
        </row>
        <row r="424">
          <cell r="B424" t="str">
            <v>CRA 22 * CLL96</v>
          </cell>
          <cell r="C424" t="str">
            <v>DV_TOTALD</v>
          </cell>
          <cell r="D424" t="str">
            <v>BARRIO EL BOSQUE</v>
          </cell>
          <cell r="E424"/>
          <cell r="F424"/>
          <cell r="G424" t="str">
            <v>ML</v>
          </cell>
          <cell r="H424">
            <v>1</v>
          </cell>
          <cell r="I424">
            <v>12.85</v>
          </cell>
          <cell r="L424">
            <v>12.85</v>
          </cell>
        </row>
        <row r="425">
          <cell r="B425" t="str">
            <v>CRA 19 * CLL95</v>
          </cell>
          <cell r="C425" t="str">
            <v>DV_TOTALD</v>
          </cell>
          <cell r="D425" t="str">
            <v>BARRIO EL BOSQUE</v>
          </cell>
          <cell r="E425"/>
          <cell r="F425"/>
          <cell r="G425" t="str">
            <v>ML</v>
          </cell>
          <cell r="H425">
            <v>1</v>
          </cell>
          <cell r="I425">
            <v>3</v>
          </cell>
          <cell r="L425">
            <v>3</v>
          </cell>
        </row>
        <row r="426">
          <cell r="B426" t="str">
            <v>CALLE 95 ENTRE CRA 19-20</v>
          </cell>
          <cell r="C426" t="str">
            <v>DV_TOTALD</v>
          </cell>
          <cell r="D426" t="str">
            <v>BARRIO EL BOSQUE</v>
          </cell>
          <cell r="E426"/>
          <cell r="F426"/>
          <cell r="G426" t="str">
            <v>ML</v>
          </cell>
          <cell r="H426">
            <v>1</v>
          </cell>
          <cell r="I426">
            <v>99.98</v>
          </cell>
          <cell r="L426">
            <v>99.98</v>
          </cell>
        </row>
        <row r="427">
          <cell r="B427" t="str">
            <v>CRA 20 * CLL95</v>
          </cell>
          <cell r="C427" t="str">
            <v>DV_TOTALD</v>
          </cell>
          <cell r="D427" t="str">
            <v>BARRIO EL BOSQUE</v>
          </cell>
          <cell r="E427"/>
          <cell r="F427"/>
          <cell r="G427" t="str">
            <v>ML</v>
          </cell>
          <cell r="H427">
            <v>1</v>
          </cell>
          <cell r="I427">
            <v>9.33</v>
          </cell>
          <cell r="L427">
            <v>9.33</v>
          </cell>
        </row>
        <row r="428">
          <cell r="B428" t="str">
            <v>CALLE 95 ENTRE CRA 20-21</v>
          </cell>
          <cell r="C428" t="str">
            <v>DV_TOTALD</v>
          </cell>
          <cell r="D428" t="str">
            <v>BARRIO EL BOSQUE</v>
          </cell>
          <cell r="E428"/>
          <cell r="F428"/>
          <cell r="G428" t="str">
            <v>ML</v>
          </cell>
          <cell r="H428">
            <v>1</v>
          </cell>
          <cell r="I428">
            <v>102.15</v>
          </cell>
          <cell r="L428">
            <v>102.15</v>
          </cell>
        </row>
        <row r="429">
          <cell r="B429" t="str">
            <v>CRA 21 * CLL95</v>
          </cell>
          <cell r="C429" t="str">
            <v>DV_TOTALD</v>
          </cell>
          <cell r="D429" t="str">
            <v>BARRIO EL BOSQUE</v>
          </cell>
          <cell r="E429"/>
          <cell r="F429"/>
          <cell r="G429" t="str">
            <v>ML</v>
          </cell>
          <cell r="H429">
            <v>1</v>
          </cell>
          <cell r="I429">
            <v>10.42</v>
          </cell>
          <cell r="L429">
            <v>10.42</v>
          </cell>
        </row>
        <row r="430">
          <cell r="B430" t="str">
            <v>CALLE 95 ENTRE CRA 21-22</v>
          </cell>
          <cell r="C430" t="str">
            <v>DV_TOTALD</v>
          </cell>
          <cell r="D430" t="str">
            <v>BARRIO EL BOSQUE</v>
          </cell>
          <cell r="E430"/>
          <cell r="F430"/>
          <cell r="G430" t="str">
            <v>ML</v>
          </cell>
          <cell r="H430">
            <v>1</v>
          </cell>
          <cell r="I430">
            <v>100.63</v>
          </cell>
          <cell r="L430">
            <v>100.63</v>
          </cell>
        </row>
        <row r="431">
          <cell r="B431" t="str">
            <v>CRA 22 * CLL95</v>
          </cell>
          <cell r="C431" t="str">
            <v>DV_TOTALD</v>
          </cell>
          <cell r="D431" t="str">
            <v>BARRIO EL BOSQUE</v>
          </cell>
          <cell r="E431"/>
          <cell r="F431"/>
          <cell r="G431" t="str">
            <v>ML</v>
          </cell>
          <cell r="H431">
            <v>1</v>
          </cell>
          <cell r="I431">
            <v>12.76</v>
          </cell>
          <cell r="L431">
            <v>12.76</v>
          </cell>
        </row>
        <row r="432">
          <cell r="B432" t="str">
            <v>CRA 19 * CLL94</v>
          </cell>
          <cell r="C432" t="str">
            <v>DV_TOTALD</v>
          </cell>
          <cell r="D432" t="str">
            <v>BARRIO EL BOSQUE</v>
          </cell>
          <cell r="E432"/>
          <cell r="F432"/>
          <cell r="G432" t="str">
            <v>ML</v>
          </cell>
          <cell r="H432">
            <v>1</v>
          </cell>
          <cell r="I432">
            <v>3</v>
          </cell>
          <cell r="L432">
            <v>3</v>
          </cell>
        </row>
        <row r="433">
          <cell r="B433" t="str">
            <v>CALLE 94 ENTRE CRA 19-20</v>
          </cell>
          <cell r="C433" t="str">
            <v>DV_TOTALD</v>
          </cell>
          <cell r="D433" t="str">
            <v>BARRIO EL BOSQUE</v>
          </cell>
          <cell r="E433"/>
          <cell r="F433"/>
          <cell r="G433" t="str">
            <v>ML</v>
          </cell>
          <cell r="H433">
            <v>1</v>
          </cell>
          <cell r="I433">
            <v>102.03</v>
          </cell>
          <cell r="L433">
            <v>102.03</v>
          </cell>
        </row>
        <row r="434">
          <cell r="B434" t="str">
            <v>CRA 20 * CLL94</v>
          </cell>
          <cell r="C434" t="str">
            <v>DV_TOTALD</v>
          </cell>
          <cell r="D434" t="str">
            <v>BARRIO EL BOSQUE</v>
          </cell>
          <cell r="E434"/>
          <cell r="F434"/>
          <cell r="G434" t="str">
            <v>ML</v>
          </cell>
          <cell r="H434">
            <v>1</v>
          </cell>
          <cell r="I434">
            <v>12.07</v>
          </cell>
          <cell r="L434">
            <v>12.07</v>
          </cell>
        </row>
        <row r="435">
          <cell r="B435" t="str">
            <v>CALLE 94 ENTRE CRA 20-21</v>
          </cell>
          <cell r="C435" t="str">
            <v>DV_TOTALD</v>
          </cell>
          <cell r="D435" t="str">
            <v>BARRIO EL BOSQUE</v>
          </cell>
          <cell r="E435"/>
          <cell r="F435"/>
          <cell r="G435" t="str">
            <v>ML</v>
          </cell>
          <cell r="H435">
            <v>1</v>
          </cell>
          <cell r="I435">
            <v>98.36</v>
          </cell>
          <cell r="L435">
            <v>98.36</v>
          </cell>
        </row>
        <row r="436">
          <cell r="B436" t="str">
            <v>CRA 21 * CLL94</v>
          </cell>
          <cell r="C436" t="str">
            <v>DV_TOTALD</v>
          </cell>
          <cell r="D436" t="str">
            <v>BARRIO EL BOSQUE</v>
          </cell>
          <cell r="E436"/>
          <cell r="F436"/>
          <cell r="G436" t="str">
            <v>ML</v>
          </cell>
          <cell r="H436">
            <v>1</v>
          </cell>
          <cell r="I436">
            <v>12</v>
          </cell>
          <cell r="L436">
            <v>12</v>
          </cell>
        </row>
        <row r="437">
          <cell r="B437" t="str">
            <v>CALLE 94 ENTRE CRA 21-22</v>
          </cell>
          <cell r="C437" t="str">
            <v>DV_TOTALD</v>
          </cell>
          <cell r="D437" t="str">
            <v>BARRIO EL BOSQUE</v>
          </cell>
          <cell r="E437"/>
          <cell r="F437"/>
          <cell r="G437" t="str">
            <v>ML</v>
          </cell>
          <cell r="H437">
            <v>1</v>
          </cell>
          <cell r="I437">
            <v>100.79</v>
          </cell>
          <cell r="L437">
            <v>100.79</v>
          </cell>
        </row>
        <row r="438">
          <cell r="B438" t="str">
            <v>CRA 22 * CLL94</v>
          </cell>
          <cell r="C438" t="str">
            <v>DV_TOTALD</v>
          </cell>
          <cell r="D438" t="str">
            <v>BARRIO EL BOSQUE</v>
          </cell>
          <cell r="E438"/>
          <cell r="F438"/>
          <cell r="G438" t="str">
            <v>ML</v>
          </cell>
          <cell r="H438">
            <v>1</v>
          </cell>
          <cell r="I438">
            <v>10.97</v>
          </cell>
          <cell r="L438">
            <v>10.97</v>
          </cell>
        </row>
        <row r="439">
          <cell r="B439" t="str">
            <v>CRA 15 * CLL93</v>
          </cell>
          <cell r="C439" t="str">
            <v>DV_TOTALD</v>
          </cell>
          <cell r="D439" t="str">
            <v>BARRIO EL BOSQUE</v>
          </cell>
          <cell r="E439"/>
          <cell r="F439"/>
          <cell r="G439" t="str">
            <v>ML</v>
          </cell>
          <cell r="H439">
            <v>1</v>
          </cell>
          <cell r="I439">
            <v>3</v>
          </cell>
          <cell r="L439">
            <v>3</v>
          </cell>
        </row>
        <row r="440">
          <cell r="B440" t="str">
            <v>CALLE 93 ENTRE CRA 15-17A</v>
          </cell>
          <cell r="C440" t="str">
            <v>DV_TOTALD</v>
          </cell>
          <cell r="D440" t="str">
            <v>BARRIO EL BOSQUE</v>
          </cell>
          <cell r="E440"/>
          <cell r="F440"/>
          <cell r="G440" t="str">
            <v>ML</v>
          </cell>
          <cell r="H440">
            <v>1</v>
          </cell>
          <cell r="I440">
            <v>105.65</v>
          </cell>
          <cell r="L440">
            <v>105.65</v>
          </cell>
        </row>
        <row r="441">
          <cell r="B441" t="str">
            <v>CRA 17A * CLL93</v>
          </cell>
          <cell r="C441" t="str">
            <v>DV_TOTALD</v>
          </cell>
          <cell r="D441" t="str">
            <v>BARRIO EL BOSQUE</v>
          </cell>
          <cell r="E441"/>
          <cell r="F441"/>
          <cell r="G441" t="str">
            <v>ML</v>
          </cell>
          <cell r="H441">
            <v>1</v>
          </cell>
          <cell r="I441">
            <v>11.8</v>
          </cell>
          <cell r="L441">
            <v>11.8</v>
          </cell>
        </row>
        <row r="442">
          <cell r="B442" t="str">
            <v>CALLE 93 ENTRE CRA 17A-19</v>
          </cell>
          <cell r="C442" t="str">
            <v>DV_TOTALD</v>
          </cell>
          <cell r="D442" t="str">
            <v>BARRIO EL BOSQUE</v>
          </cell>
          <cell r="E442"/>
          <cell r="F442"/>
          <cell r="G442" t="str">
            <v>ML</v>
          </cell>
          <cell r="H442">
            <v>1</v>
          </cell>
          <cell r="I442">
            <v>71.7</v>
          </cell>
          <cell r="L442">
            <v>71.7</v>
          </cell>
        </row>
        <row r="443">
          <cell r="B443" t="str">
            <v>CRA 19 * CLL93</v>
          </cell>
          <cell r="C443" t="str">
            <v>DV_TOTALD</v>
          </cell>
          <cell r="D443" t="str">
            <v>BARRIO EL BOSQUE</v>
          </cell>
          <cell r="E443"/>
          <cell r="F443"/>
          <cell r="G443" t="str">
            <v>ML</v>
          </cell>
          <cell r="H443">
            <v>1</v>
          </cell>
          <cell r="I443">
            <v>11.32</v>
          </cell>
          <cell r="L443">
            <v>11.32</v>
          </cell>
        </row>
        <row r="444">
          <cell r="B444" t="str">
            <v>CALLE 93 ENTRE CRA 19-20</v>
          </cell>
          <cell r="C444" t="str">
            <v>DV_TOTALD</v>
          </cell>
          <cell r="D444" t="str">
            <v>BARRIO EL BOSQUE</v>
          </cell>
          <cell r="E444"/>
          <cell r="F444"/>
          <cell r="G444" t="str">
            <v>ML</v>
          </cell>
          <cell r="H444">
            <v>1</v>
          </cell>
          <cell r="I444">
            <v>101.82</v>
          </cell>
          <cell r="L444">
            <v>101.82</v>
          </cell>
        </row>
        <row r="445">
          <cell r="B445" t="str">
            <v>CRA 20 * CLL93</v>
          </cell>
          <cell r="C445" t="str">
            <v>DV_TOTALD</v>
          </cell>
          <cell r="D445" t="str">
            <v>BARRIO EL BOSQUE</v>
          </cell>
          <cell r="E445"/>
          <cell r="F445"/>
          <cell r="G445" t="str">
            <v>ML</v>
          </cell>
          <cell r="H445">
            <v>1</v>
          </cell>
          <cell r="I445">
            <v>10.38</v>
          </cell>
          <cell r="L445">
            <v>10.38</v>
          </cell>
        </row>
        <row r="446">
          <cell r="B446" t="str">
            <v>CALLE 93 ENTRE CRA 20-21</v>
          </cell>
          <cell r="C446" t="str">
            <v>DV_TOTALD</v>
          </cell>
          <cell r="D446" t="str">
            <v>BARRIO EL BOSQUE</v>
          </cell>
          <cell r="E446"/>
          <cell r="F446"/>
          <cell r="G446" t="str">
            <v>ML</v>
          </cell>
          <cell r="H446">
            <v>1</v>
          </cell>
          <cell r="I446">
            <v>99.53</v>
          </cell>
          <cell r="L446">
            <v>99.53</v>
          </cell>
        </row>
        <row r="447">
          <cell r="B447" t="str">
            <v>CRA 21 * CLL93</v>
          </cell>
          <cell r="C447" t="str">
            <v>DV_TOTALD</v>
          </cell>
          <cell r="D447" t="str">
            <v>BARRIO EL BOSQUE</v>
          </cell>
          <cell r="E447"/>
          <cell r="F447"/>
          <cell r="G447" t="str">
            <v>ML</v>
          </cell>
          <cell r="H447">
            <v>1</v>
          </cell>
          <cell r="I447">
            <v>10.14</v>
          </cell>
          <cell r="L447">
            <v>10.14</v>
          </cell>
        </row>
        <row r="448">
          <cell r="B448" t="str">
            <v>CALLE 93 ENTRE CRA 21-22</v>
          </cell>
          <cell r="C448" t="str">
            <v>DV_TOTALD</v>
          </cell>
          <cell r="D448" t="str">
            <v>BARRIO EL BOSQUE</v>
          </cell>
          <cell r="E448"/>
          <cell r="F448"/>
          <cell r="G448" t="str">
            <v>ML</v>
          </cell>
          <cell r="H448">
            <v>1</v>
          </cell>
          <cell r="I448">
            <v>103.29</v>
          </cell>
          <cell r="L448">
            <v>103.29</v>
          </cell>
        </row>
        <row r="449">
          <cell r="B449" t="str">
            <v>CRA 22 * CLL93</v>
          </cell>
          <cell r="C449" t="str">
            <v>DV_TOTALD</v>
          </cell>
          <cell r="D449" t="str">
            <v>BARRIO EL BOSQUE</v>
          </cell>
          <cell r="E449"/>
          <cell r="F449"/>
          <cell r="G449" t="str">
            <v>ML</v>
          </cell>
          <cell r="H449">
            <v>1</v>
          </cell>
          <cell r="I449">
            <v>11.29</v>
          </cell>
          <cell r="L449">
            <v>11.29</v>
          </cell>
        </row>
        <row r="450">
          <cell r="B450" t="str">
            <v>CLL 94 * CRA 17</v>
          </cell>
          <cell r="C450" t="str">
            <v>DV_TOTALD</v>
          </cell>
          <cell r="D450" t="str">
            <v>BARRIO EL BOSQUE</v>
          </cell>
          <cell r="E450"/>
          <cell r="F450"/>
          <cell r="G450" t="str">
            <v>ML</v>
          </cell>
          <cell r="H450">
            <v>1</v>
          </cell>
          <cell r="I450">
            <v>3</v>
          </cell>
          <cell r="L450">
            <v>3</v>
          </cell>
        </row>
        <row r="451">
          <cell r="B451" t="str">
            <v>CARRERA 17 ENTRE CALLE 94 Y 95</v>
          </cell>
          <cell r="C451" t="str">
            <v>DV_TOTALD</v>
          </cell>
          <cell r="D451" t="str">
            <v>BARRIO EL BOSQUE</v>
          </cell>
          <cell r="E451"/>
          <cell r="F451"/>
          <cell r="G451" t="str">
            <v>ML</v>
          </cell>
          <cell r="H451">
            <v>1</v>
          </cell>
          <cell r="I451">
            <v>50.06</v>
          </cell>
          <cell r="L451">
            <v>50.06</v>
          </cell>
        </row>
        <row r="452">
          <cell r="B452" t="str">
            <v>CLL 95 * CRA 17</v>
          </cell>
          <cell r="C452" t="str">
            <v>DV_TOTALD</v>
          </cell>
          <cell r="D452" t="str">
            <v>BARRIO EL BOSQUE</v>
          </cell>
          <cell r="E452"/>
          <cell r="F452"/>
          <cell r="G452" t="str">
            <v>ML</v>
          </cell>
          <cell r="H452">
            <v>1</v>
          </cell>
          <cell r="I452">
            <v>14.04</v>
          </cell>
          <cell r="L452">
            <v>14.04</v>
          </cell>
        </row>
        <row r="453">
          <cell r="B453" t="str">
            <v>CARRERA 17 ENTRE CALLE 95 Y 96</v>
          </cell>
          <cell r="C453" t="str">
            <v>DV_TOTALD</v>
          </cell>
          <cell r="D453" t="str">
            <v>BARRIO EL BOSQUE</v>
          </cell>
          <cell r="E453"/>
          <cell r="F453"/>
          <cell r="G453" t="str">
            <v>ML</v>
          </cell>
          <cell r="H453">
            <v>1</v>
          </cell>
          <cell r="I453">
            <v>40.24</v>
          </cell>
          <cell r="L453">
            <v>40.24</v>
          </cell>
        </row>
        <row r="454">
          <cell r="B454" t="str">
            <v>CLL 96 * CRA 17</v>
          </cell>
          <cell r="C454" t="str">
            <v>DV_TOTALD</v>
          </cell>
          <cell r="D454" t="str">
            <v>BARRIO EL BOSQUE</v>
          </cell>
          <cell r="E454"/>
          <cell r="F454"/>
          <cell r="G454" t="str">
            <v>ML</v>
          </cell>
          <cell r="H454">
            <v>1</v>
          </cell>
          <cell r="I454">
            <v>11.47</v>
          </cell>
          <cell r="L454">
            <v>11.47</v>
          </cell>
        </row>
        <row r="455">
          <cell r="B455" t="str">
            <v>CARRERA 17 ENTRE CALLE 96 Y 96A</v>
          </cell>
          <cell r="C455" t="str">
            <v>DV_TOTALD</v>
          </cell>
          <cell r="D455" t="str">
            <v>BARRIO EL BOSQUE</v>
          </cell>
          <cell r="E455"/>
          <cell r="F455"/>
          <cell r="G455" t="str">
            <v>ML</v>
          </cell>
          <cell r="H455">
            <v>1</v>
          </cell>
          <cell r="I455">
            <v>46.44</v>
          </cell>
          <cell r="L455">
            <v>46.44</v>
          </cell>
        </row>
        <row r="456">
          <cell r="B456" t="str">
            <v>CLL 96A * CRA 17</v>
          </cell>
          <cell r="C456" t="str">
            <v>DV_TOTALD</v>
          </cell>
          <cell r="D456" t="str">
            <v>BARRIO EL BOSQUE</v>
          </cell>
          <cell r="E456"/>
          <cell r="F456"/>
          <cell r="G456" t="str">
            <v>ML</v>
          </cell>
          <cell r="H456">
            <v>1</v>
          </cell>
          <cell r="I456">
            <v>11.66</v>
          </cell>
          <cell r="L456">
            <v>11.66</v>
          </cell>
        </row>
        <row r="457">
          <cell r="B457" t="str">
            <v>CARRERA 17 ENTRE CALLE 96A Y 97</v>
          </cell>
          <cell r="C457" t="str">
            <v>DV_TOTALD</v>
          </cell>
          <cell r="D457" t="str">
            <v>BARRIO EL BOSQUE</v>
          </cell>
          <cell r="E457"/>
          <cell r="F457"/>
          <cell r="G457" t="str">
            <v>ML</v>
          </cell>
          <cell r="H457">
            <v>1</v>
          </cell>
          <cell r="I457">
            <v>40.380000000000003</v>
          </cell>
          <cell r="L457">
            <v>40.380000000000003</v>
          </cell>
        </row>
        <row r="458">
          <cell r="B458" t="str">
            <v>CLL 97 * CRA 17</v>
          </cell>
          <cell r="C458" t="str">
            <v>DV_TOTALD</v>
          </cell>
          <cell r="D458" t="str">
            <v>BARRIO EL BOSQUE</v>
          </cell>
          <cell r="E458"/>
          <cell r="F458"/>
          <cell r="G458" t="str">
            <v>ML</v>
          </cell>
          <cell r="H458">
            <v>1</v>
          </cell>
          <cell r="I458">
            <v>12.14</v>
          </cell>
          <cell r="L458">
            <v>12.14</v>
          </cell>
        </row>
        <row r="459">
          <cell r="B459" t="str">
            <v>CARRERA 17 ENTRE CALLE 97 Y 97A</v>
          </cell>
          <cell r="C459" t="str">
            <v>DV_TOTALD</v>
          </cell>
          <cell r="D459" t="str">
            <v>BARRIO EL BOSQUE</v>
          </cell>
          <cell r="E459"/>
          <cell r="F459"/>
          <cell r="G459" t="str">
            <v>ML</v>
          </cell>
          <cell r="H459">
            <v>1</v>
          </cell>
          <cell r="I459">
            <v>51.63</v>
          </cell>
          <cell r="L459">
            <v>51.63</v>
          </cell>
        </row>
        <row r="460">
          <cell r="B460" t="str">
            <v>CLL 97A * CRA 17</v>
          </cell>
          <cell r="C460" t="str">
            <v>DV_TOTALD</v>
          </cell>
          <cell r="D460" t="str">
            <v>BARRIO EL BOSQUE</v>
          </cell>
          <cell r="E460"/>
          <cell r="F460"/>
          <cell r="G460" t="str">
            <v>ML</v>
          </cell>
          <cell r="H460">
            <v>1</v>
          </cell>
          <cell r="I460">
            <v>3</v>
          </cell>
          <cell r="L460">
            <v>3</v>
          </cell>
        </row>
        <row r="461">
          <cell r="B461" t="str">
            <v>CLL 93 * CRA 20</v>
          </cell>
          <cell r="C461" t="str">
            <v>DV_TOTALD</v>
          </cell>
          <cell r="D461" t="str">
            <v>BARRIO EL BOSQUE</v>
          </cell>
          <cell r="E461"/>
          <cell r="F461"/>
          <cell r="G461" t="str">
            <v>ML</v>
          </cell>
          <cell r="H461">
            <v>1</v>
          </cell>
          <cell r="I461">
            <v>3</v>
          </cell>
          <cell r="L461">
            <v>3</v>
          </cell>
        </row>
        <row r="462">
          <cell r="B462" t="str">
            <v>CARRERA 20 ENTRE CALLE 93 Y 94</v>
          </cell>
          <cell r="C462" t="str">
            <v>DV_TOTALD</v>
          </cell>
          <cell r="D462" t="str">
            <v>BARRIO EL BOSQUE</v>
          </cell>
          <cell r="E462"/>
          <cell r="F462"/>
          <cell r="G462" t="str">
            <v>ML</v>
          </cell>
          <cell r="H462">
            <v>1</v>
          </cell>
          <cell r="I462">
            <v>28.89</v>
          </cell>
          <cell r="L462">
            <v>28.89</v>
          </cell>
        </row>
        <row r="463">
          <cell r="B463" t="str">
            <v>CLL 94 * CRA 20</v>
          </cell>
          <cell r="C463" t="str">
            <v>DV_TOTALD</v>
          </cell>
          <cell r="D463" t="str">
            <v>BARRIO EL BOSQUE</v>
          </cell>
          <cell r="E463"/>
          <cell r="F463"/>
          <cell r="G463" t="str">
            <v>ML</v>
          </cell>
          <cell r="H463">
            <v>1</v>
          </cell>
          <cell r="I463">
            <v>11.97</v>
          </cell>
          <cell r="L463">
            <v>11.97</v>
          </cell>
        </row>
        <row r="464">
          <cell r="B464" t="str">
            <v>CARRERA 20 ENTRE CALLE 94 Y 95</v>
          </cell>
          <cell r="C464" t="str">
            <v>DV_TOTALD</v>
          </cell>
          <cell r="D464" t="str">
            <v>BARRIO EL BOSQUE</v>
          </cell>
          <cell r="E464"/>
          <cell r="F464"/>
          <cell r="G464" t="str">
            <v>ML</v>
          </cell>
          <cell r="H464">
            <v>1</v>
          </cell>
          <cell r="I464">
            <v>39.590000000000003</v>
          </cell>
          <cell r="L464">
            <v>39.590000000000003</v>
          </cell>
        </row>
        <row r="465">
          <cell r="B465" t="str">
            <v>CLL 95 * CRA 20</v>
          </cell>
          <cell r="C465" t="str">
            <v>DV_TOTALD</v>
          </cell>
          <cell r="D465" t="str">
            <v>BARRIO EL BOSQUE</v>
          </cell>
          <cell r="E465"/>
          <cell r="F465"/>
          <cell r="G465" t="str">
            <v>ML</v>
          </cell>
          <cell r="H465">
            <v>1</v>
          </cell>
          <cell r="I465">
            <v>14.67</v>
          </cell>
          <cell r="L465">
            <v>14.67</v>
          </cell>
        </row>
        <row r="466">
          <cell r="B466" t="str">
            <v>CARRERA 20 ENTRE CALLE 95 Y 96</v>
          </cell>
          <cell r="C466" t="str">
            <v>DV_TOTALD</v>
          </cell>
          <cell r="D466" t="str">
            <v>BARRIO EL BOSQUE</v>
          </cell>
          <cell r="E466"/>
          <cell r="F466"/>
          <cell r="G466" t="str">
            <v>ML</v>
          </cell>
          <cell r="H466">
            <v>1</v>
          </cell>
          <cell r="I466">
            <v>41.77</v>
          </cell>
          <cell r="L466">
            <v>41.77</v>
          </cell>
        </row>
        <row r="467">
          <cell r="B467" t="str">
            <v>CLL 96 * CRA 20</v>
          </cell>
          <cell r="C467" t="str">
            <v>DV_TOTALD</v>
          </cell>
          <cell r="D467" t="str">
            <v>BARRIO EL BOSQUE</v>
          </cell>
          <cell r="E467"/>
          <cell r="F467"/>
          <cell r="G467" t="str">
            <v>ML</v>
          </cell>
          <cell r="H467">
            <v>1</v>
          </cell>
          <cell r="I467">
            <v>8.6300000000000008</v>
          </cell>
          <cell r="L467">
            <v>8.6300000000000008</v>
          </cell>
        </row>
        <row r="468">
          <cell r="B468" t="str">
            <v>CARRERA 20 ENTRE CALLE 96 Y 96A</v>
          </cell>
          <cell r="C468" t="str">
            <v>DV_TOTALD</v>
          </cell>
          <cell r="D468" t="str">
            <v>BARRIO EL BOSQUE</v>
          </cell>
          <cell r="E468"/>
          <cell r="F468"/>
          <cell r="G468" t="str">
            <v>ML</v>
          </cell>
          <cell r="H468">
            <v>1</v>
          </cell>
          <cell r="I468">
            <v>42.25</v>
          </cell>
          <cell r="L468">
            <v>42.25</v>
          </cell>
        </row>
        <row r="469">
          <cell r="B469" t="str">
            <v>CLL 96A * CRA 20</v>
          </cell>
          <cell r="C469" t="str">
            <v>DV_TOTALD</v>
          </cell>
          <cell r="D469" t="str">
            <v>BARRIO EL BOSQUE</v>
          </cell>
          <cell r="E469"/>
          <cell r="F469"/>
          <cell r="G469" t="str">
            <v>ML</v>
          </cell>
          <cell r="H469">
            <v>1</v>
          </cell>
          <cell r="I469">
            <v>10.72</v>
          </cell>
          <cell r="L469">
            <v>10.72</v>
          </cell>
        </row>
        <row r="470">
          <cell r="B470" t="str">
            <v>CARRERA 20 ENTRE CALLE 96A Y 97</v>
          </cell>
          <cell r="C470" t="str">
            <v>DV_TOTALD</v>
          </cell>
          <cell r="D470" t="str">
            <v>BARRIO EL BOSQUE</v>
          </cell>
          <cell r="E470"/>
          <cell r="F470"/>
          <cell r="G470" t="str">
            <v>ML</v>
          </cell>
          <cell r="H470">
            <v>1</v>
          </cell>
          <cell r="I470">
            <v>41.33</v>
          </cell>
          <cell r="L470">
            <v>41.33</v>
          </cell>
        </row>
        <row r="471">
          <cell r="B471" t="str">
            <v>CLL 97 * CRA 20</v>
          </cell>
          <cell r="C471" t="str">
            <v>DV_TOTALD</v>
          </cell>
          <cell r="D471" t="str">
            <v>BARRIO EL BOSQUE</v>
          </cell>
          <cell r="E471"/>
          <cell r="F471"/>
          <cell r="G471" t="str">
            <v>ML</v>
          </cell>
          <cell r="H471">
            <v>1</v>
          </cell>
          <cell r="I471">
            <v>13.65</v>
          </cell>
          <cell r="L471">
            <v>13.65</v>
          </cell>
        </row>
        <row r="472">
          <cell r="B472" t="str">
            <v>CARRERA 20 ENTRE CALLE 97 Y 97A</v>
          </cell>
          <cell r="C472" t="str">
            <v>DV_TOTALD</v>
          </cell>
          <cell r="D472" t="str">
            <v>BARRIO EL BOSQUE</v>
          </cell>
          <cell r="E472"/>
          <cell r="F472"/>
          <cell r="G472" t="str">
            <v>ML</v>
          </cell>
          <cell r="H472">
            <v>1</v>
          </cell>
          <cell r="I472">
            <v>54</v>
          </cell>
          <cell r="L472">
            <v>54</v>
          </cell>
        </row>
        <row r="473">
          <cell r="B473" t="str">
            <v>CLL 97A * CRA 20</v>
          </cell>
          <cell r="C473" t="str">
            <v>DV_TOTALD</v>
          </cell>
          <cell r="D473" t="str">
            <v>BARRIO EL BOSQUE</v>
          </cell>
          <cell r="E473"/>
          <cell r="F473"/>
          <cell r="G473" t="str">
            <v>ML</v>
          </cell>
          <cell r="H473">
            <v>1</v>
          </cell>
          <cell r="I473">
            <v>3</v>
          </cell>
          <cell r="L473">
            <v>3</v>
          </cell>
        </row>
        <row r="474">
          <cell r="B474" t="str">
            <v>CLL 93 * CRA 21</v>
          </cell>
          <cell r="C474" t="str">
            <v>DV_TOTALD</v>
          </cell>
          <cell r="D474" t="str">
            <v>BARRIO EL BOSQUE</v>
          </cell>
          <cell r="E474"/>
          <cell r="F474"/>
          <cell r="G474" t="str">
            <v>ML</v>
          </cell>
          <cell r="H474">
            <v>1</v>
          </cell>
          <cell r="I474">
            <v>3</v>
          </cell>
          <cell r="L474">
            <v>3</v>
          </cell>
        </row>
        <row r="475">
          <cell r="B475" t="str">
            <v>CARRERA 21 ENTRE CALLE 93 Y 94</v>
          </cell>
          <cell r="C475" t="str">
            <v>DV_TOTALD</v>
          </cell>
          <cell r="D475" t="str">
            <v>BARRIO EL BOSQUE</v>
          </cell>
          <cell r="E475"/>
          <cell r="F475"/>
          <cell r="G475" t="str">
            <v>ML</v>
          </cell>
          <cell r="H475">
            <v>1</v>
          </cell>
          <cell r="I475">
            <v>32.44</v>
          </cell>
          <cell r="L475">
            <v>32.44</v>
          </cell>
        </row>
        <row r="476">
          <cell r="B476" t="str">
            <v>CLL 94 * CRA 21</v>
          </cell>
          <cell r="C476" t="str">
            <v>DV_TOTALD</v>
          </cell>
          <cell r="D476" t="str">
            <v>BARRIO EL BOSQUE</v>
          </cell>
          <cell r="E476"/>
          <cell r="F476"/>
          <cell r="G476" t="str">
            <v>ML</v>
          </cell>
          <cell r="H476">
            <v>1</v>
          </cell>
          <cell r="I476">
            <v>11.14</v>
          </cell>
          <cell r="L476">
            <v>11.14</v>
          </cell>
        </row>
        <row r="477">
          <cell r="B477" t="str">
            <v>CARRERA 21 ENTRE CALLE 94 Y 95</v>
          </cell>
          <cell r="C477" t="str">
            <v>DV_TOTALD</v>
          </cell>
          <cell r="D477" t="str">
            <v>BARRIO EL BOSQUE</v>
          </cell>
          <cell r="E477"/>
          <cell r="F477"/>
          <cell r="G477" t="str">
            <v>ML</v>
          </cell>
          <cell r="H477">
            <v>1</v>
          </cell>
          <cell r="I477">
            <v>40.58</v>
          </cell>
          <cell r="L477">
            <v>40.58</v>
          </cell>
        </row>
        <row r="478">
          <cell r="B478" t="str">
            <v>CLL 95 * CRA 21</v>
          </cell>
          <cell r="C478" t="str">
            <v>DV_TOTALD</v>
          </cell>
          <cell r="D478" t="str">
            <v>BARRIO EL BOSQUE</v>
          </cell>
          <cell r="E478"/>
          <cell r="F478"/>
          <cell r="G478" t="str">
            <v>ML</v>
          </cell>
          <cell r="H478">
            <v>1</v>
          </cell>
          <cell r="I478">
            <v>10.53</v>
          </cell>
          <cell r="L478">
            <v>10.53</v>
          </cell>
        </row>
        <row r="479">
          <cell r="B479" t="str">
            <v>CARRERA 21 ENTRE CALLE 95 Y 96</v>
          </cell>
          <cell r="C479" t="str">
            <v>DV_TOTALD</v>
          </cell>
          <cell r="D479" t="str">
            <v>BARRIO EL BOSQUE</v>
          </cell>
          <cell r="E479"/>
          <cell r="F479"/>
          <cell r="G479" t="str">
            <v>ML</v>
          </cell>
          <cell r="H479">
            <v>1</v>
          </cell>
          <cell r="I479">
            <v>42.43</v>
          </cell>
          <cell r="L479">
            <v>42.43</v>
          </cell>
        </row>
        <row r="480">
          <cell r="B480" t="str">
            <v>CLL 96 * CRA 21</v>
          </cell>
          <cell r="C480" t="str">
            <v>DV_TOTALD</v>
          </cell>
          <cell r="D480" t="str">
            <v>BARRIO EL BOSQUE</v>
          </cell>
          <cell r="E480"/>
          <cell r="F480"/>
          <cell r="G480" t="str">
            <v>ML</v>
          </cell>
          <cell r="H480">
            <v>1</v>
          </cell>
          <cell r="I480">
            <v>10.64</v>
          </cell>
          <cell r="L480">
            <v>10.64</v>
          </cell>
        </row>
        <row r="481">
          <cell r="B481" t="str">
            <v>CARRERA 21 ENTRE CALLE 96 Y 96A</v>
          </cell>
          <cell r="C481" t="str">
            <v>DV_TOTALD</v>
          </cell>
          <cell r="D481" t="str">
            <v>BARRIO EL BOSQUE</v>
          </cell>
          <cell r="E481"/>
          <cell r="F481"/>
          <cell r="G481" t="str">
            <v>ML</v>
          </cell>
          <cell r="H481">
            <v>1</v>
          </cell>
          <cell r="I481">
            <v>40.01</v>
          </cell>
          <cell r="L481">
            <v>40.01</v>
          </cell>
        </row>
        <row r="482">
          <cell r="B482" t="str">
            <v>CLL 96A * CRA 21</v>
          </cell>
          <cell r="C482" t="str">
            <v>DV_TOTALD</v>
          </cell>
          <cell r="D482" t="str">
            <v>BARRIO EL BOSQUE</v>
          </cell>
          <cell r="E482"/>
          <cell r="F482"/>
          <cell r="G482" t="str">
            <v>ML</v>
          </cell>
          <cell r="H482">
            <v>1</v>
          </cell>
          <cell r="I482">
            <v>10.55</v>
          </cell>
          <cell r="L482">
            <v>10.55</v>
          </cell>
        </row>
        <row r="483">
          <cell r="B483" t="str">
            <v>CARRERA 21 ENTRE CALLE 96A Y 97</v>
          </cell>
          <cell r="C483" t="str">
            <v>DV_TOTALD</v>
          </cell>
          <cell r="D483" t="str">
            <v>BARRIO EL BOSQUE</v>
          </cell>
          <cell r="E483"/>
          <cell r="F483"/>
          <cell r="G483" t="str">
            <v>ML</v>
          </cell>
          <cell r="H483">
            <v>1</v>
          </cell>
          <cell r="I483">
            <v>42.87</v>
          </cell>
          <cell r="L483">
            <v>42.87</v>
          </cell>
        </row>
        <row r="484">
          <cell r="B484" t="str">
            <v>CLL 97 * CRA 21</v>
          </cell>
          <cell r="C484" t="str">
            <v>DV_TOTALD</v>
          </cell>
          <cell r="D484" t="str">
            <v>BARRIO EL BOSQUE</v>
          </cell>
          <cell r="E484"/>
          <cell r="F484"/>
          <cell r="G484" t="str">
            <v>ML</v>
          </cell>
          <cell r="H484">
            <v>1</v>
          </cell>
          <cell r="I484">
            <v>13.55</v>
          </cell>
          <cell r="L484">
            <v>13.55</v>
          </cell>
        </row>
        <row r="485">
          <cell r="B485" t="str">
            <v>CARRERA 21 ENTRE CALLE 97 Y 97A</v>
          </cell>
          <cell r="C485" t="str">
            <v>DV_TOTALD</v>
          </cell>
          <cell r="D485" t="str">
            <v>BARRIO EL BOSQUE</v>
          </cell>
          <cell r="E485"/>
          <cell r="F485"/>
          <cell r="G485" t="str">
            <v>ML</v>
          </cell>
          <cell r="H485">
            <v>1</v>
          </cell>
          <cell r="I485">
            <v>52.73</v>
          </cell>
          <cell r="L485">
            <v>52.73</v>
          </cell>
        </row>
        <row r="486">
          <cell r="B486" t="str">
            <v>CLL 97A * CRA 21</v>
          </cell>
          <cell r="C486" t="str">
            <v>DV_TOTALD</v>
          </cell>
          <cell r="D486" t="str">
            <v>BARRIO EL BOSQUE</v>
          </cell>
          <cell r="E486"/>
          <cell r="F486"/>
          <cell r="G486" t="str">
            <v>ML</v>
          </cell>
          <cell r="H486">
            <v>1</v>
          </cell>
          <cell r="I486">
            <v>3</v>
          </cell>
          <cell r="L486">
            <v>3</v>
          </cell>
        </row>
        <row r="487">
          <cell r="B487" t="str">
            <v>CRA 14 * CLL 110</v>
          </cell>
          <cell r="C487" t="str">
            <v>DV_TOTALE</v>
          </cell>
          <cell r="D487" t="str">
            <v>BARRIO JESUS MORA CALLE 110</v>
          </cell>
          <cell r="E487"/>
          <cell r="F487"/>
          <cell r="G487" t="str">
            <v>ML</v>
          </cell>
          <cell r="H487">
            <v>1</v>
          </cell>
          <cell r="I487">
            <v>4</v>
          </cell>
          <cell r="L487">
            <v>4</v>
          </cell>
        </row>
        <row r="488">
          <cell r="B488" t="str">
            <v>CLL 110-CRA 14-14A</v>
          </cell>
          <cell r="C488" t="str">
            <v>DV_TOTALE</v>
          </cell>
          <cell r="D488" t="str">
            <v>BARRIO JESUS MORA CALLE 110</v>
          </cell>
          <cell r="E488"/>
          <cell r="F488"/>
          <cell r="G488" t="str">
            <v>ML</v>
          </cell>
          <cell r="H488">
            <v>1</v>
          </cell>
          <cell r="I488">
            <v>68.86</v>
          </cell>
          <cell r="L488">
            <v>68.86</v>
          </cell>
        </row>
        <row r="489">
          <cell r="B489" t="str">
            <v>CRA 14A * CLL 110</v>
          </cell>
          <cell r="C489" t="str">
            <v>DV_TOTALE</v>
          </cell>
          <cell r="D489" t="str">
            <v>BARRIO JESUS MORA CALLE 110</v>
          </cell>
          <cell r="E489"/>
          <cell r="F489"/>
          <cell r="G489" t="str">
            <v>ML</v>
          </cell>
          <cell r="H489">
            <v>1</v>
          </cell>
          <cell r="I489">
            <v>11.3</v>
          </cell>
          <cell r="L489">
            <v>11.3</v>
          </cell>
        </row>
        <row r="490">
          <cell r="B490" t="str">
            <v>CLL 110-CRA 14A-15</v>
          </cell>
          <cell r="C490" t="str">
            <v>DV_TOTALE</v>
          </cell>
          <cell r="D490" t="str">
            <v>BARRIO JESUS MORA CALLE 110</v>
          </cell>
          <cell r="E490"/>
          <cell r="F490"/>
          <cell r="G490" t="str">
            <v>ML</v>
          </cell>
          <cell r="H490">
            <v>1</v>
          </cell>
          <cell r="I490">
            <v>52.429999999999993</v>
          </cell>
          <cell r="L490">
            <v>52.429999999999993</v>
          </cell>
        </row>
        <row r="491">
          <cell r="B491" t="str">
            <v>CRA 15 * CLL 110</v>
          </cell>
          <cell r="C491" t="str">
            <v>DV_TOTALE</v>
          </cell>
          <cell r="D491" t="str">
            <v>BARRIO JESUS MORA CALLE 110</v>
          </cell>
          <cell r="E491"/>
          <cell r="F491"/>
          <cell r="G491" t="str">
            <v>ML</v>
          </cell>
          <cell r="H491">
            <v>1</v>
          </cell>
          <cell r="I491">
            <v>11.6</v>
          </cell>
          <cell r="L491">
            <v>11.6</v>
          </cell>
        </row>
        <row r="492">
          <cell r="B492" t="str">
            <v>CLL 110 CRA 15-16</v>
          </cell>
          <cell r="C492" t="str">
            <v>DV_TOTALE</v>
          </cell>
          <cell r="D492" t="str">
            <v>BARRIO JESUS MORA CALLE 110</v>
          </cell>
          <cell r="E492"/>
          <cell r="F492"/>
          <cell r="G492" t="str">
            <v>ML</v>
          </cell>
          <cell r="H492">
            <v>1</v>
          </cell>
          <cell r="I492">
            <v>114.43999999999998</v>
          </cell>
          <cell r="L492">
            <v>114.43999999999998</v>
          </cell>
        </row>
        <row r="493">
          <cell r="B493" t="str">
            <v>CRA 16 * CLL 110</v>
          </cell>
          <cell r="C493" t="str">
            <v>DV_TOTALE</v>
          </cell>
          <cell r="D493" t="str">
            <v>BARRIO JESUS MORA CALLE 110</v>
          </cell>
          <cell r="E493"/>
          <cell r="F493"/>
          <cell r="G493" t="str">
            <v>ML</v>
          </cell>
          <cell r="H493">
            <v>1</v>
          </cell>
          <cell r="I493">
            <v>14.2</v>
          </cell>
          <cell r="L493">
            <v>14.2</v>
          </cell>
        </row>
        <row r="494">
          <cell r="B494" t="str">
            <v>CLL 110 CRA 16-17</v>
          </cell>
          <cell r="C494" t="str">
            <v>DV_TOTALE</v>
          </cell>
          <cell r="D494" t="str">
            <v>BARRIO JESUS MORA CALLE 110</v>
          </cell>
          <cell r="E494"/>
          <cell r="F494"/>
          <cell r="G494" t="str">
            <v>ML</v>
          </cell>
          <cell r="H494">
            <v>1</v>
          </cell>
          <cell r="I494">
            <v>73.349999999999994</v>
          </cell>
          <cell r="L494">
            <v>73.349999999999994</v>
          </cell>
        </row>
        <row r="495">
          <cell r="B495" t="str">
            <v>CRA 17 * CLL 110</v>
          </cell>
          <cell r="C495" t="str">
            <v>DV_TOTALE</v>
          </cell>
          <cell r="D495" t="str">
            <v>BARRIO JESUS MORA CALLE 110</v>
          </cell>
          <cell r="E495"/>
          <cell r="F495"/>
          <cell r="G495" t="str">
            <v>ML</v>
          </cell>
          <cell r="H495">
            <v>1</v>
          </cell>
          <cell r="I495">
            <v>10.61</v>
          </cell>
          <cell r="L495">
            <v>10.61</v>
          </cell>
        </row>
        <row r="496">
          <cell r="B496" t="str">
            <v>CLL 110 CRA 17-18</v>
          </cell>
          <cell r="C496" t="str">
            <v>DV_TOTALE</v>
          </cell>
          <cell r="D496" t="str">
            <v>BARRIO JESUS MORA CALLE 110</v>
          </cell>
          <cell r="E496"/>
          <cell r="F496"/>
          <cell r="G496" t="str">
            <v>ML</v>
          </cell>
          <cell r="H496">
            <v>1</v>
          </cell>
          <cell r="I496">
            <v>120.88</v>
          </cell>
          <cell r="L496">
            <v>120.88</v>
          </cell>
        </row>
        <row r="497">
          <cell r="B497" t="str">
            <v>CRA 18 * CLL 110</v>
          </cell>
          <cell r="C497" t="str">
            <v>DV_TOTALE</v>
          </cell>
          <cell r="D497" t="str">
            <v>BARRIO JESUS MORA CALLE 110</v>
          </cell>
          <cell r="E497"/>
          <cell r="F497"/>
          <cell r="G497" t="str">
            <v>ML</v>
          </cell>
          <cell r="H497">
            <v>1</v>
          </cell>
          <cell r="I497">
            <v>11.64</v>
          </cell>
          <cell r="J497"/>
          <cell r="K497"/>
          <cell r="L497">
            <v>11.64</v>
          </cell>
        </row>
        <row r="498">
          <cell r="B498" t="str">
            <v>CLL 110 CRA 18-19</v>
          </cell>
          <cell r="C498" t="str">
            <v>DV_TOTALE</v>
          </cell>
          <cell r="D498" t="str">
            <v>BARRIO JESUS MORA CALLE 110</v>
          </cell>
          <cell r="E498"/>
          <cell r="F498"/>
          <cell r="G498" t="str">
            <v>ML</v>
          </cell>
          <cell r="H498">
            <v>1</v>
          </cell>
          <cell r="I498">
            <v>175.6</v>
          </cell>
          <cell r="J498"/>
          <cell r="K498"/>
          <cell r="L498">
            <v>175.6</v>
          </cell>
        </row>
        <row r="499">
          <cell r="B499" t="str">
            <v>CRA 19 * CLL 110</v>
          </cell>
          <cell r="C499" t="str">
            <v>DV_TOTALE</v>
          </cell>
          <cell r="D499" t="str">
            <v>BARRIO JESUS MORA CALLE 110</v>
          </cell>
          <cell r="E499"/>
          <cell r="F499"/>
          <cell r="G499" t="str">
            <v>ML</v>
          </cell>
          <cell r="H499">
            <v>1</v>
          </cell>
          <cell r="I499">
            <v>10.18</v>
          </cell>
          <cell r="J499"/>
          <cell r="K499"/>
          <cell r="L499">
            <v>10.18</v>
          </cell>
        </row>
        <row r="500">
          <cell r="B500" t="str">
            <v>CLL 110 CRA 19-19A</v>
          </cell>
          <cell r="C500" t="str">
            <v>DV_TOTALE</v>
          </cell>
          <cell r="D500" t="str">
            <v>BARRIO JESUS MORA CALLE 110</v>
          </cell>
          <cell r="E500"/>
          <cell r="F500"/>
          <cell r="G500" t="str">
            <v>ML</v>
          </cell>
          <cell r="H500">
            <v>1</v>
          </cell>
          <cell r="I500">
            <v>32.76</v>
          </cell>
          <cell r="J500"/>
          <cell r="K500"/>
          <cell r="L500">
            <v>32.76</v>
          </cell>
        </row>
        <row r="501">
          <cell r="B501" t="str">
            <v>CRA 19A * CLL 110</v>
          </cell>
          <cell r="C501" t="str">
            <v>DV_TOTALE</v>
          </cell>
          <cell r="D501" t="str">
            <v>BARRIO JESUS MORA CALLE 110</v>
          </cell>
          <cell r="E501"/>
          <cell r="F501"/>
          <cell r="G501" t="str">
            <v>ML</v>
          </cell>
          <cell r="H501">
            <v>1</v>
          </cell>
          <cell r="I501">
            <v>10.050000000000001</v>
          </cell>
          <cell r="J501"/>
          <cell r="K501"/>
          <cell r="L501">
            <v>10.050000000000001</v>
          </cell>
        </row>
        <row r="502">
          <cell r="B502" t="str">
            <v>CLL 110 CRA 19A-20</v>
          </cell>
          <cell r="C502" t="str">
            <v>DV_TOTALE</v>
          </cell>
          <cell r="D502" t="str">
            <v>BARRIO JESUS MORA CALLE 110</v>
          </cell>
          <cell r="E502"/>
          <cell r="F502"/>
          <cell r="G502" t="str">
            <v>ML</v>
          </cell>
          <cell r="H502">
            <v>1</v>
          </cell>
          <cell r="I502">
            <v>36.520000000000003</v>
          </cell>
          <cell r="J502"/>
          <cell r="K502"/>
          <cell r="L502">
            <v>36.520000000000003</v>
          </cell>
        </row>
        <row r="503">
          <cell r="B503" t="str">
            <v>CRA 20 * CLL 110</v>
          </cell>
          <cell r="C503" t="str">
            <v>DV_TOTALE</v>
          </cell>
          <cell r="D503" t="str">
            <v>BARRIO JESUS MORA CALLE 110</v>
          </cell>
          <cell r="E503"/>
          <cell r="F503"/>
          <cell r="G503" t="str">
            <v>ML</v>
          </cell>
          <cell r="H503">
            <v>1</v>
          </cell>
          <cell r="I503">
            <v>14.54</v>
          </cell>
          <cell r="J503"/>
          <cell r="K503"/>
          <cell r="L503">
            <v>14.54</v>
          </cell>
        </row>
        <row r="504">
          <cell r="B504" t="str">
            <v>CLL 110 CRA 20-20A</v>
          </cell>
          <cell r="C504" t="str">
            <v>DV_TOTALE</v>
          </cell>
          <cell r="D504" t="str">
            <v>BARRIO JESUS MORA CALLE 110</v>
          </cell>
          <cell r="E504"/>
          <cell r="F504"/>
          <cell r="G504" t="str">
            <v>ML</v>
          </cell>
          <cell r="H504">
            <v>1</v>
          </cell>
          <cell r="I504">
            <v>11.29</v>
          </cell>
          <cell r="J504"/>
          <cell r="K504"/>
          <cell r="L504">
            <v>11.29</v>
          </cell>
        </row>
        <row r="505">
          <cell r="B505" t="str">
            <v>CRA 20A * CLL 110</v>
          </cell>
          <cell r="C505" t="str">
            <v>DV_TOTALE</v>
          </cell>
          <cell r="D505" t="str">
            <v>BARRIO JESUS MORA CALLE 110</v>
          </cell>
          <cell r="E505"/>
          <cell r="F505"/>
          <cell r="G505" t="str">
            <v>ML</v>
          </cell>
          <cell r="H505">
            <v>1</v>
          </cell>
          <cell r="I505">
            <v>6</v>
          </cell>
          <cell r="J505"/>
          <cell r="K505"/>
          <cell r="L505">
            <v>6</v>
          </cell>
        </row>
        <row r="506">
          <cell r="B506" t="str">
            <v>CLL 110 CRA 20-21</v>
          </cell>
          <cell r="C506" t="str">
            <v>DV_TOTALE</v>
          </cell>
          <cell r="D506" t="str">
            <v>BARRIO JESUS MORA CALLE 110</v>
          </cell>
          <cell r="E506"/>
          <cell r="F506"/>
          <cell r="G506" t="str">
            <v>ML</v>
          </cell>
          <cell r="H506">
            <v>1</v>
          </cell>
          <cell r="I506">
            <v>27.05</v>
          </cell>
          <cell r="J506"/>
          <cell r="K506"/>
          <cell r="L506">
            <v>27.05</v>
          </cell>
        </row>
        <row r="507">
          <cell r="B507" t="str">
            <v>CRA 21 * CLL 110</v>
          </cell>
          <cell r="C507" t="str">
            <v>DV_TOTALE</v>
          </cell>
          <cell r="D507" t="str">
            <v>BARRIO JESUS MORA CALLE 110</v>
          </cell>
          <cell r="E507"/>
          <cell r="F507"/>
          <cell r="G507" t="str">
            <v>ML</v>
          </cell>
          <cell r="H507">
            <v>1</v>
          </cell>
          <cell r="I507">
            <v>12.8</v>
          </cell>
          <cell r="J507"/>
          <cell r="K507"/>
          <cell r="L507">
            <v>12.8</v>
          </cell>
        </row>
        <row r="508">
          <cell r="B508" t="str">
            <v>CLL 110 CRA 21-22</v>
          </cell>
          <cell r="C508" t="str">
            <v>DV_TOTALE</v>
          </cell>
          <cell r="D508" t="str">
            <v>BARRIO JESUS MORA CALLE 110</v>
          </cell>
          <cell r="E508"/>
          <cell r="F508"/>
          <cell r="G508" t="str">
            <v>ML</v>
          </cell>
          <cell r="H508">
            <v>1</v>
          </cell>
          <cell r="I508">
            <v>94.210000000000008</v>
          </cell>
          <cell r="J508"/>
          <cell r="K508"/>
          <cell r="L508">
            <v>94.210000000000008</v>
          </cell>
        </row>
        <row r="509">
          <cell r="B509" t="str">
            <v>CRA 22 * CLL 110</v>
          </cell>
          <cell r="C509" t="str">
            <v>DV_TOTALE</v>
          </cell>
          <cell r="D509" t="str">
            <v>BARRIO JESUS MORA CALLE 110</v>
          </cell>
          <cell r="E509"/>
          <cell r="F509"/>
          <cell r="G509" t="str">
            <v>ML</v>
          </cell>
          <cell r="H509">
            <v>1</v>
          </cell>
          <cell r="I509">
            <v>16.88</v>
          </cell>
          <cell r="J509"/>
          <cell r="K509"/>
          <cell r="L509">
            <v>16.88</v>
          </cell>
        </row>
        <row r="510">
          <cell r="B510" t="str">
            <v>CLL 110 CRA 22-23</v>
          </cell>
          <cell r="C510" t="str">
            <v>DV_TOTALE</v>
          </cell>
          <cell r="D510" t="str">
            <v>BARRIO JESUS MORA CALLE 110</v>
          </cell>
          <cell r="E510"/>
          <cell r="F510"/>
          <cell r="G510" t="str">
            <v>ML</v>
          </cell>
          <cell r="H510">
            <v>1</v>
          </cell>
          <cell r="I510">
            <v>85.78</v>
          </cell>
          <cell r="J510"/>
          <cell r="K510"/>
          <cell r="L510">
            <v>85.78</v>
          </cell>
        </row>
        <row r="511">
          <cell r="B511" t="str">
            <v>CRA 23 * CLL 110</v>
          </cell>
          <cell r="C511" t="str">
            <v>DV_TOTALE</v>
          </cell>
          <cell r="D511" t="str">
            <v>BARRIO JESUS MORA CALLE 110</v>
          </cell>
          <cell r="E511"/>
          <cell r="F511"/>
          <cell r="G511" t="str">
            <v>ML</v>
          </cell>
          <cell r="H511">
            <v>1</v>
          </cell>
          <cell r="I511">
            <v>11</v>
          </cell>
          <cell r="J511"/>
          <cell r="K511"/>
          <cell r="L511">
            <v>11</v>
          </cell>
        </row>
        <row r="512">
          <cell r="B512" t="str">
            <v>CLL 110 CRA 23-24</v>
          </cell>
          <cell r="C512" t="str">
            <v>DV_TOTALE</v>
          </cell>
          <cell r="D512" t="str">
            <v>BARRIO JESUS MORA CALLE 110</v>
          </cell>
          <cell r="E512"/>
          <cell r="F512"/>
          <cell r="G512" t="str">
            <v>ML</v>
          </cell>
          <cell r="H512">
            <v>1</v>
          </cell>
          <cell r="I512">
            <v>80.75</v>
          </cell>
          <cell r="J512"/>
          <cell r="K512"/>
          <cell r="L512">
            <v>80.75</v>
          </cell>
        </row>
        <row r="513">
          <cell r="B513" t="str">
            <v>CRA 24 * CLL 110</v>
          </cell>
          <cell r="C513" t="str">
            <v>DV_TOTALE</v>
          </cell>
          <cell r="D513" t="str">
            <v>BARRIO JESUS MORA CALLE 110</v>
          </cell>
          <cell r="E513"/>
          <cell r="F513"/>
          <cell r="G513" t="str">
            <v>ML</v>
          </cell>
          <cell r="H513">
            <v>1</v>
          </cell>
          <cell r="I513">
            <v>15.18</v>
          </cell>
          <cell r="L513">
            <v>15.18</v>
          </cell>
        </row>
        <row r="514">
          <cell r="B514" t="str">
            <v>CLL 110 CRA 24-25</v>
          </cell>
          <cell r="C514" t="str">
            <v>DV_TOTALE</v>
          </cell>
          <cell r="D514" t="str">
            <v>BARRIO JESUS MORA CALLE 110</v>
          </cell>
          <cell r="E514"/>
          <cell r="F514"/>
          <cell r="G514" t="str">
            <v>ML</v>
          </cell>
          <cell r="H514">
            <v>1</v>
          </cell>
          <cell r="I514">
            <v>79.25</v>
          </cell>
          <cell r="L514">
            <v>79.25</v>
          </cell>
        </row>
        <row r="515">
          <cell r="B515" t="str">
            <v>CRA 25 * CLL 110</v>
          </cell>
          <cell r="C515" t="str">
            <v>DV_TOTALE</v>
          </cell>
          <cell r="D515" t="str">
            <v>BARRIO JESUS MORA CALLE 110</v>
          </cell>
          <cell r="E515"/>
          <cell r="F515"/>
          <cell r="G515" t="str">
            <v>ML</v>
          </cell>
          <cell r="H515">
            <v>1</v>
          </cell>
          <cell r="I515">
            <v>9.83</v>
          </cell>
          <cell r="L515">
            <v>9.83</v>
          </cell>
        </row>
        <row r="516">
          <cell r="B516" t="str">
            <v>CLL 110 CRA 25-26</v>
          </cell>
          <cell r="C516" t="str">
            <v>DV_TOTALE</v>
          </cell>
          <cell r="D516" t="str">
            <v>BARRIO JESUS MORA CALLE 110</v>
          </cell>
          <cell r="E516"/>
          <cell r="F516"/>
          <cell r="G516" t="str">
            <v>ML</v>
          </cell>
          <cell r="H516">
            <v>1</v>
          </cell>
          <cell r="I516">
            <v>78.599999999999994</v>
          </cell>
          <cell r="L516">
            <v>78.599999999999994</v>
          </cell>
        </row>
        <row r="517">
          <cell r="B517" t="str">
            <v>CRA 26 * CLL 110</v>
          </cell>
          <cell r="C517" t="str">
            <v>DV_TOTALE</v>
          </cell>
          <cell r="D517" t="str">
            <v>BARRIO JESUS MORA CALLE 110</v>
          </cell>
          <cell r="E517"/>
          <cell r="F517"/>
          <cell r="G517" t="str">
            <v>ML</v>
          </cell>
          <cell r="H517">
            <v>1</v>
          </cell>
          <cell r="I517">
            <v>10.64</v>
          </cell>
          <cell r="L517">
            <v>10.64</v>
          </cell>
        </row>
        <row r="518">
          <cell r="B518" t="str">
            <v>CLL 110 CRA 26-27</v>
          </cell>
          <cell r="C518" t="str">
            <v>DV_TOTALE</v>
          </cell>
          <cell r="D518" t="str">
            <v>BARRIO JESUS MORA CALLE 110</v>
          </cell>
          <cell r="E518"/>
          <cell r="F518"/>
          <cell r="G518" t="str">
            <v>ML</v>
          </cell>
          <cell r="H518">
            <v>1</v>
          </cell>
          <cell r="I518">
            <v>79.599999999999994</v>
          </cell>
          <cell r="L518">
            <v>79.599999999999994</v>
          </cell>
        </row>
        <row r="519">
          <cell r="B519" t="str">
            <v>CRA 27 * CLL 110</v>
          </cell>
          <cell r="C519" t="str">
            <v>DV_TOTALE</v>
          </cell>
          <cell r="D519" t="str">
            <v>BARRIO JESUS MORA CALLE 110</v>
          </cell>
          <cell r="E519"/>
          <cell r="F519"/>
          <cell r="G519" t="str">
            <v>ML</v>
          </cell>
          <cell r="H519">
            <v>1</v>
          </cell>
          <cell r="I519">
            <v>13.37</v>
          </cell>
          <cell r="L519">
            <v>13.37</v>
          </cell>
        </row>
        <row r="520">
          <cell r="J520" t="str">
            <v>VALOR TOTAL</v>
          </cell>
          <cell r="K520"/>
          <cell r="L520">
            <v>9030.6</v>
          </cell>
        </row>
        <row r="522">
          <cell r="B522" t="str">
            <v>1.2</v>
          </cell>
          <cell r="C522" t="str">
            <v>DESCRIPCION</v>
          </cell>
          <cell r="D522"/>
          <cell r="E522" t="str">
            <v>Demolición mecánica , andenes, bordillos de concreto concretos existentes, pavimento rígido, incluye transporte</v>
          </cell>
          <cell r="F522"/>
          <cell r="G522"/>
          <cell r="H522"/>
          <cell r="I522" t="str">
            <v>UN</v>
          </cell>
          <cell r="J522" t="str">
            <v>M2</v>
          </cell>
          <cell r="K522" t="str">
            <v>CANTIDAD</v>
          </cell>
          <cell r="L522">
            <v>4432</v>
          </cell>
        </row>
        <row r="524">
          <cell r="B524" t="str">
            <v>REFERENCIA</v>
          </cell>
          <cell r="C524"/>
          <cell r="D524" t="str">
            <v>DESCRIPCION /LOCALIZACION</v>
          </cell>
          <cell r="E524"/>
          <cell r="F524"/>
          <cell r="G524" t="str">
            <v>UNIDAD</v>
          </cell>
          <cell r="H524" t="str">
            <v>CAN/UN</v>
          </cell>
          <cell r="I524" t="str">
            <v>LARGO</v>
          </cell>
          <cell r="J524" t="str">
            <v>ANCHO</v>
          </cell>
          <cell r="K524" t="str">
            <v>ALTURA</v>
          </cell>
          <cell r="L524" t="str">
            <v>CAN MED</v>
          </cell>
        </row>
        <row r="525">
          <cell r="B525" t="str">
            <v>CALLE 102C ENTRE CARRERA 19 - 20</v>
          </cell>
          <cell r="C525" t="str">
            <v>DV_TOTALA</v>
          </cell>
          <cell r="D525" t="str">
            <v>BARRIO CIUDADELA INDUSTRIAL</v>
          </cell>
          <cell r="E525"/>
          <cell r="F525"/>
          <cell r="G525" t="str">
            <v>M2</v>
          </cell>
          <cell r="H525">
            <v>2</v>
          </cell>
          <cell r="I525">
            <v>87.95</v>
          </cell>
          <cell r="J525">
            <v>1.2</v>
          </cell>
          <cell r="L525">
            <v>211.08</v>
          </cell>
        </row>
        <row r="526">
          <cell r="B526" t="str">
            <v>CALLE 102C ENTRE CARRERA 20 - 21</v>
          </cell>
          <cell r="C526" t="str">
            <v>DV_TOTALA</v>
          </cell>
          <cell r="D526" t="str">
            <v>BARRIO CIUDADELA INDUSTRIAL</v>
          </cell>
          <cell r="E526"/>
          <cell r="F526"/>
          <cell r="G526" t="str">
            <v>M2</v>
          </cell>
          <cell r="H526">
            <v>2</v>
          </cell>
          <cell r="I526">
            <v>93.72</v>
          </cell>
          <cell r="J526">
            <v>0.216</v>
          </cell>
          <cell r="L526">
            <v>40.48704</v>
          </cell>
        </row>
        <row r="527">
          <cell r="B527" t="str">
            <v>CALLE 102B ENTRE CARRERA 19 - 20</v>
          </cell>
          <cell r="C527" t="str">
            <v>DV_TOTALA</v>
          </cell>
          <cell r="D527" t="str">
            <v>BARRIO CIUDADELA INDUSTRIAL</v>
          </cell>
          <cell r="E527"/>
          <cell r="F527"/>
          <cell r="G527" t="str">
            <v>M2</v>
          </cell>
          <cell r="H527">
            <v>2</v>
          </cell>
          <cell r="I527">
            <v>79.709999999999994</v>
          </cell>
          <cell r="J527">
            <v>0.216</v>
          </cell>
          <cell r="L527">
            <v>34.434719999999999</v>
          </cell>
        </row>
        <row r="528">
          <cell r="B528" t="str">
            <v>CALLE 102B ENTRE CARRERA 20 - 21</v>
          </cell>
          <cell r="C528" t="str">
            <v>DV_TOTALA</v>
          </cell>
          <cell r="D528" t="str">
            <v>BARRIO CIUDADELA INDUSTRIAL</v>
          </cell>
          <cell r="E528"/>
          <cell r="F528"/>
          <cell r="G528" t="str">
            <v>M2</v>
          </cell>
          <cell r="H528">
            <v>2</v>
          </cell>
          <cell r="I528">
            <v>93.02</v>
          </cell>
          <cell r="J528">
            <v>0.216</v>
          </cell>
          <cell r="L528">
            <v>40.184639999999995</v>
          </cell>
        </row>
        <row r="529">
          <cell r="B529" t="str">
            <v>CALLE 102B ENTRE CARRERA 20 - 21A</v>
          </cell>
          <cell r="C529" t="str">
            <v>DV_TOTALA</v>
          </cell>
          <cell r="D529" t="str">
            <v>BARRIO CIUDADELA INDUSTRIAL</v>
          </cell>
          <cell r="E529"/>
          <cell r="F529"/>
          <cell r="G529" t="str">
            <v>M2</v>
          </cell>
          <cell r="H529">
            <v>2</v>
          </cell>
          <cell r="I529">
            <v>48.73</v>
          </cell>
          <cell r="J529">
            <v>0.216</v>
          </cell>
          <cell r="L529">
            <v>21.051359999999999</v>
          </cell>
        </row>
        <row r="530">
          <cell r="B530" t="str">
            <v>CARRERA 20 ENTRE CALLE 102 B Y 102 C</v>
          </cell>
          <cell r="C530" t="str">
            <v>DV_TOTALA</v>
          </cell>
          <cell r="D530" t="str">
            <v>BARRIO CIUDADELA INDUSTRIAL</v>
          </cell>
          <cell r="E530"/>
          <cell r="F530"/>
          <cell r="G530" t="str">
            <v>M2</v>
          </cell>
          <cell r="H530">
            <v>2</v>
          </cell>
          <cell r="I530">
            <v>44.93</v>
          </cell>
          <cell r="J530">
            <v>0.216</v>
          </cell>
          <cell r="L530">
            <v>19.409759999999999</v>
          </cell>
        </row>
        <row r="531">
          <cell r="B531" t="str">
            <v>CARRERA 20 ENTRE CALLE 102 C Y 102D</v>
          </cell>
          <cell r="C531" t="str">
            <v>DV_TOTALA</v>
          </cell>
          <cell r="D531" t="str">
            <v>BARRIO CIUDADELA INDUSTRIAL</v>
          </cell>
          <cell r="E531"/>
          <cell r="F531"/>
          <cell r="G531" t="str">
            <v>M2</v>
          </cell>
          <cell r="H531">
            <v>2</v>
          </cell>
          <cell r="I531">
            <v>42.8</v>
          </cell>
          <cell r="J531">
            <v>0.216</v>
          </cell>
          <cell r="L531">
            <v>18.489599999999999</v>
          </cell>
        </row>
        <row r="532">
          <cell r="B532" t="str">
            <v>CARRERA 21 ENTRE CALLE 102 B Y 102 C</v>
          </cell>
          <cell r="C532" t="str">
            <v>DV_TOTALA</v>
          </cell>
          <cell r="D532" t="str">
            <v>BARRIO CIUDADELA INDUSTRIAL</v>
          </cell>
          <cell r="E532"/>
          <cell r="F532"/>
          <cell r="G532" t="str">
            <v>M2</v>
          </cell>
          <cell r="H532">
            <v>2</v>
          </cell>
          <cell r="I532">
            <v>45</v>
          </cell>
          <cell r="J532">
            <v>0.216</v>
          </cell>
          <cell r="L532">
            <v>19.440000000000001</v>
          </cell>
        </row>
        <row r="533">
          <cell r="B533" t="str">
            <v>CARRERA 21 ENTRE CALLE 102 C Y 102D</v>
          </cell>
          <cell r="C533" t="str">
            <v>DV_TOTALA</v>
          </cell>
          <cell r="D533" t="str">
            <v>BARRIO CIUDADELA INDUSTRIAL</v>
          </cell>
          <cell r="E533"/>
          <cell r="F533"/>
          <cell r="G533" t="str">
            <v>M2</v>
          </cell>
          <cell r="H533">
            <v>2</v>
          </cell>
          <cell r="I533">
            <v>40.57</v>
          </cell>
          <cell r="J533">
            <v>0.216</v>
          </cell>
          <cell r="L533">
            <v>17.526240000000001</v>
          </cell>
        </row>
        <row r="534">
          <cell r="B534" t="str">
            <v>CALLE 102D ENTRE CARRERA 20 - 21</v>
          </cell>
          <cell r="C534" t="str">
            <v>DV_TOTALA</v>
          </cell>
          <cell r="D534" t="str">
            <v>BARRIO CIUDADELA INDUSTRIAL</v>
          </cell>
          <cell r="E534"/>
          <cell r="F534"/>
          <cell r="G534" t="str">
            <v>M2</v>
          </cell>
          <cell r="H534">
            <v>2</v>
          </cell>
          <cell r="I534">
            <v>102.75</v>
          </cell>
          <cell r="J534">
            <v>0.216</v>
          </cell>
          <cell r="L534">
            <v>44.387999999999998</v>
          </cell>
        </row>
        <row r="535">
          <cell r="B535" t="str">
            <v>CALLE 102A ENTRE CARRERA 17 - 19</v>
          </cell>
          <cell r="C535" t="str">
            <v>DV_TOTALB</v>
          </cell>
          <cell r="D535" t="str">
            <v>BARRIO JUAN XXIII</v>
          </cell>
          <cell r="E535"/>
          <cell r="F535"/>
          <cell r="G535" t="str">
            <v>M2</v>
          </cell>
          <cell r="H535">
            <v>2</v>
          </cell>
          <cell r="I535">
            <v>180.84</v>
          </cell>
          <cell r="J535">
            <v>0.216</v>
          </cell>
          <cell r="L535">
            <v>78.122879999999995</v>
          </cell>
        </row>
        <row r="536">
          <cell r="B536" t="str">
            <v>CALLE 102B ENTRE CARRERA 17 - 19</v>
          </cell>
          <cell r="C536" t="str">
            <v>DV_TOTALB</v>
          </cell>
          <cell r="D536" t="str">
            <v>BARRIO JUAN XXIII</v>
          </cell>
          <cell r="E536"/>
          <cell r="F536"/>
          <cell r="G536" t="str">
            <v>M2</v>
          </cell>
          <cell r="H536">
            <v>2</v>
          </cell>
          <cell r="I536">
            <v>129.94</v>
          </cell>
          <cell r="J536">
            <v>0.216</v>
          </cell>
          <cell r="L536">
            <v>56.134079999999997</v>
          </cell>
        </row>
        <row r="537">
          <cell r="B537" t="str">
            <v>CALLE 102 ENTRE CARRERA 17 - 17A</v>
          </cell>
          <cell r="C537" t="str">
            <v>DV_TOTALB</v>
          </cell>
          <cell r="D537" t="str">
            <v>BARRIO JUAN XXIII</v>
          </cell>
          <cell r="E537"/>
          <cell r="F537"/>
          <cell r="G537" t="str">
            <v>M2</v>
          </cell>
          <cell r="H537">
            <v>2</v>
          </cell>
          <cell r="I537">
            <v>143.56</v>
          </cell>
          <cell r="J537">
            <v>0.216</v>
          </cell>
          <cell r="L537">
            <v>62.017920000000004</v>
          </cell>
        </row>
        <row r="538">
          <cell r="B538" t="str">
            <v>CALLE 102 ENTRE CARRERA 17A - 19</v>
          </cell>
          <cell r="C538" t="str">
            <v>DV_TOTALB</v>
          </cell>
          <cell r="D538" t="str">
            <v>BARRIO JUAN XXIII</v>
          </cell>
          <cell r="E538"/>
          <cell r="F538"/>
          <cell r="G538" t="str">
            <v>M2</v>
          </cell>
          <cell r="H538">
            <v>2</v>
          </cell>
          <cell r="I538">
            <v>86.13</v>
          </cell>
          <cell r="J538">
            <v>0.216</v>
          </cell>
          <cell r="L538">
            <v>37.208159999999999</v>
          </cell>
        </row>
        <row r="539">
          <cell r="B539" t="str">
            <v>CALLE 101 ENTRE CARRERA 17 - 17A</v>
          </cell>
          <cell r="C539" t="str">
            <v>DV_TOTALB</v>
          </cell>
          <cell r="D539" t="str">
            <v>BARRIO JUAN XXIII</v>
          </cell>
          <cell r="E539"/>
          <cell r="F539"/>
          <cell r="G539" t="str">
            <v>M2</v>
          </cell>
          <cell r="H539">
            <v>2</v>
          </cell>
          <cell r="I539">
            <v>155.94999999999999</v>
          </cell>
          <cell r="J539">
            <v>0.216</v>
          </cell>
          <cell r="L539">
            <v>67.370399999999989</v>
          </cell>
        </row>
        <row r="540">
          <cell r="B540" t="str">
            <v>CRA 17A ENTRE CALLE 101 Y 102</v>
          </cell>
          <cell r="C540" t="str">
            <v>DV_TOTALB</v>
          </cell>
          <cell r="D540" t="str">
            <v>BARRIO JUAN XXIII</v>
          </cell>
          <cell r="E540"/>
          <cell r="F540"/>
          <cell r="G540" t="str">
            <v>M2</v>
          </cell>
          <cell r="H540">
            <v>2</v>
          </cell>
          <cell r="I540">
            <v>44.239999999999995</v>
          </cell>
          <cell r="J540">
            <v>0.216</v>
          </cell>
          <cell r="L540">
            <v>19.111679999999996</v>
          </cell>
        </row>
        <row r="541">
          <cell r="B541" t="str">
            <v>CRA 17 ENTRE CALLE 100 Y 101</v>
          </cell>
          <cell r="C541" t="str">
            <v>DV_TOTALB</v>
          </cell>
          <cell r="D541" t="str">
            <v>BARRIO JUAN XXIII</v>
          </cell>
          <cell r="E541"/>
          <cell r="F541"/>
          <cell r="G541" t="str">
            <v>M2</v>
          </cell>
          <cell r="H541">
            <v>2</v>
          </cell>
          <cell r="I541">
            <v>100.75</v>
          </cell>
          <cell r="J541">
            <v>0.216</v>
          </cell>
          <cell r="L541">
            <v>43.524000000000001</v>
          </cell>
        </row>
        <row r="542">
          <cell r="B542" t="str">
            <v>CRA 17 ENTRE CALLE 101 Y 102</v>
          </cell>
          <cell r="C542" t="str">
            <v>DV_TOTALB</v>
          </cell>
          <cell r="D542" t="str">
            <v>BARRIO JUAN XXIII</v>
          </cell>
          <cell r="E542"/>
          <cell r="F542"/>
          <cell r="G542" t="str">
            <v>M2</v>
          </cell>
          <cell r="H542">
            <v>2</v>
          </cell>
          <cell r="I542">
            <v>72.400000000000006</v>
          </cell>
          <cell r="J542">
            <v>0.216</v>
          </cell>
          <cell r="L542">
            <v>31.276800000000001</v>
          </cell>
        </row>
        <row r="543">
          <cell r="B543" t="str">
            <v>CRA 17 ENTRE CALLE 102 Y 102A</v>
          </cell>
          <cell r="C543" t="str">
            <v>DV_TOTALB</v>
          </cell>
          <cell r="D543" t="str">
            <v>BARRIO JUAN XXIII</v>
          </cell>
          <cell r="E543"/>
          <cell r="F543"/>
          <cell r="G543" t="str">
            <v>M2</v>
          </cell>
          <cell r="H543">
            <v>2</v>
          </cell>
          <cell r="I543">
            <v>56.95</v>
          </cell>
          <cell r="J543">
            <v>0.216</v>
          </cell>
          <cell r="L543">
            <v>24.602399999999999</v>
          </cell>
        </row>
        <row r="544">
          <cell r="B544" t="str">
            <v>CRA 17 ENTRE CALLE 102A Y 102B</v>
          </cell>
          <cell r="C544" t="str">
            <v>DV_TOTALB</v>
          </cell>
          <cell r="D544" t="str">
            <v>BARRIO JUAN XXIII</v>
          </cell>
          <cell r="E544"/>
          <cell r="F544"/>
          <cell r="G544" t="str">
            <v>M2</v>
          </cell>
          <cell r="H544">
            <v>2</v>
          </cell>
          <cell r="I544">
            <v>57.339999999999996</v>
          </cell>
          <cell r="J544">
            <v>0.216</v>
          </cell>
          <cell r="L544">
            <v>24.770879999999998</v>
          </cell>
        </row>
        <row r="545">
          <cell r="B545" t="str">
            <v>CALLE 99E ENTRE CRA 16A-LOTE</v>
          </cell>
          <cell r="C545" t="str">
            <v>DV_TOTALC</v>
          </cell>
          <cell r="D545" t="str">
            <v>BARRIO LAS DELICIAS</v>
          </cell>
          <cell r="E545"/>
          <cell r="F545"/>
          <cell r="G545" t="str">
            <v>M2</v>
          </cell>
          <cell r="H545">
            <v>2</v>
          </cell>
          <cell r="I545">
            <v>71.13</v>
          </cell>
          <cell r="J545">
            <v>0.216</v>
          </cell>
          <cell r="L545">
            <v>30.728159999999999</v>
          </cell>
        </row>
        <row r="546">
          <cell r="B546" t="str">
            <v>CALLE 99E ENTRE CRA 16A Y 17</v>
          </cell>
          <cell r="C546" t="str">
            <v>DV_TOTALC</v>
          </cell>
          <cell r="D546" t="str">
            <v>BARRIO LAS DELICIAS</v>
          </cell>
          <cell r="E546"/>
          <cell r="F546"/>
          <cell r="G546" t="str">
            <v>M2</v>
          </cell>
          <cell r="H546">
            <v>2</v>
          </cell>
          <cell r="I546">
            <v>74.91</v>
          </cell>
          <cell r="J546">
            <v>0.216</v>
          </cell>
          <cell r="L546">
            <v>32.36112</v>
          </cell>
        </row>
        <row r="547">
          <cell r="B547" t="str">
            <v>CALLE 99D ENTRE CRA 16A Y 17</v>
          </cell>
          <cell r="C547" t="str">
            <v>DV_TOTALC</v>
          </cell>
          <cell r="D547" t="str">
            <v>BARRIO LAS DELICIAS</v>
          </cell>
          <cell r="E547"/>
          <cell r="F547"/>
          <cell r="G547" t="str">
            <v>M2</v>
          </cell>
          <cell r="H547">
            <v>2</v>
          </cell>
          <cell r="I547">
            <v>69.63</v>
          </cell>
          <cell r="J547">
            <v>0.216</v>
          </cell>
          <cell r="L547">
            <v>30.080159999999999</v>
          </cell>
        </row>
        <row r="548">
          <cell r="B548" t="str">
            <v>CALLE 99C ENTRE CRA 16A Y 17</v>
          </cell>
          <cell r="C548" t="str">
            <v>DV_TOTALC</v>
          </cell>
          <cell r="D548" t="str">
            <v>BARRIO LAS DELICIAS</v>
          </cell>
          <cell r="E548"/>
          <cell r="F548"/>
          <cell r="G548" t="str">
            <v>M2</v>
          </cell>
          <cell r="H548">
            <v>2</v>
          </cell>
          <cell r="I548">
            <v>63.64</v>
          </cell>
          <cell r="J548">
            <v>0.216</v>
          </cell>
          <cell r="L548">
            <v>27.49248</v>
          </cell>
        </row>
        <row r="549">
          <cell r="B549" t="str">
            <v>CALLE 99B ENTRE CRA 16A Y 17</v>
          </cell>
          <cell r="C549" t="str">
            <v>DV_TOTALC</v>
          </cell>
          <cell r="D549" t="str">
            <v>BARRIO LAS DELICIAS</v>
          </cell>
          <cell r="E549"/>
          <cell r="F549"/>
          <cell r="G549" t="str">
            <v>M2</v>
          </cell>
          <cell r="H549">
            <v>2</v>
          </cell>
          <cell r="I549">
            <v>54.67</v>
          </cell>
          <cell r="J549">
            <v>0.216</v>
          </cell>
          <cell r="L549">
            <v>23.617440000000002</v>
          </cell>
        </row>
        <row r="550">
          <cell r="B550" t="str">
            <v>CALLE 99A ENTRE CRA 16A Y 16</v>
          </cell>
          <cell r="C550" t="str">
            <v>DV_TOTALC</v>
          </cell>
          <cell r="D550" t="str">
            <v>BARRIO LAS DELICIAS</v>
          </cell>
          <cell r="E550"/>
          <cell r="F550"/>
          <cell r="G550" t="str">
            <v>M2</v>
          </cell>
          <cell r="H550">
            <v>2</v>
          </cell>
          <cell r="I550">
            <v>67</v>
          </cell>
          <cell r="J550">
            <v>0.216</v>
          </cell>
          <cell r="L550">
            <v>28.943999999999999</v>
          </cell>
        </row>
        <row r="551">
          <cell r="B551" t="str">
            <v>CALLE 99A ENTRE CRA 16A Y 17</v>
          </cell>
          <cell r="C551" t="str">
            <v>DV_TOTALC</v>
          </cell>
          <cell r="D551" t="str">
            <v>BARRIO LAS DELICIAS</v>
          </cell>
          <cell r="E551"/>
          <cell r="F551"/>
          <cell r="G551" t="str">
            <v>M2</v>
          </cell>
          <cell r="H551">
            <v>2</v>
          </cell>
          <cell r="I551">
            <v>49.3</v>
          </cell>
          <cell r="J551">
            <v>0.216</v>
          </cell>
          <cell r="L551">
            <v>21.297599999999999</v>
          </cell>
        </row>
        <row r="552">
          <cell r="B552" t="str">
            <v>CALLE 99A ENTRE CRA 17 Y 19</v>
          </cell>
          <cell r="C552" t="str">
            <v>DV_TOTALC</v>
          </cell>
          <cell r="D552" t="str">
            <v>BARRIO LAS DELICIAS</v>
          </cell>
          <cell r="E552"/>
          <cell r="F552"/>
          <cell r="G552" t="str">
            <v>M2</v>
          </cell>
          <cell r="H552">
            <v>2</v>
          </cell>
          <cell r="I552">
            <v>150</v>
          </cell>
          <cell r="J552">
            <v>0.216</v>
          </cell>
          <cell r="L552">
            <v>64.8</v>
          </cell>
        </row>
        <row r="553">
          <cell r="B553" t="str">
            <v xml:space="preserve">CALLE 99AA ENTRE CRA 17 Y 19 </v>
          </cell>
          <cell r="C553" t="str">
            <v>DV_TOTALC</v>
          </cell>
          <cell r="D553" t="str">
            <v>BARRIO LAS DELICIAS</v>
          </cell>
          <cell r="E553"/>
          <cell r="F553"/>
          <cell r="G553" t="str">
            <v>M2</v>
          </cell>
          <cell r="H553">
            <v>2</v>
          </cell>
          <cell r="I553">
            <v>150</v>
          </cell>
          <cell r="J553">
            <v>0.216</v>
          </cell>
          <cell r="L553">
            <v>64.8</v>
          </cell>
        </row>
        <row r="554">
          <cell r="B554" t="str">
            <v>CARRERA 17 ENTRE CALLE 99 Y 99AA</v>
          </cell>
          <cell r="C554" t="str">
            <v>DV_TOTALC</v>
          </cell>
          <cell r="D554" t="str">
            <v>BARRIO LAS DELICIAS</v>
          </cell>
          <cell r="E554"/>
          <cell r="F554"/>
          <cell r="G554" t="str">
            <v>M2</v>
          </cell>
          <cell r="H554">
            <v>2</v>
          </cell>
          <cell r="I554">
            <v>54</v>
          </cell>
          <cell r="J554">
            <v>0.216</v>
          </cell>
          <cell r="L554">
            <v>23.327999999999999</v>
          </cell>
        </row>
        <row r="555">
          <cell r="B555" t="str">
            <v>CARRERA 17 ENTRE CALLE 99AA Y 99A</v>
          </cell>
          <cell r="C555" t="str">
            <v>DV_TOTALC</v>
          </cell>
          <cell r="D555" t="str">
            <v>BARRIO LAS DELICIAS</v>
          </cell>
          <cell r="E555"/>
          <cell r="F555"/>
          <cell r="G555" t="str">
            <v>M2</v>
          </cell>
          <cell r="H555">
            <v>2</v>
          </cell>
          <cell r="I555">
            <v>56.37</v>
          </cell>
          <cell r="J555">
            <v>0.216</v>
          </cell>
          <cell r="L555">
            <v>24.351839999999999</v>
          </cell>
        </row>
        <row r="556">
          <cell r="B556" t="str">
            <v>CARRERA 17 ENTRE CALLE 99A Y 99B</v>
          </cell>
          <cell r="C556" t="str">
            <v>DV_TOTALC</v>
          </cell>
          <cell r="D556" t="str">
            <v>BARRIO LAS DELICIAS</v>
          </cell>
          <cell r="E556"/>
          <cell r="F556"/>
          <cell r="G556" t="str">
            <v>M2</v>
          </cell>
          <cell r="H556">
            <v>2</v>
          </cell>
          <cell r="I556">
            <v>23.93</v>
          </cell>
          <cell r="J556">
            <v>0.216</v>
          </cell>
          <cell r="L556">
            <v>10.337759999999999</v>
          </cell>
        </row>
        <row r="557">
          <cell r="B557" t="str">
            <v>CARRERA 17 ENTRE CALLE 99B Y 99E</v>
          </cell>
          <cell r="C557" t="str">
            <v>DV_TOTALC</v>
          </cell>
          <cell r="D557" t="str">
            <v>BARRIO LAS DELICIAS</v>
          </cell>
          <cell r="E557"/>
          <cell r="F557"/>
          <cell r="G557" t="str">
            <v>M2</v>
          </cell>
          <cell r="H557">
            <v>2</v>
          </cell>
          <cell r="I557">
            <v>82.740000000000009</v>
          </cell>
          <cell r="J557">
            <v>0.216</v>
          </cell>
          <cell r="L557">
            <v>35.743680000000005</v>
          </cell>
        </row>
        <row r="558">
          <cell r="B558" t="str">
            <v>CARRERA 17 ENTRE CALLE 99E Y 99F</v>
          </cell>
          <cell r="C558" t="str">
            <v>DV_TOTALC</v>
          </cell>
          <cell r="D558" t="str">
            <v>BARRIO LAS DELICIAS</v>
          </cell>
          <cell r="E558"/>
          <cell r="F558"/>
          <cell r="G558" t="str">
            <v>M2</v>
          </cell>
          <cell r="H558">
            <v>2</v>
          </cell>
          <cell r="I558">
            <v>37.61</v>
          </cell>
          <cell r="J558">
            <v>0.216</v>
          </cell>
          <cell r="L558">
            <v>16.247519999999998</v>
          </cell>
        </row>
        <row r="559">
          <cell r="B559" t="str">
            <v>CARRERA 17 ENTRE CALLE 99F Y 100</v>
          </cell>
          <cell r="C559" t="str">
            <v>DV_TOTALC</v>
          </cell>
          <cell r="D559" t="str">
            <v>BARRIO LAS DELICIAS</v>
          </cell>
          <cell r="E559"/>
          <cell r="F559"/>
          <cell r="G559" t="str">
            <v>M2</v>
          </cell>
          <cell r="H559">
            <v>2</v>
          </cell>
          <cell r="I559">
            <v>74</v>
          </cell>
          <cell r="J559">
            <v>0.216</v>
          </cell>
          <cell r="L559">
            <v>31.968</v>
          </cell>
        </row>
        <row r="560">
          <cell r="B560" t="str">
            <v>CARRERA 17A ENTRE CALLE 99 Y 99A</v>
          </cell>
          <cell r="C560" t="str">
            <v>DV_TOTALC</v>
          </cell>
          <cell r="D560" t="str">
            <v>BARRIO LAS DELICIAS</v>
          </cell>
          <cell r="E560"/>
          <cell r="F560"/>
          <cell r="G560" t="str">
            <v>M2</v>
          </cell>
          <cell r="H560">
            <v>2</v>
          </cell>
          <cell r="I560">
            <v>107.91</v>
          </cell>
          <cell r="J560">
            <v>0.216</v>
          </cell>
          <cell r="L560">
            <v>46.61712</v>
          </cell>
        </row>
        <row r="561">
          <cell r="B561" t="str">
            <v>CARRERA 17 ENTRE CALLE 99A Y 99E</v>
          </cell>
          <cell r="C561" t="str">
            <v>DV_TOTALC</v>
          </cell>
          <cell r="D561" t="str">
            <v>BARRIO LAS DELICIAS</v>
          </cell>
          <cell r="E561"/>
          <cell r="F561"/>
          <cell r="G561" t="str">
            <v>M2</v>
          </cell>
          <cell r="H561">
            <v>2</v>
          </cell>
          <cell r="I561">
            <v>122.36000000000001</v>
          </cell>
          <cell r="J561">
            <v>0.216</v>
          </cell>
          <cell r="L561">
            <v>52.859520000000003</v>
          </cell>
        </row>
        <row r="562">
          <cell r="B562" t="str">
            <v>CARRERA 17 ENTRE CALLE 99A Y 99B</v>
          </cell>
          <cell r="C562" t="str">
            <v>DV_TOTALC</v>
          </cell>
          <cell r="D562" t="str">
            <v>BARRIO LAS DELICIAS</v>
          </cell>
          <cell r="E562"/>
          <cell r="F562"/>
          <cell r="G562" t="str">
            <v>M2</v>
          </cell>
          <cell r="H562">
            <v>2</v>
          </cell>
          <cell r="I562">
            <v>44</v>
          </cell>
          <cell r="J562">
            <v>0.216</v>
          </cell>
          <cell r="L562">
            <v>19.007999999999999</v>
          </cell>
        </row>
        <row r="563">
          <cell r="B563" t="str">
            <v>CALLE 97A ENTRE CRA 19-20</v>
          </cell>
          <cell r="C563" t="str">
            <v>DV_TOTALD</v>
          </cell>
          <cell r="D563" t="str">
            <v>BARRIO EL BOSQUE</v>
          </cell>
          <cell r="E563"/>
          <cell r="F563"/>
          <cell r="G563" t="str">
            <v>M2</v>
          </cell>
          <cell r="H563">
            <v>2</v>
          </cell>
          <cell r="I563">
            <v>102.49</v>
          </cell>
          <cell r="J563">
            <v>0.216</v>
          </cell>
          <cell r="L563">
            <v>44.275679999999994</v>
          </cell>
        </row>
        <row r="564">
          <cell r="B564" t="str">
            <v>CALLE 97A ENTRE CRA 20-21</v>
          </cell>
          <cell r="C564" t="str">
            <v>DV_TOTALD</v>
          </cell>
          <cell r="D564" t="str">
            <v>BARRIO EL BOSQUE</v>
          </cell>
          <cell r="E564"/>
          <cell r="F564"/>
          <cell r="G564" t="str">
            <v>M2</v>
          </cell>
          <cell r="H564">
            <v>2</v>
          </cell>
          <cell r="I564">
            <v>96.72999999999999</v>
          </cell>
          <cell r="J564">
            <v>0.216</v>
          </cell>
          <cell r="L564">
            <v>41.787359999999993</v>
          </cell>
        </row>
        <row r="565">
          <cell r="B565" t="str">
            <v>CALLE 97A ENTRE CRA 21-22</v>
          </cell>
          <cell r="C565" t="str">
            <v>DV_TOTALD</v>
          </cell>
          <cell r="D565" t="str">
            <v>BARRIO EL BOSQUE</v>
          </cell>
          <cell r="E565"/>
          <cell r="F565"/>
          <cell r="G565" t="str">
            <v>M2</v>
          </cell>
          <cell r="H565">
            <v>2</v>
          </cell>
          <cell r="I565">
            <v>102.87</v>
          </cell>
          <cell r="J565">
            <v>0.216</v>
          </cell>
          <cell r="L565">
            <v>44.439840000000004</v>
          </cell>
        </row>
        <row r="566">
          <cell r="B566" t="str">
            <v>CALLE 97 ENTRE CRA 15-16</v>
          </cell>
          <cell r="C566" t="str">
            <v>DV_TOTALD</v>
          </cell>
          <cell r="D566" t="str">
            <v>BARRIO EL BOSQUE</v>
          </cell>
          <cell r="E566"/>
          <cell r="F566"/>
          <cell r="G566" t="str">
            <v>M2</v>
          </cell>
          <cell r="H566">
            <v>2</v>
          </cell>
          <cell r="I566">
            <v>66.39</v>
          </cell>
          <cell r="J566">
            <v>0.216</v>
          </cell>
          <cell r="L566">
            <v>28.680479999999999</v>
          </cell>
        </row>
        <row r="567">
          <cell r="B567" t="str">
            <v>CALLE 97 ENTRE CRA 16-17</v>
          </cell>
          <cell r="C567" t="str">
            <v>DV_TOTALD</v>
          </cell>
          <cell r="D567" t="str">
            <v>BARRIO EL BOSQUE</v>
          </cell>
          <cell r="E567"/>
          <cell r="F567"/>
          <cell r="G567" t="str">
            <v>M2</v>
          </cell>
          <cell r="H567">
            <v>2</v>
          </cell>
          <cell r="I567">
            <v>47.15</v>
          </cell>
          <cell r="J567">
            <v>0.216</v>
          </cell>
          <cell r="L567">
            <v>20.3688</v>
          </cell>
        </row>
        <row r="568">
          <cell r="B568" t="str">
            <v>CALLE 97 ENTRE CRA 17-19</v>
          </cell>
          <cell r="C568" t="str">
            <v>DV_TOTALD</v>
          </cell>
          <cell r="D568" t="str">
            <v>BARRIO EL BOSQUE</v>
          </cell>
          <cell r="E568"/>
          <cell r="F568"/>
          <cell r="G568" t="str">
            <v>M2</v>
          </cell>
          <cell r="H568">
            <v>2</v>
          </cell>
          <cell r="I568">
            <v>111.63</v>
          </cell>
          <cell r="J568">
            <v>0.216</v>
          </cell>
          <cell r="L568">
            <v>48.224159999999998</v>
          </cell>
        </row>
        <row r="569">
          <cell r="B569" t="str">
            <v>CALLE 97 ENTRE CRA 19-20</v>
          </cell>
          <cell r="C569" t="str">
            <v>DV_TOTALD</v>
          </cell>
          <cell r="D569" t="str">
            <v>BARRIO EL BOSQUE</v>
          </cell>
          <cell r="E569"/>
          <cell r="F569"/>
          <cell r="G569" t="str">
            <v>M2</v>
          </cell>
          <cell r="H569">
            <v>2</v>
          </cell>
          <cell r="I569">
            <v>98.31</v>
          </cell>
          <cell r="J569">
            <v>0.216</v>
          </cell>
          <cell r="L569">
            <v>42.469920000000002</v>
          </cell>
        </row>
        <row r="570">
          <cell r="B570" t="str">
            <v>CALLE 97 ENTRE CRA 20-21</v>
          </cell>
          <cell r="C570" t="str">
            <v>DV_TOTALD</v>
          </cell>
          <cell r="D570" t="str">
            <v>BARRIO EL BOSQUE</v>
          </cell>
          <cell r="E570"/>
          <cell r="F570"/>
          <cell r="G570" t="str">
            <v>M2</v>
          </cell>
          <cell r="H570">
            <v>2</v>
          </cell>
          <cell r="I570">
            <v>101.73</v>
          </cell>
          <cell r="J570">
            <v>0.216</v>
          </cell>
          <cell r="L570">
            <v>43.947360000000003</v>
          </cell>
        </row>
        <row r="571">
          <cell r="B571" t="str">
            <v>CALLE 97 ENTRE CRA 21-22</v>
          </cell>
          <cell r="C571" t="str">
            <v>DV_TOTALD</v>
          </cell>
          <cell r="D571" t="str">
            <v>BARRIO EL BOSQUE</v>
          </cell>
          <cell r="E571"/>
          <cell r="F571"/>
          <cell r="G571" t="str">
            <v>M2</v>
          </cell>
          <cell r="H571">
            <v>2</v>
          </cell>
          <cell r="I571">
            <v>101.04</v>
          </cell>
          <cell r="J571">
            <v>0.216</v>
          </cell>
          <cell r="L571">
            <v>43.649280000000005</v>
          </cell>
        </row>
        <row r="572">
          <cell r="B572" t="str">
            <v>CALLE 96A ENTRE CRA 15-17</v>
          </cell>
          <cell r="C572" t="str">
            <v>DV_TOTALD</v>
          </cell>
          <cell r="D572" t="str">
            <v>BARRIO EL BOSQUE</v>
          </cell>
          <cell r="E572"/>
          <cell r="F572"/>
          <cell r="G572" t="str">
            <v>M2</v>
          </cell>
          <cell r="H572">
            <v>2</v>
          </cell>
          <cell r="I572">
            <v>111.7</v>
          </cell>
          <cell r="J572">
            <v>0.216</v>
          </cell>
          <cell r="L572">
            <v>48.254400000000004</v>
          </cell>
        </row>
        <row r="573">
          <cell r="B573" t="str">
            <v>CALLE 96A ENTRE CRA 17-19</v>
          </cell>
          <cell r="C573" t="str">
            <v>DV_TOTALD</v>
          </cell>
          <cell r="D573" t="str">
            <v>BARRIO EL BOSQUE</v>
          </cell>
          <cell r="E573"/>
          <cell r="F573"/>
          <cell r="G573" t="str">
            <v>M2</v>
          </cell>
          <cell r="H573">
            <v>2</v>
          </cell>
          <cell r="I573">
            <v>108.14</v>
          </cell>
          <cell r="J573">
            <v>0.216</v>
          </cell>
          <cell r="L573">
            <v>46.716479999999997</v>
          </cell>
        </row>
        <row r="574">
          <cell r="B574" t="str">
            <v>CALLE 96A ENTRE CRA 19-20</v>
          </cell>
          <cell r="C574" t="str">
            <v>DV_TOTALD</v>
          </cell>
          <cell r="D574" t="str">
            <v>BARRIO EL BOSQUE</v>
          </cell>
          <cell r="E574"/>
          <cell r="F574"/>
          <cell r="G574" t="str">
            <v>M2</v>
          </cell>
          <cell r="H574">
            <v>2</v>
          </cell>
          <cell r="I574">
            <v>99.02</v>
          </cell>
          <cell r="J574">
            <v>0.216</v>
          </cell>
          <cell r="L574">
            <v>42.77664</v>
          </cell>
        </row>
        <row r="575">
          <cell r="B575" t="str">
            <v>CALLE 96A ENTRE CRA 20-21</v>
          </cell>
          <cell r="C575" t="str">
            <v>DV_TOTALD</v>
          </cell>
          <cell r="D575" t="str">
            <v>BARRIO EL BOSQUE</v>
          </cell>
          <cell r="E575"/>
          <cell r="F575"/>
          <cell r="G575" t="str">
            <v>M2</v>
          </cell>
          <cell r="H575">
            <v>2</v>
          </cell>
          <cell r="I575">
            <v>101.32</v>
          </cell>
          <cell r="J575">
            <v>0.216</v>
          </cell>
          <cell r="L575">
            <v>43.770239999999994</v>
          </cell>
        </row>
        <row r="576">
          <cell r="B576" t="str">
            <v>CALLE 96A ENTRE CRA 21-22</v>
          </cell>
          <cell r="C576" t="str">
            <v>DV_TOTALD</v>
          </cell>
          <cell r="D576" t="str">
            <v>BARRIO EL BOSQUE</v>
          </cell>
          <cell r="E576"/>
          <cell r="F576"/>
          <cell r="G576" t="str">
            <v>M2</v>
          </cell>
          <cell r="H576">
            <v>2</v>
          </cell>
          <cell r="I576">
            <v>99.2</v>
          </cell>
          <cell r="J576">
            <v>0.216</v>
          </cell>
          <cell r="L576">
            <v>42.854399999999998</v>
          </cell>
        </row>
        <row r="577">
          <cell r="B577" t="str">
            <v>CALLE 96 ENTRE CRA 15-17</v>
          </cell>
          <cell r="C577" t="str">
            <v>DV_TOTALD</v>
          </cell>
          <cell r="D577" t="str">
            <v>BARRIO EL BOSQUE</v>
          </cell>
          <cell r="E577"/>
          <cell r="F577"/>
          <cell r="G577" t="str">
            <v>M2</v>
          </cell>
          <cell r="H577">
            <v>2</v>
          </cell>
          <cell r="I577">
            <v>100.5</v>
          </cell>
          <cell r="J577">
            <v>0.216</v>
          </cell>
          <cell r="L577">
            <v>43.415999999999997</v>
          </cell>
        </row>
        <row r="578">
          <cell r="B578" t="str">
            <v>CALLE 96 ENTRE CRA 17-19</v>
          </cell>
          <cell r="C578" t="str">
            <v>DV_TOTALD</v>
          </cell>
          <cell r="D578" t="str">
            <v>BARRIO EL BOSQUE</v>
          </cell>
          <cell r="E578"/>
          <cell r="F578"/>
          <cell r="G578" t="str">
            <v>M2</v>
          </cell>
          <cell r="H578">
            <v>2</v>
          </cell>
          <cell r="I578">
            <v>110.91</v>
          </cell>
          <cell r="J578">
            <v>0.216</v>
          </cell>
          <cell r="L578">
            <v>47.913119999999999</v>
          </cell>
        </row>
        <row r="579">
          <cell r="B579" t="str">
            <v>CALLE 96 ENTRE CRA 19-20</v>
          </cell>
          <cell r="C579" t="str">
            <v>DV_TOTALD</v>
          </cell>
          <cell r="D579" t="str">
            <v>BARRIO EL BOSQUE</v>
          </cell>
          <cell r="E579"/>
          <cell r="F579"/>
          <cell r="G579" t="str">
            <v>M2</v>
          </cell>
          <cell r="H579">
            <v>2</v>
          </cell>
          <cell r="I579">
            <v>100.12</v>
          </cell>
          <cell r="J579">
            <v>0.216</v>
          </cell>
          <cell r="L579">
            <v>43.251840000000001</v>
          </cell>
        </row>
        <row r="580">
          <cell r="B580" t="str">
            <v>CALLE 96 ENTRE CRA 20-21</v>
          </cell>
          <cell r="C580" t="str">
            <v>DV_TOTALD</v>
          </cell>
          <cell r="D580" t="str">
            <v>BARRIO EL BOSQUE</v>
          </cell>
          <cell r="E580"/>
          <cell r="F580"/>
          <cell r="G580" t="str">
            <v>M2</v>
          </cell>
          <cell r="H580">
            <v>2</v>
          </cell>
          <cell r="I580">
            <v>102.38</v>
          </cell>
          <cell r="J580">
            <v>0.216</v>
          </cell>
          <cell r="L580">
            <v>44.228159999999995</v>
          </cell>
        </row>
        <row r="581">
          <cell r="B581" t="str">
            <v>CALLE 96 ENTRE CRA 21-22</v>
          </cell>
          <cell r="C581" t="str">
            <v>DV_TOTALD</v>
          </cell>
          <cell r="D581" t="str">
            <v>BARRIO EL BOSQUE</v>
          </cell>
          <cell r="E581"/>
          <cell r="F581"/>
          <cell r="G581" t="str">
            <v>M2</v>
          </cell>
          <cell r="H581">
            <v>2</v>
          </cell>
          <cell r="I581">
            <v>101.4</v>
          </cell>
          <cell r="J581">
            <v>0.216</v>
          </cell>
          <cell r="L581">
            <v>43.8048</v>
          </cell>
        </row>
        <row r="582">
          <cell r="B582" t="str">
            <v>CALLE 95 ENTRE CRA 19-20</v>
          </cell>
          <cell r="C582" t="str">
            <v>DV_TOTALD</v>
          </cell>
          <cell r="D582" t="str">
            <v>BARRIO EL BOSQUE</v>
          </cell>
          <cell r="E582"/>
          <cell r="F582"/>
          <cell r="G582" t="str">
            <v>M2</v>
          </cell>
          <cell r="H582">
            <v>2</v>
          </cell>
          <cell r="I582">
            <v>99.98</v>
          </cell>
          <cell r="J582">
            <v>0.216</v>
          </cell>
          <cell r="L582">
            <v>43.191360000000003</v>
          </cell>
        </row>
        <row r="583">
          <cell r="B583" t="str">
            <v>CALLE 95 ENTRE CRA 20-21</v>
          </cell>
          <cell r="C583" t="str">
            <v>DV_TOTALD</v>
          </cell>
          <cell r="D583" t="str">
            <v>BARRIO EL BOSQUE</v>
          </cell>
          <cell r="E583"/>
          <cell r="F583"/>
          <cell r="G583" t="str">
            <v>M2</v>
          </cell>
          <cell r="H583">
            <v>2</v>
          </cell>
          <cell r="I583">
            <v>102.15</v>
          </cell>
          <cell r="J583">
            <v>0.216</v>
          </cell>
          <cell r="L583">
            <v>44.128800000000005</v>
          </cell>
        </row>
        <row r="584">
          <cell r="B584" t="str">
            <v>CALLE 95 ENTRE CRA 21-22</v>
          </cell>
          <cell r="C584" t="str">
            <v>DV_TOTALD</v>
          </cell>
          <cell r="D584" t="str">
            <v>BARRIO EL BOSQUE</v>
          </cell>
          <cell r="E584"/>
          <cell r="F584"/>
          <cell r="G584" t="str">
            <v>M2</v>
          </cell>
          <cell r="H584">
            <v>2</v>
          </cell>
          <cell r="I584">
            <v>100.63</v>
          </cell>
          <cell r="J584">
            <v>0.216</v>
          </cell>
          <cell r="L584">
            <v>43.472159999999995</v>
          </cell>
        </row>
        <row r="585">
          <cell r="B585" t="str">
            <v>CALLE 94 ENTRE CRA 19-20</v>
          </cell>
          <cell r="C585" t="str">
            <v>DV_TOTALD</v>
          </cell>
          <cell r="D585" t="str">
            <v>BARRIO EL BOSQUE</v>
          </cell>
          <cell r="E585"/>
          <cell r="F585"/>
          <cell r="G585" t="str">
            <v>M2</v>
          </cell>
          <cell r="H585">
            <v>2</v>
          </cell>
          <cell r="I585">
            <v>102.03</v>
          </cell>
          <cell r="J585">
            <v>0.216</v>
          </cell>
          <cell r="L585">
            <v>44.07696</v>
          </cell>
        </row>
        <row r="586">
          <cell r="B586" t="str">
            <v>CALLE 94 ENTRE CRA 20-21</v>
          </cell>
          <cell r="C586" t="str">
            <v>DV_TOTALD</v>
          </cell>
          <cell r="D586" t="str">
            <v>BARRIO EL BOSQUE</v>
          </cell>
          <cell r="E586"/>
          <cell r="F586"/>
          <cell r="G586" t="str">
            <v>M2</v>
          </cell>
          <cell r="H586">
            <v>2</v>
          </cell>
          <cell r="I586">
            <v>98.36</v>
          </cell>
          <cell r="J586">
            <v>0.216</v>
          </cell>
          <cell r="L586">
            <v>42.491520000000001</v>
          </cell>
        </row>
        <row r="587">
          <cell r="B587" t="str">
            <v>CALLE 94 ENTRE CRA 21-22</v>
          </cell>
          <cell r="C587" t="str">
            <v>DV_TOTALD</v>
          </cell>
          <cell r="D587" t="str">
            <v>BARRIO EL BOSQUE</v>
          </cell>
          <cell r="E587"/>
          <cell r="F587"/>
          <cell r="G587" t="str">
            <v>M2</v>
          </cell>
          <cell r="H587">
            <v>2</v>
          </cell>
          <cell r="I587">
            <v>100.79</v>
          </cell>
          <cell r="J587">
            <v>0.216</v>
          </cell>
          <cell r="L587">
            <v>43.54128</v>
          </cell>
        </row>
        <row r="588">
          <cell r="B588" t="str">
            <v>CALLE 93 ENTRE CRA 15-17A</v>
          </cell>
          <cell r="C588" t="str">
            <v>DV_TOTALD</v>
          </cell>
          <cell r="D588" t="str">
            <v>BARRIO EL BOSQUE</v>
          </cell>
          <cell r="E588"/>
          <cell r="F588"/>
          <cell r="G588" t="str">
            <v>M2</v>
          </cell>
          <cell r="H588">
            <v>2</v>
          </cell>
          <cell r="I588">
            <v>105.65</v>
          </cell>
          <cell r="J588">
            <v>0.216</v>
          </cell>
          <cell r="L588">
            <v>45.640799999999999</v>
          </cell>
        </row>
        <row r="589">
          <cell r="B589" t="str">
            <v>CALLE 93 ENTRE CRA 17A-19</v>
          </cell>
          <cell r="C589" t="str">
            <v>DV_TOTALD</v>
          </cell>
          <cell r="D589" t="str">
            <v>BARRIO EL BOSQUE</v>
          </cell>
          <cell r="E589"/>
          <cell r="F589"/>
          <cell r="G589" t="str">
            <v>M2</v>
          </cell>
          <cell r="H589">
            <v>2</v>
          </cell>
          <cell r="I589">
            <v>71.7</v>
          </cell>
          <cell r="J589">
            <v>0.216</v>
          </cell>
          <cell r="L589">
            <v>30.974399999999999</v>
          </cell>
        </row>
        <row r="590">
          <cell r="B590" t="str">
            <v>CALLE 93 ENTRE CRA 19-20</v>
          </cell>
          <cell r="C590" t="str">
            <v>DV_TOTALD</v>
          </cell>
          <cell r="D590" t="str">
            <v>BARRIO EL BOSQUE</v>
          </cell>
          <cell r="E590"/>
          <cell r="F590"/>
          <cell r="G590" t="str">
            <v>M2</v>
          </cell>
          <cell r="H590">
            <v>2</v>
          </cell>
          <cell r="I590">
            <v>101.82</v>
          </cell>
          <cell r="J590">
            <v>0.216</v>
          </cell>
          <cell r="L590">
            <v>43.986239999999995</v>
          </cell>
        </row>
        <row r="591">
          <cell r="B591" t="str">
            <v>CALLE 93 ENTRE CRA 20-21</v>
          </cell>
          <cell r="C591" t="str">
            <v>DV_TOTALD</v>
          </cell>
          <cell r="D591" t="str">
            <v>BARRIO EL BOSQUE</v>
          </cell>
          <cell r="E591"/>
          <cell r="F591"/>
          <cell r="G591" t="str">
            <v>M2</v>
          </cell>
          <cell r="H591">
            <v>2</v>
          </cell>
          <cell r="I591">
            <v>99.53</v>
          </cell>
          <cell r="J591">
            <v>0.216</v>
          </cell>
          <cell r="L591">
            <v>42.996960000000001</v>
          </cell>
        </row>
        <row r="592">
          <cell r="B592" t="str">
            <v>CALLE 93 ENTRE CRA 21-22</v>
          </cell>
          <cell r="C592" t="str">
            <v>DV_TOTALD</v>
          </cell>
          <cell r="D592" t="str">
            <v>BARRIO EL BOSQUE</v>
          </cell>
          <cell r="E592"/>
          <cell r="F592"/>
          <cell r="G592" t="str">
            <v>M2</v>
          </cell>
          <cell r="H592">
            <v>2</v>
          </cell>
          <cell r="I592">
            <v>103.29</v>
          </cell>
          <cell r="J592">
            <v>0.216</v>
          </cell>
          <cell r="L592">
            <v>44.621279999999999</v>
          </cell>
        </row>
        <row r="593">
          <cell r="B593" t="str">
            <v>CARRERA 17 ENTRE CALLE 94 Y 95</v>
          </cell>
          <cell r="C593" t="str">
            <v>DV_TOTALD</v>
          </cell>
          <cell r="D593" t="str">
            <v>BARRIO EL BOSQUE</v>
          </cell>
          <cell r="E593"/>
          <cell r="F593"/>
          <cell r="G593" t="str">
            <v>M2</v>
          </cell>
          <cell r="H593">
            <v>2</v>
          </cell>
          <cell r="I593">
            <v>50.06</v>
          </cell>
          <cell r="J593">
            <v>0.216</v>
          </cell>
          <cell r="L593">
            <v>21.625920000000001</v>
          </cell>
        </row>
        <row r="594">
          <cell r="B594" t="str">
            <v>CARRERA 17 ENTRE CALLE 95 Y 96</v>
          </cell>
          <cell r="C594" t="str">
            <v>DV_TOTALD</v>
          </cell>
          <cell r="D594" t="str">
            <v>BARRIO EL BOSQUE</v>
          </cell>
          <cell r="E594"/>
          <cell r="F594"/>
          <cell r="G594" t="str">
            <v>M2</v>
          </cell>
          <cell r="H594">
            <v>2</v>
          </cell>
          <cell r="I594">
            <v>40.24</v>
          </cell>
          <cell r="J594">
            <v>0.216</v>
          </cell>
          <cell r="L594">
            <v>17.383680000000002</v>
          </cell>
        </row>
        <row r="595">
          <cell r="B595" t="str">
            <v>CARRERA 17 ENTRE CALLE 96 Y 96A</v>
          </cell>
          <cell r="C595" t="str">
            <v>DV_TOTALD</v>
          </cell>
          <cell r="D595" t="str">
            <v>BARRIO EL BOSQUE</v>
          </cell>
          <cell r="E595"/>
          <cell r="F595"/>
          <cell r="G595" t="str">
            <v>M2</v>
          </cell>
          <cell r="H595">
            <v>2</v>
          </cell>
          <cell r="I595">
            <v>46.44</v>
          </cell>
          <cell r="J595">
            <v>0.216</v>
          </cell>
          <cell r="L595">
            <v>20.062079999999998</v>
          </cell>
        </row>
        <row r="596">
          <cell r="B596" t="str">
            <v>CARRERA 17 ENTRE CALLE 96A Y 97</v>
          </cell>
          <cell r="C596" t="str">
            <v>DV_TOTALD</v>
          </cell>
          <cell r="D596" t="str">
            <v>BARRIO EL BOSQUE</v>
          </cell>
          <cell r="E596"/>
          <cell r="F596"/>
          <cell r="G596" t="str">
            <v>M2</v>
          </cell>
          <cell r="H596">
            <v>2</v>
          </cell>
          <cell r="I596">
            <v>40.380000000000003</v>
          </cell>
          <cell r="J596">
            <v>0.216</v>
          </cell>
          <cell r="L596">
            <v>17.44416</v>
          </cell>
        </row>
        <row r="597">
          <cell r="B597" t="str">
            <v>CARRERA 17 ENTRE CALLE 97 Y 97A</v>
          </cell>
          <cell r="C597" t="str">
            <v>DV_TOTALD</v>
          </cell>
          <cell r="D597" t="str">
            <v>BARRIO EL BOSQUE</v>
          </cell>
          <cell r="E597"/>
          <cell r="F597"/>
          <cell r="G597" t="str">
            <v>M2</v>
          </cell>
          <cell r="H597">
            <v>2</v>
          </cell>
          <cell r="I597">
            <v>51.63</v>
          </cell>
          <cell r="J597">
            <v>0.216</v>
          </cell>
          <cell r="L597">
            <v>22.30416</v>
          </cell>
        </row>
        <row r="598">
          <cell r="B598" t="str">
            <v>CARRERA 20 ENTRE CALLE 93 Y 94</v>
          </cell>
          <cell r="C598" t="str">
            <v>DV_TOTALD</v>
          </cell>
          <cell r="D598" t="str">
            <v>BARRIO EL BOSQUE</v>
          </cell>
          <cell r="E598"/>
          <cell r="F598"/>
          <cell r="G598" t="str">
            <v>M2</v>
          </cell>
          <cell r="H598">
            <v>2</v>
          </cell>
          <cell r="I598">
            <v>28.89</v>
          </cell>
          <cell r="J598">
            <v>0.216</v>
          </cell>
          <cell r="L598">
            <v>12.48048</v>
          </cell>
        </row>
        <row r="599">
          <cell r="B599" t="str">
            <v>CARRERA 20 ENTRE CALLE 94 Y 95</v>
          </cell>
          <cell r="C599" t="str">
            <v>DV_TOTALD</v>
          </cell>
          <cell r="D599" t="str">
            <v>BARRIO EL BOSQUE</v>
          </cell>
          <cell r="E599"/>
          <cell r="F599"/>
          <cell r="G599" t="str">
            <v>M2</v>
          </cell>
          <cell r="H599">
            <v>2</v>
          </cell>
          <cell r="I599">
            <v>39.590000000000003</v>
          </cell>
          <cell r="J599">
            <v>0.216</v>
          </cell>
          <cell r="L599">
            <v>17.102880000000003</v>
          </cell>
        </row>
        <row r="600">
          <cell r="B600" t="str">
            <v>CARRERA 20 ENTRE CALLE 95 Y 96</v>
          </cell>
          <cell r="C600" t="str">
            <v>DV_TOTALD</v>
          </cell>
          <cell r="D600" t="str">
            <v>BARRIO EL BOSQUE</v>
          </cell>
          <cell r="E600"/>
          <cell r="F600"/>
          <cell r="G600" t="str">
            <v>M2</v>
          </cell>
          <cell r="H600">
            <v>2</v>
          </cell>
          <cell r="I600">
            <v>41.77</v>
          </cell>
          <cell r="J600">
            <v>0.216</v>
          </cell>
          <cell r="L600">
            <v>18.044640000000001</v>
          </cell>
        </row>
        <row r="601">
          <cell r="B601" t="str">
            <v>CARRERA 20 ENTRE CALLE 96 Y 96A</v>
          </cell>
          <cell r="C601" t="str">
            <v>DV_TOTALD</v>
          </cell>
          <cell r="D601" t="str">
            <v>BARRIO EL BOSQUE</v>
          </cell>
          <cell r="E601"/>
          <cell r="F601"/>
          <cell r="G601" t="str">
            <v>M2</v>
          </cell>
          <cell r="H601">
            <v>2</v>
          </cell>
          <cell r="I601">
            <v>42.25</v>
          </cell>
          <cell r="J601">
            <v>0.216</v>
          </cell>
          <cell r="L601">
            <v>18.251999999999999</v>
          </cell>
        </row>
        <row r="602">
          <cell r="B602" t="str">
            <v>CARRERA 20 ENTRE CALLE 96A Y 97</v>
          </cell>
          <cell r="C602" t="str">
            <v>DV_TOTALD</v>
          </cell>
          <cell r="D602" t="str">
            <v>BARRIO EL BOSQUE</v>
          </cell>
          <cell r="E602"/>
          <cell r="F602"/>
          <cell r="G602" t="str">
            <v>M2</v>
          </cell>
          <cell r="H602">
            <v>2</v>
          </cell>
          <cell r="I602">
            <v>41.33</v>
          </cell>
          <cell r="J602">
            <v>0.216</v>
          </cell>
          <cell r="L602">
            <v>17.854559999999999</v>
          </cell>
        </row>
        <row r="603">
          <cell r="B603" t="str">
            <v>CARRERA 20 ENTRE CALLE 97 Y 97A</v>
          </cell>
          <cell r="C603" t="str">
            <v>DV_TOTALD</v>
          </cell>
          <cell r="D603" t="str">
            <v>BARRIO EL BOSQUE</v>
          </cell>
          <cell r="E603"/>
          <cell r="F603"/>
          <cell r="G603" t="str">
            <v>M2</v>
          </cell>
          <cell r="H603">
            <v>2</v>
          </cell>
          <cell r="I603">
            <v>54</v>
          </cell>
          <cell r="J603">
            <v>0.216</v>
          </cell>
          <cell r="L603">
            <v>23.327999999999999</v>
          </cell>
        </row>
        <row r="604">
          <cell r="B604" t="str">
            <v>CARRERA 21 ENTRE CALLE 93 Y 94</v>
          </cell>
          <cell r="C604" t="str">
            <v>DV_TOTALD</v>
          </cell>
          <cell r="D604" t="str">
            <v>BARRIO EL BOSQUE</v>
          </cell>
          <cell r="E604"/>
          <cell r="F604"/>
          <cell r="G604" t="str">
            <v>M2</v>
          </cell>
          <cell r="H604">
            <v>2</v>
          </cell>
          <cell r="I604">
            <v>32.44</v>
          </cell>
          <cell r="J604">
            <v>0.216</v>
          </cell>
          <cell r="L604">
            <v>14.014079999999998</v>
          </cell>
        </row>
        <row r="605">
          <cell r="B605" t="str">
            <v>CARRERA 21 ENTRE CALLE 94 Y 95</v>
          </cell>
          <cell r="C605" t="str">
            <v>DV_TOTALD</v>
          </cell>
          <cell r="D605" t="str">
            <v>BARRIO EL BOSQUE</v>
          </cell>
          <cell r="E605"/>
          <cell r="F605"/>
          <cell r="G605" t="str">
            <v>M2</v>
          </cell>
          <cell r="H605">
            <v>2</v>
          </cell>
          <cell r="I605">
            <v>40.58</v>
          </cell>
          <cell r="J605">
            <v>0.216</v>
          </cell>
          <cell r="L605">
            <v>17.530559999999998</v>
          </cell>
        </row>
        <row r="606">
          <cell r="B606" t="str">
            <v>CARRERA 21 ENTRE CALLE 95 Y 96</v>
          </cell>
          <cell r="C606" t="str">
            <v>DV_TOTALD</v>
          </cell>
          <cell r="D606" t="str">
            <v>BARRIO EL BOSQUE</v>
          </cell>
          <cell r="E606"/>
          <cell r="F606"/>
          <cell r="G606" t="str">
            <v>M2</v>
          </cell>
          <cell r="H606">
            <v>2</v>
          </cell>
          <cell r="I606">
            <v>42.43</v>
          </cell>
          <cell r="J606">
            <v>0.216</v>
          </cell>
          <cell r="L606">
            <v>18.32976</v>
          </cell>
        </row>
        <row r="607">
          <cell r="B607" t="str">
            <v>CARRERA 21 ENTRE CALLE 96 Y 96A</v>
          </cell>
          <cell r="C607" t="str">
            <v>DV_TOTALD</v>
          </cell>
          <cell r="D607" t="str">
            <v>BARRIO EL BOSQUE</v>
          </cell>
          <cell r="E607"/>
          <cell r="F607"/>
          <cell r="G607" t="str">
            <v>M2</v>
          </cell>
          <cell r="H607">
            <v>2</v>
          </cell>
          <cell r="I607">
            <v>40.01</v>
          </cell>
          <cell r="J607">
            <v>0.216</v>
          </cell>
          <cell r="L607">
            <v>17.284319999999997</v>
          </cell>
        </row>
        <row r="608">
          <cell r="B608" t="str">
            <v>CARRERA 21 ENTRE CALLE 96A Y 97</v>
          </cell>
          <cell r="C608" t="str">
            <v>DV_TOTALD</v>
          </cell>
          <cell r="D608" t="str">
            <v>BARRIO EL BOSQUE</v>
          </cell>
          <cell r="E608"/>
          <cell r="F608"/>
          <cell r="G608" t="str">
            <v>M2</v>
          </cell>
          <cell r="H608">
            <v>2</v>
          </cell>
          <cell r="I608">
            <v>42.87</v>
          </cell>
          <cell r="J608">
            <v>0.216</v>
          </cell>
          <cell r="L608">
            <v>18.519839999999999</v>
          </cell>
        </row>
        <row r="609">
          <cell r="B609" t="str">
            <v>CARRERA 21 ENTRE CALLE 97 Y 97A</v>
          </cell>
          <cell r="C609" t="str">
            <v>DV_TOTALD</v>
          </cell>
          <cell r="D609" t="str">
            <v>BARRIO EL BOSQUE</v>
          </cell>
          <cell r="E609"/>
          <cell r="F609"/>
          <cell r="G609" t="str">
            <v>M2</v>
          </cell>
          <cell r="H609">
            <v>2</v>
          </cell>
          <cell r="I609">
            <v>52.73</v>
          </cell>
          <cell r="J609">
            <v>0.216</v>
          </cell>
          <cell r="L609">
            <v>22.779359999999997</v>
          </cell>
        </row>
        <row r="610">
          <cell r="B610" t="str">
            <v>CRA 14 * CLL 110</v>
          </cell>
          <cell r="C610" t="str">
            <v>DV_TOTALE</v>
          </cell>
          <cell r="D610" t="str">
            <v>BARRIO JESUS MORA CALLE 110</v>
          </cell>
          <cell r="E610"/>
          <cell r="F610"/>
          <cell r="G610" t="str">
            <v>M2</v>
          </cell>
          <cell r="H610">
            <v>2</v>
          </cell>
          <cell r="I610">
            <v>4</v>
          </cell>
          <cell r="J610">
            <v>0.48</v>
          </cell>
          <cell r="L610">
            <v>3.84</v>
          </cell>
        </row>
        <row r="611">
          <cell r="B611" t="str">
            <v>CLL 110-CRA 14-14A</v>
          </cell>
          <cell r="C611" t="str">
            <v>DV_TOTALE</v>
          </cell>
          <cell r="D611" t="str">
            <v>BARRIO JESUS MORA CALLE 110</v>
          </cell>
          <cell r="E611"/>
          <cell r="F611"/>
          <cell r="G611" t="str">
            <v>M2</v>
          </cell>
          <cell r="H611">
            <v>2</v>
          </cell>
          <cell r="I611">
            <v>68.86</v>
          </cell>
          <cell r="J611">
            <v>0.48</v>
          </cell>
          <cell r="L611">
            <v>66.105599999999995</v>
          </cell>
        </row>
        <row r="612">
          <cell r="B612" t="str">
            <v>CRA 14A * CLL 110</v>
          </cell>
          <cell r="C612" t="str">
            <v>DV_TOTALE</v>
          </cell>
          <cell r="D612" t="str">
            <v>BARRIO JESUS MORA CALLE 110</v>
          </cell>
          <cell r="E612"/>
          <cell r="F612"/>
          <cell r="G612" t="str">
            <v>M2</v>
          </cell>
          <cell r="H612">
            <v>2</v>
          </cell>
          <cell r="I612">
            <v>11.3</v>
          </cell>
          <cell r="J612">
            <v>0.48</v>
          </cell>
          <cell r="L612">
            <v>10.848000000000001</v>
          </cell>
        </row>
        <row r="613">
          <cell r="B613" t="str">
            <v>CLL 110-CRA 14A-15</v>
          </cell>
          <cell r="C613" t="str">
            <v>DV_TOTALE</v>
          </cell>
          <cell r="D613" t="str">
            <v>BARRIO JESUS MORA CALLE 110</v>
          </cell>
          <cell r="E613"/>
          <cell r="F613"/>
          <cell r="G613" t="str">
            <v>M2</v>
          </cell>
          <cell r="H613">
            <v>2</v>
          </cell>
          <cell r="I613">
            <v>52.429999999999993</v>
          </cell>
          <cell r="J613">
            <v>0.48</v>
          </cell>
          <cell r="L613">
            <v>50.332799999999992</v>
          </cell>
        </row>
        <row r="614">
          <cell r="B614" t="str">
            <v>CRA 15 * CLL 110</v>
          </cell>
          <cell r="C614" t="str">
            <v>DV_TOTALE</v>
          </cell>
          <cell r="D614" t="str">
            <v>BARRIO JESUS MORA CALLE 110</v>
          </cell>
          <cell r="E614"/>
          <cell r="F614"/>
          <cell r="G614" t="str">
            <v>M2</v>
          </cell>
          <cell r="H614">
            <v>2</v>
          </cell>
          <cell r="I614">
            <v>11.6</v>
          </cell>
          <cell r="J614">
            <v>0.48</v>
          </cell>
          <cell r="L614">
            <v>11.135999999999999</v>
          </cell>
        </row>
        <row r="615">
          <cell r="B615" t="str">
            <v>CLL 110 CRA 15-16</v>
          </cell>
          <cell r="C615" t="str">
            <v>DV_TOTALE</v>
          </cell>
          <cell r="D615" t="str">
            <v>BARRIO JESUS MORA CALLE 110</v>
          </cell>
          <cell r="E615"/>
          <cell r="F615"/>
          <cell r="G615" t="str">
            <v>M2</v>
          </cell>
          <cell r="H615">
            <v>2</v>
          </cell>
          <cell r="I615">
            <v>114.43999999999998</v>
          </cell>
          <cell r="J615">
            <v>0.48</v>
          </cell>
          <cell r="L615">
            <v>109.86239999999998</v>
          </cell>
        </row>
        <row r="616">
          <cell r="B616" t="str">
            <v>CRA 16 * CLL 110</v>
          </cell>
          <cell r="C616" t="str">
            <v>DV_TOTALE</v>
          </cell>
          <cell r="D616" t="str">
            <v>BARRIO JESUS MORA CALLE 110</v>
          </cell>
          <cell r="E616"/>
          <cell r="F616"/>
          <cell r="G616" t="str">
            <v>M2</v>
          </cell>
          <cell r="H616">
            <v>2</v>
          </cell>
          <cell r="I616">
            <v>14.2</v>
          </cell>
          <cell r="J616">
            <v>0.48</v>
          </cell>
          <cell r="L616">
            <v>13.632</v>
          </cell>
        </row>
        <row r="617">
          <cell r="B617" t="str">
            <v>CLL 110 CRA 16-17</v>
          </cell>
          <cell r="C617" t="str">
            <v>DV_TOTALE</v>
          </cell>
          <cell r="D617" t="str">
            <v>BARRIO JESUS MORA CALLE 110</v>
          </cell>
          <cell r="E617"/>
          <cell r="F617"/>
          <cell r="G617" t="str">
            <v>M2</v>
          </cell>
          <cell r="H617">
            <v>2</v>
          </cell>
          <cell r="I617">
            <v>73.349999999999994</v>
          </cell>
          <cell r="J617">
            <v>0.48</v>
          </cell>
          <cell r="L617">
            <v>70.415999999999997</v>
          </cell>
        </row>
        <row r="618">
          <cell r="B618" t="str">
            <v>CRA 17 * CLL 110</v>
          </cell>
          <cell r="C618" t="str">
            <v>DV_TOTALE</v>
          </cell>
          <cell r="D618" t="str">
            <v>BARRIO JESUS MORA CALLE 110</v>
          </cell>
          <cell r="E618"/>
          <cell r="F618"/>
          <cell r="G618" t="str">
            <v>M2</v>
          </cell>
          <cell r="H618">
            <v>2</v>
          </cell>
          <cell r="I618">
            <v>10.61</v>
          </cell>
          <cell r="J618">
            <v>0.48</v>
          </cell>
          <cell r="L618">
            <v>10.185599999999999</v>
          </cell>
        </row>
        <row r="619">
          <cell r="B619" t="str">
            <v>CLL 110 CRA 17-18</v>
          </cell>
          <cell r="C619" t="str">
            <v>DV_TOTALE</v>
          </cell>
          <cell r="D619" t="str">
            <v>BARRIO JESUS MORA CALLE 110</v>
          </cell>
          <cell r="E619"/>
          <cell r="F619"/>
          <cell r="G619" t="str">
            <v>M2</v>
          </cell>
          <cell r="H619">
            <v>2</v>
          </cell>
          <cell r="I619">
            <v>120.88</v>
          </cell>
          <cell r="J619">
            <v>0.48</v>
          </cell>
          <cell r="L619">
            <v>116.0448</v>
          </cell>
        </row>
        <row r="620">
          <cell r="B620" t="str">
            <v>CRA 18 * CLL 110</v>
          </cell>
          <cell r="C620" t="str">
            <v>DV_TOTALE</v>
          </cell>
          <cell r="D620" t="str">
            <v>BARRIO JESUS MORA CALLE 110</v>
          </cell>
          <cell r="E620"/>
          <cell r="F620"/>
          <cell r="G620" t="str">
            <v>M2</v>
          </cell>
          <cell r="H620">
            <v>2</v>
          </cell>
          <cell r="I620">
            <v>11.64</v>
          </cell>
          <cell r="J620">
            <v>0.48</v>
          </cell>
          <cell r="L620">
            <v>11.1744</v>
          </cell>
        </row>
        <row r="621">
          <cell r="B621" t="str">
            <v>CLL 110 CRA 18-19</v>
          </cell>
          <cell r="C621" t="str">
            <v>DV_TOTALE</v>
          </cell>
          <cell r="D621" t="str">
            <v>BARRIO JESUS MORA CALLE 110</v>
          </cell>
          <cell r="E621"/>
          <cell r="F621"/>
          <cell r="G621" t="str">
            <v>M2</v>
          </cell>
          <cell r="H621">
            <v>2</v>
          </cell>
          <cell r="I621">
            <v>175.6</v>
          </cell>
          <cell r="J621">
            <v>0.48</v>
          </cell>
          <cell r="L621">
            <v>168.57599999999999</v>
          </cell>
        </row>
        <row r="622">
          <cell r="B622" t="str">
            <v>CRA 19 * CLL 110</v>
          </cell>
          <cell r="C622" t="str">
            <v>DV_TOTALE</v>
          </cell>
          <cell r="D622" t="str">
            <v>BARRIO JESUS MORA CALLE 110</v>
          </cell>
          <cell r="E622"/>
          <cell r="F622"/>
          <cell r="G622" t="str">
            <v>M2</v>
          </cell>
          <cell r="H622">
            <v>2</v>
          </cell>
          <cell r="I622">
            <v>10.18</v>
          </cell>
          <cell r="J622">
            <v>0.48</v>
          </cell>
          <cell r="L622">
            <v>9.7728000000000002</v>
          </cell>
        </row>
        <row r="623">
          <cell r="B623" t="str">
            <v>CLL 110 CRA 19-19A</v>
          </cell>
          <cell r="C623" t="str">
            <v>DV_TOTALE</v>
          </cell>
          <cell r="D623" t="str">
            <v>BARRIO JESUS MORA CALLE 110</v>
          </cell>
          <cell r="E623"/>
          <cell r="F623"/>
          <cell r="G623" t="str">
            <v>M2</v>
          </cell>
          <cell r="H623">
            <v>2</v>
          </cell>
          <cell r="I623">
            <v>32.76</v>
          </cell>
          <cell r="J623">
            <v>0.48</v>
          </cell>
          <cell r="L623">
            <v>31.449599999999997</v>
          </cell>
        </row>
        <row r="624">
          <cell r="B624" t="str">
            <v>CRA 19A * CLL 110</v>
          </cell>
          <cell r="C624" t="str">
            <v>DV_TOTALE</v>
          </cell>
          <cell r="D624" t="str">
            <v>BARRIO JESUS MORA CALLE 110</v>
          </cell>
          <cell r="E624"/>
          <cell r="F624"/>
          <cell r="G624" t="str">
            <v>M2</v>
          </cell>
          <cell r="H624">
            <v>2</v>
          </cell>
          <cell r="I624">
            <v>10.050000000000001</v>
          </cell>
          <cell r="J624">
            <v>0.48</v>
          </cell>
          <cell r="L624">
            <v>9.6479999999999997</v>
          </cell>
        </row>
        <row r="625">
          <cell r="B625" t="str">
            <v>CLL 110 CRA 19A-20</v>
          </cell>
          <cell r="C625" t="str">
            <v>DV_TOTALE</v>
          </cell>
          <cell r="D625" t="str">
            <v>BARRIO JESUS MORA CALLE 110</v>
          </cell>
          <cell r="E625"/>
          <cell r="F625"/>
          <cell r="G625" t="str">
            <v>M2</v>
          </cell>
          <cell r="H625">
            <v>2</v>
          </cell>
          <cell r="I625">
            <v>36.520000000000003</v>
          </cell>
          <cell r="J625">
            <v>0.48</v>
          </cell>
          <cell r="L625">
            <v>35.059200000000004</v>
          </cell>
        </row>
        <row r="626">
          <cell r="B626" t="str">
            <v>CRA 20 * CLL 110</v>
          </cell>
          <cell r="C626" t="str">
            <v>DV_TOTALE</v>
          </cell>
          <cell r="D626" t="str">
            <v>BARRIO JESUS MORA CALLE 110</v>
          </cell>
          <cell r="E626"/>
          <cell r="F626"/>
          <cell r="G626" t="str">
            <v>M2</v>
          </cell>
          <cell r="H626">
            <v>2</v>
          </cell>
          <cell r="I626">
            <v>14.54</v>
          </cell>
          <cell r="J626">
            <v>0.48</v>
          </cell>
          <cell r="L626">
            <v>13.958399999999999</v>
          </cell>
        </row>
        <row r="627">
          <cell r="B627" t="str">
            <v>CLL 110 CRA 20-20A</v>
          </cell>
          <cell r="C627" t="str">
            <v>DV_TOTALE</v>
          </cell>
          <cell r="D627" t="str">
            <v>BARRIO JESUS MORA CALLE 110</v>
          </cell>
          <cell r="E627"/>
          <cell r="F627"/>
          <cell r="G627" t="str">
            <v>M2</v>
          </cell>
          <cell r="H627">
            <v>2</v>
          </cell>
          <cell r="I627">
            <v>11.29</v>
          </cell>
          <cell r="J627">
            <v>0.48</v>
          </cell>
          <cell r="L627">
            <v>10.838399999999998</v>
          </cell>
        </row>
        <row r="628">
          <cell r="B628" t="str">
            <v>CRA 20A * CLL 110</v>
          </cell>
          <cell r="C628" t="str">
            <v>DV_TOTALE</v>
          </cell>
          <cell r="D628" t="str">
            <v>BARRIO JESUS MORA CALLE 110</v>
          </cell>
          <cell r="E628"/>
          <cell r="F628"/>
          <cell r="G628" t="str">
            <v>M2</v>
          </cell>
          <cell r="H628">
            <v>2</v>
          </cell>
          <cell r="I628">
            <v>6</v>
          </cell>
          <cell r="J628">
            <v>0.48</v>
          </cell>
          <cell r="L628">
            <v>5.76</v>
          </cell>
        </row>
        <row r="629">
          <cell r="B629" t="str">
            <v>CLL 110 CRA 20-21</v>
          </cell>
          <cell r="C629" t="str">
            <v>DV_TOTALE</v>
          </cell>
          <cell r="D629" t="str">
            <v>BARRIO JESUS MORA CALLE 110</v>
          </cell>
          <cell r="E629"/>
          <cell r="F629"/>
          <cell r="G629" t="str">
            <v>M2</v>
          </cell>
          <cell r="H629">
            <v>2</v>
          </cell>
          <cell r="I629">
            <v>27.05</v>
          </cell>
          <cell r="J629">
            <v>0.48</v>
          </cell>
          <cell r="L629">
            <v>25.968</v>
          </cell>
        </row>
        <row r="630">
          <cell r="B630" t="str">
            <v>CRA 21 * CLL 110</v>
          </cell>
          <cell r="C630" t="str">
            <v>DV_TOTALE</v>
          </cell>
          <cell r="D630" t="str">
            <v>BARRIO JESUS MORA CALLE 110</v>
          </cell>
          <cell r="E630"/>
          <cell r="F630"/>
          <cell r="G630" t="str">
            <v>M2</v>
          </cell>
          <cell r="H630">
            <v>2</v>
          </cell>
          <cell r="I630">
            <v>12.8</v>
          </cell>
          <cell r="J630">
            <v>0.48</v>
          </cell>
          <cell r="L630">
            <v>12.288</v>
          </cell>
        </row>
        <row r="631">
          <cell r="B631" t="str">
            <v>CLL 110 CRA 21-22</v>
          </cell>
          <cell r="C631" t="str">
            <v>DV_TOTALE</v>
          </cell>
          <cell r="D631" t="str">
            <v>BARRIO JESUS MORA CALLE 110</v>
          </cell>
          <cell r="E631"/>
          <cell r="F631"/>
          <cell r="G631" t="str">
            <v>M2</v>
          </cell>
          <cell r="H631">
            <v>2</v>
          </cell>
          <cell r="I631">
            <v>94.210000000000008</v>
          </cell>
          <cell r="J631">
            <v>0.48</v>
          </cell>
          <cell r="L631">
            <v>90.441600000000008</v>
          </cell>
        </row>
        <row r="632">
          <cell r="B632" t="str">
            <v>CRA 22 * CLL 110</v>
          </cell>
          <cell r="C632" t="str">
            <v>DV_TOTALE</v>
          </cell>
          <cell r="D632" t="str">
            <v>BARRIO JESUS MORA CALLE 110</v>
          </cell>
          <cell r="E632"/>
          <cell r="F632"/>
          <cell r="G632" t="str">
            <v>M2</v>
          </cell>
          <cell r="H632">
            <v>2</v>
          </cell>
          <cell r="I632">
            <v>16.88</v>
          </cell>
          <cell r="J632">
            <v>0.48</v>
          </cell>
          <cell r="L632">
            <v>16.204799999999999</v>
          </cell>
        </row>
        <row r="633">
          <cell r="B633" t="str">
            <v>CLL 110 CRA 22-23</v>
          </cell>
          <cell r="C633" t="str">
            <v>DV_TOTALE</v>
          </cell>
          <cell r="D633" t="str">
            <v>BARRIO JESUS MORA CALLE 110</v>
          </cell>
          <cell r="E633"/>
          <cell r="F633"/>
          <cell r="G633" t="str">
            <v>M2</v>
          </cell>
          <cell r="H633">
            <v>2</v>
          </cell>
          <cell r="I633">
            <v>85.78</v>
          </cell>
          <cell r="J633">
            <v>0.48</v>
          </cell>
          <cell r="L633">
            <v>82.348799999999997</v>
          </cell>
        </row>
        <row r="634">
          <cell r="B634" t="str">
            <v>CRA 23 * CLL 110</v>
          </cell>
          <cell r="C634" t="str">
            <v>DV_TOTALE</v>
          </cell>
          <cell r="D634" t="str">
            <v>BARRIO JESUS MORA CALLE 110</v>
          </cell>
          <cell r="E634"/>
          <cell r="F634"/>
          <cell r="G634" t="str">
            <v>M2</v>
          </cell>
          <cell r="H634">
            <v>2</v>
          </cell>
          <cell r="I634">
            <v>11</v>
          </cell>
          <cell r="J634">
            <v>0.48</v>
          </cell>
          <cell r="L634">
            <v>10.559999999999999</v>
          </cell>
        </row>
        <row r="635">
          <cell r="B635" t="str">
            <v>CLL 110 CRA 23-24</v>
          </cell>
          <cell r="C635" t="str">
            <v>DV_TOTALE</v>
          </cell>
          <cell r="D635" t="str">
            <v>BARRIO JESUS MORA CALLE 110</v>
          </cell>
          <cell r="E635"/>
          <cell r="F635"/>
          <cell r="G635" t="str">
            <v>M2</v>
          </cell>
          <cell r="H635">
            <v>2</v>
          </cell>
          <cell r="I635">
            <v>80.75</v>
          </cell>
          <cell r="J635">
            <v>0.48</v>
          </cell>
          <cell r="L635">
            <v>77.52</v>
          </cell>
        </row>
        <row r="636">
          <cell r="B636" t="str">
            <v>CRA 24 * CLL 110</v>
          </cell>
          <cell r="C636" t="str">
            <v>DV_TOTALE</v>
          </cell>
          <cell r="D636" t="str">
            <v>BARRIO JESUS MORA CALLE 110</v>
          </cell>
          <cell r="E636"/>
          <cell r="F636"/>
          <cell r="G636" t="str">
            <v>M2</v>
          </cell>
          <cell r="H636">
            <v>2</v>
          </cell>
          <cell r="I636">
            <v>15.18</v>
          </cell>
          <cell r="J636">
            <v>0.48</v>
          </cell>
          <cell r="L636">
            <v>14.572799999999999</v>
          </cell>
        </row>
        <row r="637">
          <cell r="B637" t="str">
            <v>CLL 110 CRA 24-25</v>
          </cell>
          <cell r="C637" t="str">
            <v>DV_TOTALE</v>
          </cell>
          <cell r="D637" t="str">
            <v>BARRIO JESUS MORA CALLE 110</v>
          </cell>
          <cell r="E637"/>
          <cell r="F637"/>
          <cell r="G637" t="str">
            <v>M2</v>
          </cell>
          <cell r="H637">
            <v>2</v>
          </cell>
          <cell r="I637">
            <v>79.25</v>
          </cell>
          <cell r="J637">
            <v>0.48</v>
          </cell>
          <cell r="L637">
            <v>76.08</v>
          </cell>
        </row>
        <row r="638">
          <cell r="B638" t="str">
            <v>CRA 25 * CLL 110</v>
          </cell>
          <cell r="C638" t="str">
            <v>DV_TOTALE</v>
          </cell>
          <cell r="D638" t="str">
            <v>BARRIO JESUS MORA CALLE 110</v>
          </cell>
          <cell r="E638"/>
          <cell r="F638"/>
          <cell r="G638" t="str">
            <v>M2</v>
          </cell>
          <cell r="H638">
            <v>2</v>
          </cell>
          <cell r="I638">
            <v>9.83</v>
          </cell>
          <cell r="J638">
            <v>0.48</v>
          </cell>
          <cell r="L638">
            <v>9.4367999999999999</v>
          </cell>
        </row>
        <row r="639">
          <cell r="B639" t="str">
            <v>CLL 110 CRA 25-26</v>
          </cell>
          <cell r="C639" t="str">
            <v>DV_TOTALE</v>
          </cell>
          <cell r="D639" t="str">
            <v>BARRIO JESUS MORA CALLE 110</v>
          </cell>
          <cell r="E639"/>
          <cell r="F639"/>
          <cell r="G639" t="str">
            <v>M2</v>
          </cell>
          <cell r="H639">
            <v>2</v>
          </cell>
          <cell r="I639">
            <v>78.599999999999994</v>
          </cell>
          <cell r="J639">
            <v>0.48</v>
          </cell>
          <cell r="L639">
            <v>75.455999999999989</v>
          </cell>
        </row>
        <row r="640">
          <cell r="B640" t="str">
            <v>CRA 26 * CLL 110</v>
          </cell>
          <cell r="C640" t="str">
            <v>DV_TOTALE</v>
          </cell>
          <cell r="D640" t="str">
            <v>BARRIO JESUS MORA CALLE 110</v>
          </cell>
          <cell r="E640"/>
          <cell r="F640"/>
          <cell r="G640" t="str">
            <v>M2</v>
          </cell>
          <cell r="H640">
            <v>2</v>
          </cell>
          <cell r="I640">
            <v>10.64</v>
          </cell>
          <cell r="J640">
            <v>0.48</v>
          </cell>
          <cell r="L640">
            <v>10.214399999999999</v>
          </cell>
        </row>
        <row r="641">
          <cell r="B641" t="str">
            <v>CLL 110 CRA 26-27</v>
          </cell>
          <cell r="C641" t="str">
            <v>DV_TOTALE</v>
          </cell>
          <cell r="D641" t="str">
            <v>BARRIO JESUS MORA CALLE 110</v>
          </cell>
          <cell r="E641"/>
          <cell r="F641"/>
          <cell r="G641" t="str">
            <v>M2</v>
          </cell>
          <cell r="H641">
            <v>2</v>
          </cell>
          <cell r="I641">
            <v>79.599999999999994</v>
          </cell>
          <cell r="J641">
            <v>0.48</v>
          </cell>
          <cell r="L641">
            <v>76.415999999999997</v>
          </cell>
        </row>
        <row r="642">
          <cell r="B642" t="str">
            <v>CRA 27 * CLL 110</v>
          </cell>
          <cell r="C642" t="str">
            <v>DV_TOTALE</v>
          </cell>
          <cell r="D642" t="str">
            <v>BARRIO JESUS MORA CALLE 110</v>
          </cell>
          <cell r="E642"/>
          <cell r="F642"/>
          <cell r="G642" t="str">
            <v>M2</v>
          </cell>
          <cell r="H642">
            <v>2</v>
          </cell>
          <cell r="I642">
            <v>13.37</v>
          </cell>
          <cell r="J642">
            <v>0.48</v>
          </cell>
          <cell r="L642">
            <v>12.835199999999999</v>
          </cell>
        </row>
        <row r="643">
          <cell r="J643" t="str">
            <v>VALOR TOTAL</v>
          </cell>
          <cell r="K643"/>
          <cell r="L643">
            <v>4432.486560000003</v>
          </cell>
        </row>
        <row r="645">
          <cell r="B645" t="str">
            <v>2.1</v>
          </cell>
          <cell r="C645" t="str">
            <v>DESCRIPCION</v>
          </cell>
          <cell r="D645"/>
          <cell r="E645" t="str">
            <v>Excavación mecánica en material heterogéneo, con presencia de redes hidrosanitarias, eléctricas, voz y datos con nivel freático a partir de 0,8m en algunos casos</v>
          </cell>
          <cell r="F645"/>
          <cell r="G645"/>
          <cell r="H645"/>
          <cell r="I645" t="str">
            <v>UN</v>
          </cell>
          <cell r="J645" t="str">
            <v>M3</v>
          </cell>
          <cell r="K645" t="str">
            <v>CANTIDAD</v>
          </cell>
          <cell r="L645">
            <v>3180</v>
          </cell>
        </row>
        <row r="647">
          <cell r="B647" t="str">
            <v>COD EP</v>
          </cell>
          <cell r="C647" t="str">
            <v>COD EP</v>
          </cell>
          <cell r="D647" t="str">
            <v>DESCRIPCION /LOCALIZACION</v>
          </cell>
          <cell r="E647"/>
          <cell r="F647"/>
          <cell r="G647" t="str">
            <v>UNIDAD</v>
          </cell>
          <cell r="H647" t="str">
            <v>CAN/UN</v>
          </cell>
          <cell r="I647" t="str">
            <v>LARGO</v>
          </cell>
          <cell r="J647" t="str">
            <v>ANCHO</v>
          </cell>
          <cell r="K647" t="str">
            <v>ALTURA</v>
          </cell>
          <cell r="L647" t="str">
            <v>CAN MED</v>
          </cell>
        </row>
        <row r="648">
          <cell r="B648" t="str">
            <v xml:space="preserve">TUBERIA ALL </v>
          </cell>
          <cell r="C648" t="str">
            <v>SV_TOTAL</v>
          </cell>
          <cell r="D648" t="str">
            <v>TUBERIA ALL DE 12"</v>
          </cell>
          <cell r="E648"/>
          <cell r="F648"/>
          <cell r="G648" t="str">
            <v>M3</v>
          </cell>
          <cell r="H648">
            <v>1</v>
          </cell>
          <cell r="I648">
            <v>1797</v>
          </cell>
          <cell r="J648">
            <v>0.5</v>
          </cell>
          <cell r="K648">
            <v>0.7</v>
          </cell>
          <cell r="L648">
            <v>628.94999999999993</v>
          </cell>
        </row>
        <row r="649">
          <cell r="B649" t="str">
            <v xml:space="preserve">TUBERIA ALL </v>
          </cell>
          <cell r="C649" t="str">
            <v>SV_TOTAL</v>
          </cell>
          <cell r="D649" t="str">
            <v>TUBERIA ALL DE 16"</v>
          </cell>
          <cell r="E649"/>
          <cell r="F649"/>
          <cell r="G649" t="str">
            <v>M3</v>
          </cell>
          <cell r="H649">
            <v>1</v>
          </cell>
          <cell r="I649">
            <v>1428.02</v>
          </cell>
          <cell r="J649">
            <v>0.6</v>
          </cell>
          <cell r="K649">
            <v>0.9</v>
          </cell>
          <cell r="L649">
            <v>771.13080000000002</v>
          </cell>
        </row>
        <row r="650">
          <cell r="B650" t="str">
            <v xml:space="preserve">TUBERIA ALL </v>
          </cell>
          <cell r="C650" t="str">
            <v>SV_TOTAL</v>
          </cell>
          <cell r="D650" t="str">
            <v>TUBERIA ALL DE 18"</v>
          </cell>
          <cell r="E650"/>
          <cell r="F650"/>
          <cell r="G650" t="str">
            <v>M3</v>
          </cell>
          <cell r="H650">
            <v>1</v>
          </cell>
          <cell r="I650">
            <v>1228.6500000000001</v>
          </cell>
          <cell r="J650">
            <v>0.6</v>
          </cell>
          <cell r="K650">
            <v>0.9</v>
          </cell>
          <cell r="L650">
            <v>663.47100000000012</v>
          </cell>
        </row>
        <row r="651">
          <cell r="B651" t="str">
            <v xml:space="preserve">TUBERIA ALL </v>
          </cell>
          <cell r="C651" t="str">
            <v>SV_TOTAL</v>
          </cell>
          <cell r="D651" t="str">
            <v>TUBERIA ALL DE 24"</v>
          </cell>
          <cell r="E651"/>
          <cell r="F651"/>
          <cell r="G651" t="str">
            <v>M3</v>
          </cell>
          <cell r="H651">
            <v>1</v>
          </cell>
          <cell r="I651">
            <v>560</v>
          </cell>
          <cell r="J651">
            <v>0.6</v>
          </cell>
          <cell r="K651">
            <v>0.9</v>
          </cell>
          <cell r="L651">
            <v>302.40000000000003</v>
          </cell>
        </row>
        <row r="652">
          <cell r="B652" t="str">
            <v>CAJA DE INSPECCION 1*1*1</v>
          </cell>
          <cell r="C652" t="str">
            <v>SV_TOTAL</v>
          </cell>
          <cell r="D652" t="str">
            <v xml:space="preserve">CAJA SUMIDERO ALL </v>
          </cell>
          <cell r="E652"/>
          <cell r="F652"/>
          <cell r="G652" t="str">
            <v>M3</v>
          </cell>
          <cell r="H652">
            <v>1</v>
          </cell>
          <cell r="I652">
            <v>0.9</v>
          </cell>
          <cell r="J652">
            <v>1.2</v>
          </cell>
          <cell r="K652">
            <v>0.9</v>
          </cell>
          <cell r="L652">
            <v>0.97200000000000009</v>
          </cell>
        </row>
        <row r="653">
          <cell r="B653" t="str">
            <v xml:space="preserve">SUMIDERO </v>
          </cell>
          <cell r="C653" t="str">
            <v>SV_TOTAL</v>
          </cell>
          <cell r="D653" t="str">
            <v xml:space="preserve">CAJA SUMIDERO ALL </v>
          </cell>
          <cell r="E653"/>
          <cell r="F653"/>
          <cell r="G653" t="str">
            <v>M3</v>
          </cell>
          <cell r="H653">
            <v>560</v>
          </cell>
          <cell r="I653">
            <v>1.1000000000000001</v>
          </cell>
          <cell r="J653">
            <v>1.1000000000000001</v>
          </cell>
          <cell r="K653">
            <v>1.2</v>
          </cell>
          <cell r="L653">
            <v>813.12000000000012</v>
          </cell>
        </row>
        <row r="654">
          <cell r="J654" t="str">
            <v>VALOR TOTAL</v>
          </cell>
          <cell r="K654"/>
          <cell r="L654">
            <v>3180.0438000000004</v>
          </cell>
        </row>
        <row r="656">
          <cell r="B656" t="str">
            <v>2.2</v>
          </cell>
          <cell r="C656" t="str">
            <v>DESCRIPCION</v>
          </cell>
          <cell r="D656"/>
          <cell r="E656" t="str">
            <v>Transporte de material proveniente de excavación, entre 0 y 5 km de distancia, incluye expansión no incluye cargue</v>
          </cell>
          <cell r="F656"/>
          <cell r="G656"/>
          <cell r="H656"/>
          <cell r="I656" t="str">
            <v>UN</v>
          </cell>
          <cell r="J656" t="str">
            <v>m3</v>
          </cell>
          <cell r="K656" t="str">
            <v>CANTIDAD</v>
          </cell>
          <cell r="L656">
            <v>5385</v>
          </cell>
        </row>
        <row r="658">
          <cell r="B658" t="str">
            <v>COD EP</v>
          </cell>
          <cell r="C658" t="str">
            <v>COD EP</v>
          </cell>
          <cell r="D658" t="str">
            <v>DESCRIPCION /LOCALIZACION</v>
          </cell>
          <cell r="E658"/>
          <cell r="F658"/>
          <cell r="G658" t="str">
            <v>UNIDAD</v>
          </cell>
          <cell r="H658" t="str">
            <v>CAN/UN</v>
          </cell>
          <cell r="I658" t="str">
            <v>LARGO</v>
          </cell>
          <cell r="J658" t="str">
            <v>ANCHO</v>
          </cell>
          <cell r="K658" t="str">
            <v>ALTURA</v>
          </cell>
          <cell r="L658" t="str">
            <v>CAN MED</v>
          </cell>
        </row>
        <row r="659">
          <cell r="B659" t="str">
            <v>ITEM</v>
          </cell>
          <cell r="C659" t="str">
            <v>2.1</v>
          </cell>
          <cell r="D659" t="str">
            <v>MATERIALES VARIOS</v>
          </cell>
          <cell r="E659"/>
          <cell r="F659"/>
          <cell r="G659" t="str">
            <v>m3</v>
          </cell>
          <cell r="H659">
            <v>3180</v>
          </cell>
          <cell r="L659">
            <v>3180</v>
          </cell>
        </row>
        <row r="660">
          <cell r="B660" t="str">
            <v>ITEM</v>
          </cell>
          <cell r="C660" t="str">
            <v>3.1</v>
          </cell>
          <cell r="D660" t="str">
            <v>CAJEO</v>
          </cell>
          <cell r="E660"/>
          <cell r="F660"/>
          <cell r="G660" t="str">
            <v>m3</v>
          </cell>
          <cell r="H660">
            <v>2205.4994699999997</v>
          </cell>
          <cell r="L660">
            <v>2205.4994699999997</v>
          </cell>
        </row>
        <row r="661">
          <cell r="J661" t="str">
            <v>VALOR TOTAL</v>
          </cell>
          <cell r="K661"/>
          <cell r="L661">
            <v>5385.4994699999997</v>
          </cell>
        </row>
        <row r="663">
          <cell r="B663" t="str">
            <v>2.3</v>
          </cell>
          <cell r="C663" t="str">
            <v>DESCRIPCION</v>
          </cell>
          <cell r="D663"/>
          <cell r="E663" t="str">
            <v xml:space="preserve">Realce de válvula de acueducto, incluye suministro e instalación de accesorios </v>
          </cell>
          <cell r="F663"/>
          <cell r="G663"/>
          <cell r="H663"/>
          <cell r="I663" t="str">
            <v>UN</v>
          </cell>
          <cell r="J663" t="str">
            <v>UNIDAD</v>
          </cell>
          <cell r="K663" t="str">
            <v>CANTIDAD</v>
          </cell>
          <cell r="L663">
            <v>31</v>
          </cell>
        </row>
        <row r="665">
          <cell r="B665" t="str">
            <v>COD EP</v>
          </cell>
          <cell r="C665" t="str">
            <v>COD EP</v>
          </cell>
          <cell r="D665" t="str">
            <v>DESCRIPCION /LOCALIZACION</v>
          </cell>
          <cell r="E665"/>
          <cell r="F665"/>
          <cell r="G665" t="str">
            <v>UNIDAD</v>
          </cell>
          <cell r="H665" t="str">
            <v>CAN/UN</v>
          </cell>
          <cell r="I665" t="str">
            <v>LARGO</v>
          </cell>
          <cell r="J665" t="str">
            <v>ANCHO</v>
          </cell>
          <cell r="K665" t="str">
            <v>ALTURA</v>
          </cell>
          <cell r="L665" t="str">
            <v>CAN MED</v>
          </cell>
        </row>
        <row r="666">
          <cell r="B666" t="str">
            <v>CALLE 102C ENTRE CARRERA 19 Y 21</v>
          </cell>
          <cell r="C666" t="str">
            <v>DV_TOTALA</v>
          </cell>
          <cell r="D666" t="str">
            <v>BARRIO CIUDADELA INDUSTRIAL</v>
          </cell>
          <cell r="E666"/>
          <cell r="F666"/>
          <cell r="G666" t="str">
            <v>UNIDAD</v>
          </cell>
          <cell r="H666">
            <v>1</v>
          </cell>
          <cell r="L666">
            <v>1</v>
          </cell>
        </row>
        <row r="667">
          <cell r="B667" t="str">
            <v>CALLE 102B ENTRE CARRERA 19 Y 21</v>
          </cell>
          <cell r="C667" t="str">
            <v>DV_TOTALA</v>
          </cell>
          <cell r="D667" t="str">
            <v>BARRIO CIUDADELA INDUSTRIAL</v>
          </cell>
          <cell r="E667"/>
          <cell r="F667"/>
          <cell r="G667" t="str">
            <v>UNIDAD</v>
          </cell>
          <cell r="H667">
            <v>1</v>
          </cell>
          <cell r="L667">
            <v>1</v>
          </cell>
        </row>
        <row r="668">
          <cell r="B668" t="str">
            <v>CARRERA 20 ENTRE CALLE 102 B Y 102 D</v>
          </cell>
          <cell r="C668" t="str">
            <v>DV_TOTALA</v>
          </cell>
          <cell r="D668" t="str">
            <v>BARRIO CIUDADELA INDUSTRIAL</v>
          </cell>
          <cell r="E668"/>
          <cell r="F668"/>
          <cell r="G668" t="str">
            <v>UNIDAD</v>
          </cell>
          <cell r="H668">
            <v>1</v>
          </cell>
          <cell r="L668">
            <v>1</v>
          </cell>
        </row>
        <row r="669">
          <cell r="B669" t="str">
            <v>CARRERA 21 ENTRE CALLE 102 B Y 102 D</v>
          </cell>
          <cell r="C669" t="str">
            <v>DV_TOTALA</v>
          </cell>
          <cell r="D669" t="str">
            <v>BARRIO CIUDADELA INDUSTRIAL</v>
          </cell>
          <cell r="E669"/>
          <cell r="F669"/>
          <cell r="G669" t="str">
            <v>UNIDAD</v>
          </cell>
          <cell r="H669">
            <v>1</v>
          </cell>
          <cell r="L669">
            <v>1</v>
          </cell>
        </row>
        <row r="670">
          <cell r="B670" t="str">
            <v>CALLE 102D ENTRE CARRERA 20 Y 21A</v>
          </cell>
          <cell r="C670" t="str">
            <v>DV_TOTALA</v>
          </cell>
          <cell r="D670" t="str">
            <v>BARRIO CIUDADELA INDUSTRIAL</v>
          </cell>
          <cell r="E670"/>
          <cell r="F670"/>
          <cell r="G670" t="str">
            <v>UNIDAD</v>
          </cell>
          <cell r="H670">
            <v>1</v>
          </cell>
          <cell r="L670">
            <v>1</v>
          </cell>
        </row>
        <row r="671">
          <cell r="B671" t="str">
            <v>CALLE 102A ENTRE CARRERA 17 Y 19</v>
          </cell>
          <cell r="C671" t="str">
            <v>DV_TOTALB</v>
          </cell>
          <cell r="D671" t="str">
            <v>BARRIO JUAN XXIII</v>
          </cell>
          <cell r="E671"/>
          <cell r="F671"/>
          <cell r="G671" t="str">
            <v>UNIDAD</v>
          </cell>
          <cell r="H671">
            <v>1</v>
          </cell>
          <cell r="L671">
            <v>1</v>
          </cell>
        </row>
        <row r="672">
          <cell r="B672" t="str">
            <v>CALLE 102B ENTRE CARRERA 17 Y 19</v>
          </cell>
          <cell r="C672" t="str">
            <v>DV_TOTALB</v>
          </cell>
          <cell r="D672" t="str">
            <v>BARRIO JUAN XXIII</v>
          </cell>
          <cell r="E672"/>
          <cell r="F672"/>
          <cell r="G672" t="str">
            <v>UNIDAD</v>
          </cell>
          <cell r="H672">
            <v>1</v>
          </cell>
          <cell r="L672">
            <v>1</v>
          </cell>
        </row>
        <row r="673">
          <cell r="B673" t="str">
            <v>CALLE 102 ENTRE CARRERA 17 Y 19</v>
          </cell>
          <cell r="C673" t="str">
            <v>DV_TOTALB</v>
          </cell>
          <cell r="D673" t="str">
            <v>BARRIO JUAN XXIII</v>
          </cell>
          <cell r="E673"/>
          <cell r="F673"/>
          <cell r="G673" t="str">
            <v>UNIDAD</v>
          </cell>
          <cell r="H673">
            <v>1</v>
          </cell>
          <cell r="L673">
            <v>1</v>
          </cell>
        </row>
        <row r="674">
          <cell r="B674" t="str">
            <v>CALLE 101 ENTRE CARRERA 17 Y 17A</v>
          </cell>
          <cell r="C674" t="str">
            <v>DV_TOTALB</v>
          </cell>
          <cell r="D674" t="str">
            <v>BARRIO JUAN XXIII</v>
          </cell>
          <cell r="E674"/>
          <cell r="F674"/>
          <cell r="G674" t="str">
            <v>UNIDAD</v>
          </cell>
          <cell r="H674">
            <v>1</v>
          </cell>
          <cell r="L674">
            <v>1</v>
          </cell>
        </row>
        <row r="675">
          <cell r="B675" t="str">
            <v>CARRERA 17A ENTRE CALLE 101 Y 102</v>
          </cell>
          <cell r="C675" t="str">
            <v>DV_TOTALB</v>
          </cell>
          <cell r="D675" t="str">
            <v>BARRIO JUAN XXIII</v>
          </cell>
          <cell r="E675"/>
          <cell r="F675"/>
          <cell r="G675" t="str">
            <v>UNIDAD</v>
          </cell>
          <cell r="H675">
            <v>1</v>
          </cell>
          <cell r="L675">
            <v>1</v>
          </cell>
        </row>
        <row r="676">
          <cell r="B676" t="str">
            <v>CARRERA 17 ENTRE CALLE 100 102B</v>
          </cell>
          <cell r="C676" t="str">
            <v>DV_TOTALB</v>
          </cell>
          <cell r="D676" t="str">
            <v>BARRIO JUAN XXIII</v>
          </cell>
          <cell r="E676"/>
          <cell r="F676"/>
          <cell r="G676" t="str">
            <v>UNIDAD</v>
          </cell>
          <cell r="H676">
            <v>1</v>
          </cell>
          <cell r="L676">
            <v>1</v>
          </cell>
        </row>
        <row r="677">
          <cell r="B677" t="str">
            <v>CALLE 99E ENTRE LOTE Y CRA 17</v>
          </cell>
          <cell r="C677" t="str">
            <v>DV_TOTALC</v>
          </cell>
          <cell r="D677" t="str">
            <v>BARRIO LAS DELICIAS</v>
          </cell>
          <cell r="E677"/>
          <cell r="F677"/>
          <cell r="G677" t="str">
            <v>UNIDAD</v>
          </cell>
          <cell r="H677">
            <v>1</v>
          </cell>
          <cell r="L677">
            <v>1</v>
          </cell>
        </row>
        <row r="678">
          <cell r="B678" t="str">
            <v>CALLE 99D ENTRE LOTE Y CRA 17</v>
          </cell>
          <cell r="C678" t="str">
            <v>DV_TOTALC</v>
          </cell>
          <cell r="D678" t="str">
            <v>BARRIO LAS DELICIAS</v>
          </cell>
          <cell r="E678"/>
          <cell r="F678"/>
          <cell r="G678" t="str">
            <v>UNIDAD</v>
          </cell>
          <cell r="H678">
            <v>1</v>
          </cell>
          <cell r="L678">
            <v>1</v>
          </cell>
        </row>
        <row r="679">
          <cell r="B679" t="str">
            <v>CALLE 99C ENTRE LOTE Y CRA 17</v>
          </cell>
          <cell r="C679" t="str">
            <v>DV_TOTALC</v>
          </cell>
          <cell r="D679" t="str">
            <v>BARRIO LAS DELICIAS</v>
          </cell>
          <cell r="E679"/>
          <cell r="F679"/>
          <cell r="G679" t="str">
            <v>UNIDAD</v>
          </cell>
          <cell r="H679">
            <v>1</v>
          </cell>
          <cell r="L679">
            <v>1</v>
          </cell>
        </row>
        <row r="680">
          <cell r="B680" t="str">
            <v>CALLE 99B ENTRE LOTE Y CRA 17</v>
          </cell>
          <cell r="C680" t="str">
            <v>DV_TOTALC</v>
          </cell>
          <cell r="D680" t="str">
            <v>BARRIO LAS DELICIAS</v>
          </cell>
          <cell r="E680"/>
          <cell r="F680"/>
          <cell r="G680" t="str">
            <v>UNIDAD</v>
          </cell>
          <cell r="H680">
            <v>1</v>
          </cell>
          <cell r="L680">
            <v>1</v>
          </cell>
        </row>
        <row r="681">
          <cell r="B681" t="str">
            <v>CALLE 99A ENTRE LOTE Y CRA 17</v>
          </cell>
          <cell r="C681" t="str">
            <v>DV_TOTALC</v>
          </cell>
          <cell r="D681" t="str">
            <v>BARRIO LAS DELICIAS</v>
          </cell>
          <cell r="E681"/>
          <cell r="F681"/>
          <cell r="G681" t="str">
            <v>UNIDAD</v>
          </cell>
          <cell r="H681">
            <v>1</v>
          </cell>
          <cell r="L681">
            <v>1</v>
          </cell>
        </row>
        <row r="682">
          <cell r="B682" t="str">
            <v>CALLE 99AA ENTRE LOTE Y CRA 17</v>
          </cell>
          <cell r="C682" t="str">
            <v>DV_TOTALC</v>
          </cell>
          <cell r="D682" t="str">
            <v>BARRIO LAS DELICIAS</v>
          </cell>
          <cell r="E682"/>
          <cell r="F682"/>
          <cell r="G682" t="str">
            <v>UNIDAD</v>
          </cell>
          <cell r="H682">
            <v>1</v>
          </cell>
          <cell r="L682">
            <v>1</v>
          </cell>
        </row>
        <row r="683">
          <cell r="B683" t="str">
            <v>CARRERA 17 ENTRE CALL 99 Y 100</v>
          </cell>
          <cell r="C683" t="str">
            <v>DV_TOTALC</v>
          </cell>
          <cell r="D683" t="str">
            <v>BARRIO LAS DELICIAS</v>
          </cell>
          <cell r="E683"/>
          <cell r="F683"/>
          <cell r="G683" t="str">
            <v>UNIDAD</v>
          </cell>
          <cell r="H683">
            <v>1</v>
          </cell>
          <cell r="L683">
            <v>1</v>
          </cell>
        </row>
        <row r="684">
          <cell r="B684" t="str">
            <v>CARRERA 17A ENTRE CALL 99 Y 100</v>
          </cell>
          <cell r="C684" t="str">
            <v>DV_TOTALC</v>
          </cell>
          <cell r="D684" t="str">
            <v>BARRIO LAS DELICIAS</v>
          </cell>
          <cell r="E684"/>
          <cell r="F684"/>
          <cell r="G684" t="str">
            <v>UNIDAD</v>
          </cell>
          <cell r="H684">
            <v>1</v>
          </cell>
          <cell r="L684">
            <v>1</v>
          </cell>
        </row>
        <row r="685">
          <cell r="B685" t="str">
            <v>CALLE 97A ENTRE 19 Y 23</v>
          </cell>
          <cell r="C685" t="str">
            <v>DV_TOTALD</v>
          </cell>
          <cell r="D685" t="str">
            <v>BARRIO EL BOSQUE</v>
          </cell>
          <cell r="E685"/>
          <cell r="F685"/>
          <cell r="G685" t="str">
            <v>UNIDAD</v>
          </cell>
          <cell r="H685">
            <v>1</v>
          </cell>
          <cell r="L685">
            <v>1</v>
          </cell>
        </row>
        <row r="686">
          <cell r="B686" t="str">
            <v>CALLE 97 ENTRE 19 Y 23</v>
          </cell>
          <cell r="C686" t="str">
            <v>DV_TOTALD</v>
          </cell>
          <cell r="D686" t="str">
            <v>BARRIO EL BOSQUE</v>
          </cell>
          <cell r="E686"/>
          <cell r="F686"/>
          <cell r="G686" t="str">
            <v>UNIDAD</v>
          </cell>
          <cell r="H686">
            <v>1</v>
          </cell>
          <cell r="L686">
            <v>1</v>
          </cell>
        </row>
        <row r="687">
          <cell r="B687" t="str">
            <v>CALLE 96A ENTRE 19 Y 23</v>
          </cell>
          <cell r="C687" t="str">
            <v>DV_TOTALD</v>
          </cell>
          <cell r="D687" t="str">
            <v>BARRIO EL BOSQUE</v>
          </cell>
          <cell r="E687"/>
          <cell r="F687"/>
          <cell r="G687" t="str">
            <v>UNIDAD</v>
          </cell>
          <cell r="H687">
            <v>1</v>
          </cell>
          <cell r="L687">
            <v>1</v>
          </cell>
        </row>
        <row r="688">
          <cell r="B688" t="str">
            <v>CALLE 96 ENTRE 19 Y 23</v>
          </cell>
          <cell r="C688" t="str">
            <v>DV_TOTALD</v>
          </cell>
          <cell r="D688" t="str">
            <v>BARRIO EL BOSQUE</v>
          </cell>
          <cell r="E688"/>
          <cell r="F688"/>
          <cell r="G688" t="str">
            <v>UNIDAD</v>
          </cell>
          <cell r="H688">
            <v>1</v>
          </cell>
          <cell r="L688">
            <v>1</v>
          </cell>
        </row>
        <row r="689">
          <cell r="B689" t="str">
            <v>CALLE 95 ENTRE 19 Y 23</v>
          </cell>
          <cell r="C689" t="str">
            <v>DV_TOTALD</v>
          </cell>
          <cell r="D689" t="str">
            <v>BARRIO EL BOSQUE</v>
          </cell>
          <cell r="E689"/>
          <cell r="F689"/>
          <cell r="G689" t="str">
            <v>UNIDAD</v>
          </cell>
          <cell r="H689">
            <v>1</v>
          </cell>
          <cell r="L689">
            <v>1</v>
          </cell>
        </row>
        <row r="690">
          <cell r="B690" t="str">
            <v>CALLE 94 ENTRE 19 Y 23</v>
          </cell>
          <cell r="C690" t="str">
            <v>DV_TOTALD</v>
          </cell>
          <cell r="D690" t="str">
            <v>BARRIO EL BOSQUE</v>
          </cell>
          <cell r="E690"/>
          <cell r="F690"/>
          <cell r="G690" t="str">
            <v>UNIDAD</v>
          </cell>
          <cell r="H690">
            <v>1</v>
          </cell>
          <cell r="L690">
            <v>1</v>
          </cell>
        </row>
        <row r="691">
          <cell r="B691" t="str">
            <v>CALLE 93 ENTRE 15 Y 23</v>
          </cell>
          <cell r="C691" t="str">
            <v>DV_TOTALD</v>
          </cell>
          <cell r="D691" t="str">
            <v>BARRIO EL BOSQUE</v>
          </cell>
          <cell r="E691"/>
          <cell r="F691"/>
          <cell r="G691" t="str">
            <v>UNIDAD</v>
          </cell>
          <cell r="H691">
            <v>1</v>
          </cell>
          <cell r="L691">
            <v>1</v>
          </cell>
        </row>
        <row r="692">
          <cell r="B692" t="str">
            <v>CARRERA 17 ENTRE CALLE 94 Y 97A</v>
          </cell>
          <cell r="C692" t="str">
            <v>DV_TOTALD</v>
          </cell>
          <cell r="D692" t="str">
            <v>BARRIO EL BOSQUE</v>
          </cell>
          <cell r="E692"/>
          <cell r="F692"/>
          <cell r="G692" t="str">
            <v>UNIDAD</v>
          </cell>
          <cell r="H692">
            <v>1</v>
          </cell>
          <cell r="L692">
            <v>1</v>
          </cell>
        </row>
        <row r="693">
          <cell r="B693" t="str">
            <v>CARRERA 20 ENTRE CALLE 93 Y 97A</v>
          </cell>
          <cell r="C693" t="str">
            <v>DV_TOTALD</v>
          </cell>
          <cell r="D693" t="str">
            <v>BARRIO EL BOSQUE</v>
          </cell>
          <cell r="E693"/>
          <cell r="F693"/>
          <cell r="G693" t="str">
            <v>UNIDAD</v>
          </cell>
          <cell r="H693">
            <v>1</v>
          </cell>
          <cell r="L693">
            <v>1</v>
          </cell>
        </row>
        <row r="694">
          <cell r="B694" t="str">
            <v>CARRERA 21 ENTRE CALLE 93 Y 97A</v>
          </cell>
          <cell r="C694" t="str">
            <v>DV_TOTALD</v>
          </cell>
          <cell r="D694" t="str">
            <v>BARRIO EL BOSQUE</v>
          </cell>
          <cell r="E694"/>
          <cell r="F694"/>
          <cell r="G694" t="str">
            <v>UNIDAD</v>
          </cell>
          <cell r="H694">
            <v>1</v>
          </cell>
          <cell r="L694">
            <v>1</v>
          </cell>
        </row>
        <row r="695">
          <cell r="B695" t="e">
            <v>#N/A</v>
          </cell>
          <cell r="C695" t="str">
            <v>DV_TOTALD</v>
          </cell>
          <cell r="D695" t="str">
            <v>BARRIO EL BOSQUE</v>
          </cell>
          <cell r="E695"/>
          <cell r="F695"/>
          <cell r="G695" t="str">
            <v>UNIDAD</v>
          </cell>
          <cell r="H695">
            <v>1</v>
          </cell>
          <cell r="L695">
            <v>1</v>
          </cell>
        </row>
        <row r="696">
          <cell r="B696" t="str">
            <v>CALLE 110 ENTRE CARRERA 14 Y 27</v>
          </cell>
          <cell r="C696" t="str">
            <v>DV_TOTALD</v>
          </cell>
          <cell r="D696" t="str">
            <v>BARRIO EL BOSQUE</v>
          </cell>
          <cell r="E696"/>
          <cell r="F696"/>
          <cell r="G696" t="str">
            <v>UNIDAD</v>
          </cell>
          <cell r="H696">
            <v>1</v>
          </cell>
          <cell r="L696">
            <v>1</v>
          </cell>
        </row>
        <row r="697">
          <cell r="B697"/>
          <cell r="C697"/>
          <cell r="D697"/>
          <cell r="E697"/>
          <cell r="F697"/>
          <cell r="G697"/>
          <cell r="H697"/>
          <cell r="J697" t="str">
            <v>VALOR TOTAL</v>
          </cell>
          <cell r="K697"/>
          <cell r="L697">
            <v>31</v>
          </cell>
        </row>
        <row r="698">
          <cell r="B698"/>
          <cell r="C698"/>
          <cell r="D698"/>
          <cell r="E698"/>
          <cell r="F698"/>
          <cell r="G698"/>
          <cell r="H698"/>
        </row>
        <row r="699">
          <cell r="B699" t="str">
            <v>2.4</v>
          </cell>
          <cell r="C699" t="str">
            <v>DESCRIPCION</v>
          </cell>
          <cell r="D699"/>
          <cell r="E699" t="str">
            <v>Realce de caja inspección circular, incluye herraje para cuello y tapa, incluye formaleta no recuperable</v>
          </cell>
          <cell r="F699"/>
          <cell r="G699"/>
          <cell r="H699"/>
          <cell r="I699" t="str">
            <v>UN</v>
          </cell>
          <cell r="J699" t="str">
            <v>UNIDAD</v>
          </cell>
          <cell r="K699" t="str">
            <v>CANTIDAD</v>
          </cell>
          <cell r="L699">
            <v>132</v>
          </cell>
        </row>
        <row r="701">
          <cell r="B701" t="str">
            <v>COD EP</v>
          </cell>
          <cell r="C701" t="str">
            <v>COD EP</v>
          </cell>
          <cell r="D701" t="str">
            <v>DESCRIPCION /LOCALIZACION</v>
          </cell>
          <cell r="E701"/>
          <cell r="F701"/>
          <cell r="G701" t="str">
            <v>UNIDAD</v>
          </cell>
          <cell r="H701" t="str">
            <v>CAN/UN</v>
          </cell>
          <cell r="I701" t="str">
            <v>LARGO</v>
          </cell>
          <cell r="J701" t="str">
            <v>ANCHO</v>
          </cell>
          <cell r="K701" t="str">
            <v>ALTURA</v>
          </cell>
          <cell r="L701" t="str">
            <v>CAN MED</v>
          </cell>
        </row>
        <row r="702">
          <cell r="B702" t="str">
            <v>CRA 19 * 102C</v>
          </cell>
          <cell r="C702" t="str">
            <v>DV_TOTALA</v>
          </cell>
          <cell r="D702" t="str">
            <v>BARRIO CIUDADELA INDUSTRIAL</v>
          </cell>
          <cell r="E702"/>
          <cell r="F702"/>
          <cell r="G702" t="str">
            <v>UNIDAD</v>
          </cell>
          <cell r="H702">
            <v>1</v>
          </cell>
          <cell r="L702">
            <v>1</v>
          </cell>
        </row>
        <row r="703">
          <cell r="B703" t="str">
            <v>CRA 20 * 102C</v>
          </cell>
          <cell r="C703" t="str">
            <v>DV_TOTALA</v>
          </cell>
          <cell r="D703" t="str">
            <v>BARRIO CIUDADELA INDUSTRIAL</v>
          </cell>
          <cell r="E703"/>
          <cell r="F703"/>
          <cell r="G703" t="str">
            <v>UNIDAD</v>
          </cell>
          <cell r="H703">
            <v>1</v>
          </cell>
          <cell r="L703">
            <v>1</v>
          </cell>
        </row>
        <row r="704">
          <cell r="B704" t="str">
            <v xml:space="preserve">CRA 21 * 102C </v>
          </cell>
          <cell r="C704" t="str">
            <v>DV_TOTALA</v>
          </cell>
          <cell r="D704" t="str">
            <v>BARRIO CIUDADELA INDUSTRIAL</v>
          </cell>
          <cell r="E704"/>
          <cell r="F704"/>
          <cell r="G704" t="str">
            <v>UNIDAD</v>
          </cell>
          <cell r="H704">
            <v>1</v>
          </cell>
          <cell r="L704">
            <v>1</v>
          </cell>
        </row>
        <row r="705">
          <cell r="B705" t="str">
            <v>CRA 19 * 102B</v>
          </cell>
          <cell r="C705" t="str">
            <v>DV_TOTALA</v>
          </cell>
          <cell r="D705" t="str">
            <v>BARRIO CIUDADELA INDUSTRIAL</v>
          </cell>
          <cell r="E705"/>
          <cell r="F705"/>
          <cell r="G705" t="str">
            <v>UNIDAD</v>
          </cell>
          <cell r="H705">
            <v>1</v>
          </cell>
          <cell r="L705">
            <v>1</v>
          </cell>
        </row>
        <row r="706">
          <cell r="B706" t="str">
            <v>CRA 20 * 102B</v>
          </cell>
          <cell r="C706" t="str">
            <v>DV_TOTALA</v>
          </cell>
          <cell r="D706" t="str">
            <v>BARRIO CIUDADELA INDUSTRIAL</v>
          </cell>
          <cell r="E706"/>
          <cell r="F706"/>
          <cell r="G706" t="str">
            <v>UNIDAD</v>
          </cell>
          <cell r="H706">
            <v>1</v>
          </cell>
          <cell r="L706">
            <v>1</v>
          </cell>
        </row>
        <row r="707">
          <cell r="B707" t="str">
            <v>CRA 21 * 102B</v>
          </cell>
          <cell r="C707" t="str">
            <v>DV_TOTALA</v>
          </cell>
          <cell r="D707" t="str">
            <v>BARRIO CIUDADELA INDUSTRIAL</v>
          </cell>
          <cell r="E707"/>
          <cell r="F707"/>
          <cell r="G707" t="str">
            <v>UNIDAD</v>
          </cell>
          <cell r="H707">
            <v>1</v>
          </cell>
          <cell r="L707">
            <v>1</v>
          </cell>
        </row>
        <row r="708">
          <cell r="B708" t="str">
            <v>CRA 21A * 102B</v>
          </cell>
          <cell r="C708" t="str">
            <v>DV_TOTALA</v>
          </cell>
          <cell r="D708" t="str">
            <v>BARRIO CIUDADELA INDUSTRIAL</v>
          </cell>
          <cell r="E708"/>
          <cell r="F708"/>
          <cell r="G708" t="str">
            <v>UNIDAD</v>
          </cell>
          <cell r="H708">
            <v>1</v>
          </cell>
          <cell r="L708">
            <v>1</v>
          </cell>
        </row>
        <row r="709">
          <cell r="B709" t="str">
            <v>CLL 102B * CRA 20</v>
          </cell>
          <cell r="C709" t="str">
            <v>DV_TOTALA</v>
          </cell>
          <cell r="D709" t="str">
            <v>BARRIO CIUDADELA INDUSTRIAL</v>
          </cell>
          <cell r="E709"/>
          <cell r="F709"/>
          <cell r="G709" t="str">
            <v>UNIDAD</v>
          </cell>
          <cell r="H709">
            <v>1</v>
          </cell>
          <cell r="L709">
            <v>1</v>
          </cell>
        </row>
        <row r="710">
          <cell r="B710" t="str">
            <v>CLL 102C * CRA 20</v>
          </cell>
          <cell r="C710" t="str">
            <v>DV_TOTALA</v>
          </cell>
          <cell r="D710" t="str">
            <v>BARRIO CIUDADELA INDUSTRIAL</v>
          </cell>
          <cell r="E710"/>
          <cell r="F710"/>
          <cell r="G710" t="str">
            <v>UNIDAD</v>
          </cell>
          <cell r="H710">
            <v>1</v>
          </cell>
          <cell r="L710">
            <v>1</v>
          </cell>
        </row>
        <row r="711">
          <cell r="B711" t="str">
            <v>CLL 102D * CRA 20</v>
          </cell>
          <cell r="C711" t="str">
            <v>DV_TOTALA</v>
          </cell>
          <cell r="D711" t="str">
            <v>BARRIO CIUDADELA INDUSTRIAL</v>
          </cell>
          <cell r="E711"/>
          <cell r="F711"/>
          <cell r="G711" t="str">
            <v>UNIDAD</v>
          </cell>
          <cell r="H711">
            <v>1</v>
          </cell>
          <cell r="L711">
            <v>1</v>
          </cell>
        </row>
        <row r="712">
          <cell r="B712" t="str">
            <v>CLL 102B * CRA 21</v>
          </cell>
          <cell r="C712" t="str">
            <v>DV_TOTALA</v>
          </cell>
          <cell r="D712" t="str">
            <v>BARRIO CIUDADELA INDUSTRIAL</v>
          </cell>
          <cell r="E712"/>
          <cell r="F712"/>
          <cell r="G712" t="str">
            <v>UNIDAD</v>
          </cell>
          <cell r="H712">
            <v>1</v>
          </cell>
          <cell r="L712">
            <v>1</v>
          </cell>
        </row>
        <row r="713">
          <cell r="B713" t="str">
            <v>CLL 102C * CRA 21</v>
          </cell>
          <cell r="C713" t="str">
            <v>DV_TOTALA</v>
          </cell>
          <cell r="D713" t="str">
            <v>BARRIO CIUDADELA INDUSTRIAL</v>
          </cell>
          <cell r="E713"/>
          <cell r="F713"/>
          <cell r="G713" t="str">
            <v>UNIDAD</v>
          </cell>
          <cell r="H713">
            <v>1</v>
          </cell>
          <cell r="L713">
            <v>1</v>
          </cell>
        </row>
        <row r="714">
          <cell r="B714" t="str">
            <v>CLL 102D * CRA 21</v>
          </cell>
          <cell r="C714" t="str">
            <v>DV_TOTALA</v>
          </cell>
          <cell r="D714" t="str">
            <v>BARRIO CIUDADELA INDUSTRIAL</v>
          </cell>
          <cell r="E714"/>
          <cell r="F714"/>
          <cell r="G714" t="str">
            <v>UNIDAD</v>
          </cell>
          <cell r="H714">
            <v>1</v>
          </cell>
          <cell r="L714">
            <v>1</v>
          </cell>
        </row>
        <row r="715">
          <cell r="B715" t="str">
            <v>CRA 20 * CALLE 102C</v>
          </cell>
          <cell r="C715" t="str">
            <v>DV_TOTALA</v>
          </cell>
          <cell r="D715" t="str">
            <v>BARRIO CIUDADELA INDUSTRIAL</v>
          </cell>
          <cell r="E715"/>
          <cell r="F715"/>
          <cell r="G715" t="str">
            <v>UNIDAD</v>
          </cell>
          <cell r="H715">
            <v>1</v>
          </cell>
          <cell r="L715">
            <v>1</v>
          </cell>
        </row>
        <row r="716">
          <cell r="B716" t="str">
            <v>CRA 21* CALLE 102C</v>
          </cell>
          <cell r="C716" t="str">
            <v>DV_TOTALA</v>
          </cell>
          <cell r="D716" t="str">
            <v>BARRIO CIUDADELA INDUSTRIAL</v>
          </cell>
          <cell r="E716"/>
          <cell r="F716"/>
          <cell r="G716" t="str">
            <v>UNIDAD</v>
          </cell>
          <cell r="H716">
            <v>1</v>
          </cell>
          <cell r="L716">
            <v>1</v>
          </cell>
        </row>
        <row r="717">
          <cell r="B717" t="str">
            <v>CRA 17 * CLL  102A</v>
          </cell>
          <cell r="C717" t="str">
            <v>DV_TOTALB</v>
          </cell>
          <cell r="D717" t="str">
            <v>BARRIO JUAN XXIII</v>
          </cell>
          <cell r="E717"/>
          <cell r="F717"/>
          <cell r="G717" t="str">
            <v>UNIDAD</v>
          </cell>
          <cell r="H717">
            <v>1</v>
          </cell>
          <cell r="L717">
            <v>1</v>
          </cell>
        </row>
        <row r="718">
          <cell r="B718" t="str">
            <v>CRA 19 * CLL  102A</v>
          </cell>
          <cell r="C718" t="str">
            <v>DV_TOTALB</v>
          </cell>
          <cell r="D718" t="str">
            <v>BARRIO JUAN XXIII</v>
          </cell>
          <cell r="E718"/>
          <cell r="F718"/>
          <cell r="G718" t="str">
            <v>UNIDAD</v>
          </cell>
          <cell r="H718">
            <v>1</v>
          </cell>
          <cell r="L718">
            <v>1</v>
          </cell>
        </row>
        <row r="719">
          <cell r="B719" t="str">
            <v>CRA 17 * CALLE 102B</v>
          </cell>
          <cell r="C719" t="str">
            <v>DV_TOTALB</v>
          </cell>
          <cell r="D719" t="str">
            <v>BARRIO JUAN XXIII</v>
          </cell>
          <cell r="E719"/>
          <cell r="F719"/>
          <cell r="G719" t="str">
            <v>UNIDAD</v>
          </cell>
          <cell r="H719">
            <v>1</v>
          </cell>
          <cell r="L719">
            <v>1</v>
          </cell>
        </row>
        <row r="720">
          <cell r="B720" t="str">
            <v>CRA 19 * CALLE 102B</v>
          </cell>
          <cell r="C720" t="str">
            <v>DV_TOTALB</v>
          </cell>
          <cell r="D720" t="str">
            <v>BARRIO JUAN XXIII</v>
          </cell>
          <cell r="E720"/>
          <cell r="F720"/>
          <cell r="G720" t="str">
            <v>UNIDAD</v>
          </cell>
          <cell r="H720">
            <v>1</v>
          </cell>
          <cell r="L720">
            <v>1</v>
          </cell>
        </row>
        <row r="721">
          <cell r="B721" t="str">
            <v>CRA 17 * CALLE 102</v>
          </cell>
          <cell r="C721" t="str">
            <v>DV_TOTALB</v>
          </cell>
          <cell r="D721" t="str">
            <v>BARRIO JUAN XXIII</v>
          </cell>
          <cell r="E721"/>
          <cell r="F721"/>
          <cell r="G721" t="str">
            <v>UNIDAD</v>
          </cell>
          <cell r="H721">
            <v>1</v>
          </cell>
          <cell r="L721">
            <v>1</v>
          </cell>
        </row>
        <row r="722">
          <cell r="B722" t="str">
            <v>CRA 17A * CALLE 102</v>
          </cell>
          <cell r="C722" t="str">
            <v>DV_TOTALB</v>
          </cell>
          <cell r="D722" t="str">
            <v>BARRIO JUAN XXIII</v>
          </cell>
          <cell r="E722"/>
          <cell r="F722"/>
          <cell r="G722" t="str">
            <v>UNIDAD</v>
          </cell>
          <cell r="H722">
            <v>1</v>
          </cell>
          <cell r="L722">
            <v>1</v>
          </cell>
        </row>
        <row r="723">
          <cell r="B723" t="str">
            <v>CRA 19 * CALLE 102</v>
          </cell>
          <cell r="C723" t="str">
            <v>DV_TOTALB</v>
          </cell>
          <cell r="D723" t="str">
            <v>BARRIO JUAN XXIII</v>
          </cell>
          <cell r="E723"/>
          <cell r="F723"/>
          <cell r="G723" t="str">
            <v>UNIDAD</v>
          </cell>
          <cell r="H723">
            <v>1</v>
          </cell>
          <cell r="L723">
            <v>1</v>
          </cell>
        </row>
        <row r="724">
          <cell r="B724" t="str">
            <v>CRA 17 * CALLE 101</v>
          </cell>
          <cell r="C724" t="str">
            <v>DV_TOTALB</v>
          </cell>
          <cell r="D724" t="str">
            <v>BARRIO JUAN XXIII</v>
          </cell>
          <cell r="E724"/>
          <cell r="F724"/>
          <cell r="G724" t="str">
            <v>UNIDAD</v>
          </cell>
          <cell r="H724">
            <v>1</v>
          </cell>
          <cell r="L724">
            <v>1</v>
          </cell>
        </row>
        <row r="725">
          <cell r="B725" t="str">
            <v>CRA 17A * CALLE 101</v>
          </cell>
          <cell r="C725" t="str">
            <v>DV_TOTALB</v>
          </cell>
          <cell r="D725" t="str">
            <v>BARRIO JUAN XXIII</v>
          </cell>
          <cell r="E725"/>
          <cell r="F725"/>
          <cell r="G725" t="str">
            <v>UNIDAD</v>
          </cell>
          <cell r="H725">
            <v>1</v>
          </cell>
          <cell r="L725">
            <v>1</v>
          </cell>
        </row>
        <row r="726">
          <cell r="B726" t="str">
            <v>CLL 101 * CRA 17A</v>
          </cell>
          <cell r="C726" t="str">
            <v>DV_TOTALB</v>
          </cell>
          <cell r="D726" t="str">
            <v>BARRIO JUAN XXIII</v>
          </cell>
          <cell r="E726"/>
          <cell r="F726"/>
          <cell r="G726" t="str">
            <v>UNIDAD</v>
          </cell>
          <cell r="H726">
            <v>1</v>
          </cell>
          <cell r="L726">
            <v>1</v>
          </cell>
        </row>
        <row r="727">
          <cell r="B727" t="str">
            <v>CLL 102 * CRA 17A</v>
          </cell>
          <cell r="C727" t="str">
            <v>DV_TOTALB</v>
          </cell>
          <cell r="D727" t="str">
            <v>BARRIO JUAN XXIII</v>
          </cell>
          <cell r="E727"/>
          <cell r="F727"/>
          <cell r="G727" t="str">
            <v>UNIDAD</v>
          </cell>
          <cell r="H727">
            <v>1</v>
          </cell>
          <cell r="L727">
            <v>1</v>
          </cell>
        </row>
        <row r="728">
          <cell r="B728" t="str">
            <v>CLL 100 * CRA 17</v>
          </cell>
          <cell r="C728" t="str">
            <v>DV_TOTALB</v>
          </cell>
          <cell r="D728" t="str">
            <v>BARRIO JUAN XXIII</v>
          </cell>
          <cell r="E728"/>
          <cell r="F728"/>
          <cell r="G728" t="str">
            <v>UNIDAD</v>
          </cell>
          <cell r="H728">
            <v>1</v>
          </cell>
          <cell r="L728">
            <v>1</v>
          </cell>
        </row>
        <row r="729">
          <cell r="B729" t="str">
            <v>CLL 101 * CRA 17</v>
          </cell>
          <cell r="C729" t="str">
            <v>DV_TOTALB</v>
          </cell>
          <cell r="D729" t="str">
            <v>BARRIO JUAN XXIII</v>
          </cell>
          <cell r="E729"/>
          <cell r="F729"/>
          <cell r="G729" t="str">
            <v>UNIDAD</v>
          </cell>
          <cell r="H729">
            <v>1</v>
          </cell>
          <cell r="L729">
            <v>1</v>
          </cell>
        </row>
        <row r="730">
          <cell r="B730" t="str">
            <v>CLL 102 * CRA 17</v>
          </cell>
          <cell r="C730" t="str">
            <v>DV_TOTALB</v>
          </cell>
          <cell r="D730" t="str">
            <v>BARRIO JUAN XXIII</v>
          </cell>
          <cell r="E730"/>
          <cell r="F730"/>
          <cell r="G730" t="str">
            <v>UNIDAD</v>
          </cell>
          <cell r="H730">
            <v>1</v>
          </cell>
          <cell r="L730">
            <v>1</v>
          </cell>
        </row>
        <row r="731">
          <cell r="B731" t="str">
            <v>CLL 102A * CRA 17</v>
          </cell>
          <cell r="C731" t="str">
            <v>DV_TOTALB</v>
          </cell>
          <cell r="D731" t="str">
            <v>BARRIO JUAN XXIII</v>
          </cell>
          <cell r="E731"/>
          <cell r="F731"/>
          <cell r="G731" t="str">
            <v>UNIDAD</v>
          </cell>
          <cell r="H731">
            <v>1</v>
          </cell>
          <cell r="L731">
            <v>1</v>
          </cell>
        </row>
        <row r="732">
          <cell r="B732" t="str">
            <v>CLL 102B * CRA 17</v>
          </cell>
          <cell r="C732" t="str">
            <v>DV_TOTALB</v>
          </cell>
          <cell r="D732" t="str">
            <v>BARRIO JUAN XXIII</v>
          </cell>
          <cell r="E732"/>
          <cell r="F732"/>
          <cell r="G732" t="str">
            <v>UNIDAD</v>
          </cell>
          <cell r="H732">
            <v>1</v>
          </cell>
          <cell r="L732">
            <v>1</v>
          </cell>
        </row>
        <row r="733">
          <cell r="B733" t="str">
            <v>LOTE *CLL99E</v>
          </cell>
          <cell r="C733" t="str">
            <v>DV_TOTALC</v>
          </cell>
          <cell r="D733" t="str">
            <v>BARRIO LAS DELICIAS</v>
          </cell>
          <cell r="E733"/>
          <cell r="F733"/>
          <cell r="G733" t="str">
            <v>UNIDAD</v>
          </cell>
          <cell r="H733">
            <v>1</v>
          </cell>
          <cell r="L733">
            <v>1</v>
          </cell>
        </row>
        <row r="734">
          <cell r="B734" t="str">
            <v>CRA 16A * CLL 99E</v>
          </cell>
          <cell r="C734" t="str">
            <v>DV_TOTALC</v>
          </cell>
          <cell r="D734" t="str">
            <v>BARRIO LAS DELICIAS</v>
          </cell>
          <cell r="E734"/>
          <cell r="F734"/>
          <cell r="G734" t="str">
            <v>UNIDAD</v>
          </cell>
          <cell r="H734">
            <v>1</v>
          </cell>
          <cell r="L734">
            <v>1</v>
          </cell>
        </row>
        <row r="735">
          <cell r="B735" t="str">
            <v>CRA 17 * CLL 99E</v>
          </cell>
          <cell r="C735" t="str">
            <v>DV_TOTALC</v>
          </cell>
          <cell r="D735" t="str">
            <v>BARRIO LAS DELICIAS</v>
          </cell>
          <cell r="E735"/>
          <cell r="F735"/>
          <cell r="G735" t="str">
            <v>UNIDAD</v>
          </cell>
          <cell r="H735">
            <v>1</v>
          </cell>
          <cell r="L735">
            <v>1</v>
          </cell>
        </row>
        <row r="736">
          <cell r="B736" t="str">
            <v>CRA 16A * CLL 99D</v>
          </cell>
          <cell r="C736" t="str">
            <v>DV_TOTALC</v>
          </cell>
          <cell r="D736" t="str">
            <v>BARRIO LAS DELICIAS</v>
          </cell>
          <cell r="E736"/>
          <cell r="F736"/>
          <cell r="G736" t="str">
            <v>UNIDAD</v>
          </cell>
          <cell r="H736">
            <v>1</v>
          </cell>
          <cell r="L736">
            <v>1</v>
          </cell>
        </row>
        <row r="737">
          <cell r="B737" t="str">
            <v>CRA 17 * CLL 99D</v>
          </cell>
          <cell r="C737" t="str">
            <v>DV_TOTALC</v>
          </cell>
          <cell r="D737" t="str">
            <v>BARRIO LAS DELICIAS</v>
          </cell>
          <cell r="E737"/>
          <cell r="F737"/>
          <cell r="G737" t="str">
            <v>UNIDAD</v>
          </cell>
          <cell r="H737">
            <v>1</v>
          </cell>
          <cell r="L737">
            <v>1</v>
          </cell>
        </row>
        <row r="738">
          <cell r="B738" t="str">
            <v>CRA 16A * CLL 99C</v>
          </cell>
          <cell r="C738" t="str">
            <v>DV_TOTALC</v>
          </cell>
          <cell r="D738" t="str">
            <v>BARRIO LAS DELICIAS</v>
          </cell>
          <cell r="E738"/>
          <cell r="F738"/>
          <cell r="G738" t="str">
            <v>UNIDAD</v>
          </cell>
          <cell r="H738">
            <v>1</v>
          </cell>
          <cell r="L738">
            <v>1</v>
          </cell>
        </row>
        <row r="739">
          <cell r="B739" t="str">
            <v>CRA 17 * CLL 99C</v>
          </cell>
          <cell r="C739" t="str">
            <v>DV_TOTALC</v>
          </cell>
          <cell r="D739" t="str">
            <v>BARRIO LAS DELICIAS</v>
          </cell>
          <cell r="E739"/>
          <cell r="F739"/>
          <cell r="G739" t="str">
            <v>UNIDAD</v>
          </cell>
          <cell r="H739">
            <v>1</v>
          </cell>
          <cell r="L739">
            <v>1</v>
          </cell>
        </row>
        <row r="740">
          <cell r="B740" t="str">
            <v>CRA 16A</v>
          </cell>
          <cell r="C740" t="str">
            <v>DV_TOTALC</v>
          </cell>
          <cell r="D740" t="str">
            <v>BARRIO LAS DELICIAS</v>
          </cell>
          <cell r="E740"/>
          <cell r="F740"/>
          <cell r="G740" t="str">
            <v>UNIDAD</v>
          </cell>
          <cell r="H740">
            <v>1</v>
          </cell>
          <cell r="L740">
            <v>1</v>
          </cell>
        </row>
        <row r="741">
          <cell r="B741" t="str">
            <v>CRA 17 * CALLE 99B</v>
          </cell>
          <cell r="C741" t="str">
            <v>DV_TOTALC</v>
          </cell>
          <cell r="D741" t="str">
            <v>BARRIO LAS DELICIAS</v>
          </cell>
          <cell r="E741"/>
          <cell r="F741"/>
          <cell r="G741" t="str">
            <v>UNIDAD</v>
          </cell>
          <cell r="H741">
            <v>1</v>
          </cell>
          <cell r="L741">
            <v>1</v>
          </cell>
        </row>
        <row r="742">
          <cell r="B742" t="str">
            <v>CRA 16 * CALLE 99A</v>
          </cell>
          <cell r="C742" t="str">
            <v>DV_TOTALC</v>
          </cell>
          <cell r="D742" t="str">
            <v>BARRIO LAS DELICIAS</v>
          </cell>
          <cell r="E742"/>
          <cell r="F742"/>
          <cell r="G742" t="str">
            <v>UNIDAD</v>
          </cell>
          <cell r="H742">
            <v>1</v>
          </cell>
          <cell r="L742">
            <v>1</v>
          </cell>
        </row>
        <row r="743">
          <cell r="B743" t="str">
            <v>CRA 16A * CALLE 99A</v>
          </cell>
          <cell r="C743" t="str">
            <v>DV_TOTALC</v>
          </cell>
          <cell r="D743" t="str">
            <v>BARRIO LAS DELICIAS</v>
          </cell>
          <cell r="E743"/>
          <cell r="F743"/>
          <cell r="G743" t="str">
            <v>UNIDAD</v>
          </cell>
          <cell r="H743">
            <v>1</v>
          </cell>
          <cell r="L743">
            <v>1</v>
          </cell>
        </row>
        <row r="744">
          <cell r="B744" t="str">
            <v xml:space="preserve">CRA 17 * CALLE 99A  </v>
          </cell>
          <cell r="C744" t="str">
            <v>DV_TOTALC</v>
          </cell>
          <cell r="D744" t="str">
            <v>BARRIO LAS DELICIAS</v>
          </cell>
          <cell r="E744"/>
          <cell r="F744"/>
          <cell r="G744" t="str">
            <v>UNIDAD</v>
          </cell>
          <cell r="H744">
            <v>1</v>
          </cell>
          <cell r="L744">
            <v>1</v>
          </cell>
        </row>
        <row r="745">
          <cell r="B745" t="str">
            <v>CRA 19 * CALLE 99A</v>
          </cell>
          <cell r="C745" t="str">
            <v>DV_TOTALC</v>
          </cell>
          <cell r="D745" t="str">
            <v>BARRIO LAS DELICIAS</v>
          </cell>
          <cell r="E745"/>
          <cell r="F745"/>
          <cell r="G745" t="str">
            <v>UNIDAD</v>
          </cell>
          <cell r="H745">
            <v>1</v>
          </cell>
          <cell r="L745">
            <v>1</v>
          </cell>
        </row>
        <row r="746">
          <cell r="B746" t="str">
            <v>CRA 17 * CALLE 99C</v>
          </cell>
          <cell r="C746" t="str">
            <v>DV_TOTALC</v>
          </cell>
          <cell r="D746" t="str">
            <v>BARRIO LAS DELICIAS</v>
          </cell>
          <cell r="E746"/>
          <cell r="F746"/>
          <cell r="G746" t="str">
            <v>UNIDAD</v>
          </cell>
          <cell r="H746">
            <v>1</v>
          </cell>
          <cell r="L746">
            <v>1</v>
          </cell>
        </row>
        <row r="747">
          <cell r="B747" t="str">
            <v>CRA 19 * CALLE 99C</v>
          </cell>
          <cell r="C747" t="str">
            <v>DV_TOTALC</v>
          </cell>
          <cell r="D747" t="str">
            <v>BARRIO LAS DELICIAS</v>
          </cell>
          <cell r="E747"/>
          <cell r="F747"/>
          <cell r="G747" t="str">
            <v>UNIDAD</v>
          </cell>
          <cell r="H747">
            <v>1</v>
          </cell>
          <cell r="L747">
            <v>1</v>
          </cell>
        </row>
        <row r="748">
          <cell r="B748" t="str">
            <v>CLL99 * CRA 17</v>
          </cell>
          <cell r="C748" t="str">
            <v>DV_TOTALC</v>
          </cell>
          <cell r="D748" t="str">
            <v>BARRIO LAS DELICIAS</v>
          </cell>
          <cell r="E748"/>
          <cell r="F748"/>
          <cell r="G748" t="str">
            <v>UNIDAD</v>
          </cell>
          <cell r="H748">
            <v>1</v>
          </cell>
          <cell r="L748">
            <v>1</v>
          </cell>
        </row>
        <row r="749">
          <cell r="B749" t="str">
            <v>CLL99AA * CRA 17</v>
          </cell>
          <cell r="C749" t="str">
            <v>DV_TOTALC</v>
          </cell>
          <cell r="D749" t="str">
            <v>BARRIO LAS DELICIAS</v>
          </cell>
          <cell r="E749"/>
          <cell r="F749"/>
          <cell r="G749" t="str">
            <v>UNIDAD</v>
          </cell>
          <cell r="H749">
            <v>1</v>
          </cell>
          <cell r="L749">
            <v>1</v>
          </cell>
        </row>
        <row r="750">
          <cell r="B750" t="str">
            <v>CLL99A * CRA 17</v>
          </cell>
          <cell r="C750" t="str">
            <v>DV_TOTALC</v>
          </cell>
          <cell r="D750" t="str">
            <v>BARRIO LAS DELICIAS</v>
          </cell>
          <cell r="E750"/>
          <cell r="F750"/>
          <cell r="G750" t="str">
            <v>UNIDAD</v>
          </cell>
          <cell r="H750">
            <v>1</v>
          </cell>
          <cell r="L750">
            <v>1</v>
          </cell>
        </row>
        <row r="751">
          <cell r="B751" t="str">
            <v>CLL99B * CRA 17</v>
          </cell>
          <cell r="C751" t="str">
            <v>DV_TOTALC</v>
          </cell>
          <cell r="D751" t="str">
            <v>BARRIO LAS DELICIAS</v>
          </cell>
          <cell r="E751"/>
          <cell r="F751"/>
          <cell r="G751" t="str">
            <v>UNIDAD</v>
          </cell>
          <cell r="H751">
            <v>1</v>
          </cell>
          <cell r="L751">
            <v>1</v>
          </cell>
        </row>
        <row r="752">
          <cell r="B752" t="str">
            <v>CLL99E * CRA 17</v>
          </cell>
          <cell r="C752" t="str">
            <v>DV_TOTALC</v>
          </cell>
          <cell r="D752" t="str">
            <v>BARRIO LAS DELICIAS</v>
          </cell>
          <cell r="E752"/>
          <cell r="F752"/>
          <cell r="G752" t="str">
            <v>UNIDAD</v>
          </cell>
          <cell r="H752">
            <v>1</v>
          </cell>
          <cell r="L752">
            <v>1</v>
          </cell>
        </row>
        <row r="753">
          <cell r="B753" t="str">
            <v>CLL99F * CRA 17</v>
          </cell>
          <cell r="C753" t="str">
            <v>DV_TOTALC</v>
          </cell>
          <cell r="D753" t="str">
            <v>BARRIO LAS DELICIAS</v>
          </cell>
          <cell r="E753"/>
          <cell r="F753"/>
          <cell r="G753" t="str">
            <v>UNIDAD</v>
          </cell>
          <cell r="H753">
            <v>1</v>
          </cell>
          <cell r="L753">
            <v>1</v>
          </cell>
        </row>
        <row r="754">
          <cell r="B754" t="str">
            <v>CLL100 * CRA 17</v>
          </cell>
          <cell r="C754" t="str">
            <v>DV_TOTALC</v>
          </cell>
          <cell r="D754" t="str">
            <v>BARRIO LAS DELICIAS</v>
          </cell>
          <cell r="E754"/>
          <cell r="F754"/>
          <cell r="G754" t="str">
            <v>UNIDAD</v>
          </cell>
          <cell r="H754">
            <v>1</v>
          </cell>
          <cell r="L754">
            <v>1</v>
          </cell>
        </row>
        <row r="755">
          <cell r="B755" t="str">
            <v>CLL99  * CRA 17A</v>
          </cell>
          <cell r="C755" t="str">
            <v>DV_TOTALC</v>
          </cell>
          <cell r="D755" t="str">
            <v>BARRIO LAS DELICIAS</v>
          </cell>
          <cell r="E755"/>
          <cell r="F755"/>
          <cell r="G755" t="str">
            <v>UNIDAD</v>
          </cell>
          <cell r="H755">
            <v>1</v>
          </cell>
          <cell r="L755">
            <v>1</v>
          </cell>
        </row>
        <row r="756">
          <cell r="B756" t="str">
            <v>CLL99AA * CRA 17A</v>
          </cell>
          <cell r="C756" t="str">
            <v>DV_TOTALC</v>
          </cell>
          <cell r="D756" t="str">
            <v>BARRIO LAS DELICIAS</v>
          </cell>
          <cell r="E756"/>
          <cell r="F756"/>
          <cell r="G756" t="str">
            <v>UNIDAD</v>
          </cell>
          <cell r="H756">
            <v>1</v>
          </cell>
          <cell r="L756">
            <v>1</v>
          </cell>
        </row>
        <row r="757">
          <cell r="B757" t="str">
            <v>CLL99A * CRA 17A</v>
          </cell>
          <cell r="C757" t="str">
            <v>DV_TOTALC</v>
          </cell>
          <cell r="D757" t="str">
            <v>BARRIO LAS DELICIAS</v>
          </cell>
          <cell r="E757"/>
          <cell r="F757"/>
          <cell r="G757" t="str">
            <v>UNIDAD</v>
          </cell>
          <cell r="H757">
            <v>1</v>
          </cell>
          <cell r="L757">
            <v>1</v>
          </cell>
        </row>
        <row r="758">
          <cell r="B758" t="str">
            <v>CLL99B * CRA 17A</v>
          </cell>
          <cell r="C758" t="str">
            <v>DV_TOTALC</v>
          </cell>
          <cell r="D758" t="str">
            <v>BARRIO LAS DELICIAS</v>
          </cell>
          <cell r="E758"/>
          <cell r="F758"/>
          <cell r="G758" t="str">
            <v>UNIDAD</v>
          </cell>
          <cell r="H758">
            <v>1</v>
          </cell>
          <cell r="L758">
            <v>1</v>
          </cell>
        </row>
        <row r="759">
          <cell r="B759" t="str">
            <v>CRA 19 * CLL97A</v>
          </cell>
          <cell r="C759" t="str">
            <v>DV_TOTALD</v>
          </cell>
          <cell r="D759" t="str">
            <v>BARRIO EL BOSQUE</v>
          </cell>
          <cell r="E759"/>
          <cell r="F759"/>
          <cell r="G759" t="str">
            <v>UNIDAD</v>
          </cell>
          <cell r="H759">
            <v>1</v>
          </cell>
          <cell r="L759">
            <v>1</v>
          </cell>
        </row>
        <row r="760">
          <cell r="B760" t="str">
            <v xml:space="preserve">CRA 20 * CLL97A  </v>
          </cell>
          <cell r="C760" t="str">
            <v>DV_TOTALD</v>
          </cell>
          <cell r="D760" t="str">
            <v>BARRIO EL BOSQUE</v>
          </cell>
          <cell r="E760"/>
          <cell r="F760"/>
          <cell r="G760" t="str">
            <v>UNIDAD</v>
          </cell>
          <cell r="H760">
            <v>1</v>
          </cell>
          <cell r="L760">
            <v>1</v>
          </cell>
        </row>
        <row r="761">
          <cell r="B761" t="str">
            <v>CRA 21 * CLL97A</v>
          </cell>
          <cell r="C761" t="str">
            <v>DV_TOTALD</v>
          </cell>
          <cell r="D761" t="str">
            <v>BARRIO EL BOSQUE</v>
          </cell>
          <cell r="E761"/>
          <cell r="F761"/>
          <cell r="G761" t="str">
            <v>UNIDAD</v>
          </cell>
          <cell r="H761">
            <v>1</v>
          </cell>
          <cell r="L761">
            <v>1</v>
          </cell>
        </row>
        <row r="762">
          <cell r="B762" t="str">
            <v>CRA 22 * CLL97A</v>
          </cell>
          <cell r="C762" t="str">
            <v>DV_TOTALD</v>
          </cell>
          <cell r="D762" t="str">
            <v>BARRIO EL BOSQUE</v>
          </cell>
          <cell r="E762"/>
          <cell r="F762"/>
          <cell r="G762" t="str">
            <v>UNIDAD</v>
          </cell>
          <cell r="H762">
            <v>1</v>
          </cell>
          <cell r="L762">
            <v>1</v>
          </cell>
        </row>
        <row r="763">
          <cell r="B763" t="str">
            <v>CRA 15 * CLL97</v>
          </cell>
          <cell r="C763" t="str">
            <v>DV_TOTALD</v>
          </cell>
          <cell r="D763" t="str">
            <v>BARRIO EL BOSQUE</v>
          </cell>
          <cell r="E763"/>
          <cell r="F763"/>
          <cell r="G763" t="str">
            <v>UNIDAD</v>
          </cell>
          <cell r="H763">
            <v>1</v>
          </cell>
          <cell r="L763">
            <v>1</v>
          </cell>
        </row>
        <row r="764">
          <cell r="B764" t="str">
            <v>CRA 16 * CLL97</v>
          </cell>
          <cell r="C764" t="str">
            <v>DV_TOTALD</v>
          </cell>
          <cell r="D764" t="str">
            <v>BARRIO EL BOSQUE</v>
          </cell>
          <cell r="E764"/>
          <cell r="F764"/>
          <cell r="G764" t="str">
            <v>UNIDAD</v>
          </cell>
          <cell r="H764">
            <v>1</v>
          </cell>
          <cell r="L764">
            <v>1</v>
          </cell>
        </row>
        <row r="765">
          <cell r="B765" t="str">
            <v>CRA 17 * CLL97</v>
          </cell>
          <cell r="C765" t="str">
            <v>DV_TOTALD</v>
          </cell>
          <cell r="D765" t="str">
            <v>BARRIO EL BOSQUE</v>
          </cell>
          <cell r="E765"/>
          <cell r="F765"/>
          <cell r="G765" t="str">
            <v>UNIDAD</v>
          </cell>
          <cell r="H765">
            <v>1</v>
          </cell>
          <cell r="L765">
            <v>1</v>
          </cell>
        </row>
        <row r="766">
          <cell r="B766" t="str">
            <v>CRA 19 * CLL97</v>
          </cell>
          <cell r="C766" t="str">
            <v>DV_TOTALD</v>
          </cell>
          <cell r="D766" t="str">
            <v>BARRIO EL BOSQUE</v>
          </cell>
          <cell r="E766"/>
          <cell r="F766"/>
          <cell r="G766" t="str">
            <v>UNIDAD</v>
          </cell>
          <cell r="H766">
            <v>1</v>
          </cell>
          <cell r="L766">
            <v>1</v>
          </cell>
        </row>
        <row r="767">
          <cell r="B767" t="str">
            <v>CRA 20 * CLL97</v>
          </cell>
          <cell r="C767" t="str">
            <v>DV_TOTALD</v>
          </cell>
          <cell r="D767" t="str">
            <v>BARRIO EL BOSQUE</v>
          </cell>
          <cell r="E767"/>
          <cell r="F767"/>
          <cell r="G767" t="str">
            <v>UNIDAD</v>
          </cell>
          <cell r="H767">
            <v>1</v>
          </cell>
          <cell r="L767">
            <v>1</v>
          </cell>
        </row>
        <row r="768">
          <cell r="B768" t="str">
            <v>CRA 21 * CLL97</v>
          </cell>
          <cell r="C768" t="str">
            <v>DV_TOTALD</v>
          </cell>
          <cell r="D768" t="str">
            <v>BARRIO EL BOSQUE</v>
          </cell>
          <cell r="E768"/>
          <cell r="F768"/>
          <cell r="G768" t="str">
            <v>UNIDAD</v>
          </cell>
          <cell r="H768">
            <v>1</v>
          </cell>
          <cell r="L768">
            <v>1</v>
          </cell>
        </row>
        <row r="769">
          <cell r="B769" t="str">
            <v>CRA 21 * CLL97</v>
          </cell>
          <cell r="C769" t="str">
            <v>DV_TOTALD</v>
          </cell>
          <cell r="D769" t="str">
            <v>BARRIO EL BOSQUE</v>
          </cell>
          <cell r="E769"/>
          <cell r="F769"/>
          <cell r="G769" t="str">
            <v>UNIDAD</v>
          </cell>
          <cell r="H769">
            <v>1</v>
          </cell>
          <cell r="L769">
            <v>1</v>
          </cell>
        </row>
        <row r="770">
          <cell r="B770" t="str">
            <v>CRA 22 * CLL97</v>
          </cell>
          <cell r="C770" t="str">
            <v>DV_TOTALD</v>
          </cell>
          <cell r="D770" t="str">
            <v>BARRIO EL BOSQUE</v>
          </cell>
          <cell r="E770"/>
          <cell r="F770"/>
          <cell r="G770" t="str">
            <v>UNIDAD</v>
          </cell>
          <cell r="H770">
            <v>1</v>
          </cell>
          <cell r="L770">
            <v>1</v>
          </cell>
        </row>
        <row r="771">
          <cell r="B771" t="str">
            <v>CRA 15 * CLL96A</v>
          </cell>
          <cell r="C771" t="str">
            <v>DV_TOTALD</v>
          </cell>
          <cell r="D771" t="str">
            <v>BARRIO EL BOSQUE</v>
          </cell>
          <cell r="E771"/>
          <cell r="F771"/>
          <cell r="G771" t="str">
            <v>UNIDAD</v>
          </cell>
          <cell r="H771">
            <v>1</v>
          </cell>
          <cell r="L771">
            <v>1</v>
          </cell>
        </row>
        <row r="772">
          <cell r="B772" t="str">
            <v>CRA 17 * CLL96A</v>
          </cell>
          <cell r="C772" t="str">
            <v>DV_TOTALD</v>
          </cell>
          <cell r="D772" t="str">
            <v>BARRIO EL BOSQUE</v>
          </cell>
          <cell r="E772"/>
          <cell r="F772"/>
          <cell r="G772" t="str">
            <v>UNIDAD</v>
          </cell>
          <cell r="H772">
            <v>1</v>
          </cell>
          <cell r="L772">
            <v>1</v>
          </cell>
        </row>
        <row r="773">
          <cell r="B773" t="str">
            <v>CRA 19 * CLL96A</v>
          </cell>
          <cell r="C773" t="str">
            <v>DV_TOTALD</v>
          </cell>
          <cell r="D773" t="str">
            <v>BARRIO EL BOSQUE</v>
          </cell>
          <cell r="E773"/>
          <cell r="F773"/>
          <cell r="G773" t="str">
            <v>UNIDAD</v>
          </cell>
          <cell r="H773">
            <v>1</v>
          </cell>
          <cell r="L773">
            <v>1</v>
          </cell>
        </row>
        <row r="774">
          <cell r="B774" t="str">
            <v>CRA 20 * CLL96A</v>
          </cell>
          <cell r="C774" t="str">
            <v>DV_TOTALD</v>
          </cell>
          <cell r="D774" t="str">
            <v>BARRIO EL BOSQUE</v>
          </cell>
          <cell r="E774"/>
          <cell r="F774"/>
          <cell r="G774" t="str">
            <v>UNIDAD</v>
          </cell>
          <cell r="H774">
            <v>1</v>
          </cell>
          <cell r="L774">
            <v>1</v>
          </cell>
        </row>
        <row r="775">
          <cell r="B775" t="str">
            <v>CRA 21 * CLL96A</v>
          </cell>
          <cell r="C775" t="str">
            <v>DV_TOTALD</v>
          </cell>
          <cell r="D775" t="str">
            <v>BARRIO EL BOSQUE</v>
          </cell>
          <cell r="E775"/>
          <cell r="F775"/>
          <cell r="G775" t="str">
            <v>UNIDAD</v>
          </cell>
          <cell r="H775">
            <v>1</v>
          </cell>
          <cell r="L775">
            <v>1</v>
          </cell>
        </row>
        <row r="776">
          <cell r="B776" t="str">
            <v>CRA 22 * CLL96A</v>
          </cell>
          <cell r="C776" t="str">
            <v>DV_TOTALD</v>
          </cell>
          <cell r="D776" t="str">
            <v>BARRIO EL BOSQUE</v>
          </cell>
          <cell r="E776"/>
          <cell r="F776"/>
          <cell r="G776" t="str">
            <v>UNIDAD</v>
          </cell>
          <cell r="H776">
            <v>1</v>
          </cell>
          <cell r="L776">
            <v>1</v>
          </cell>
        </row>
        <row r="777">
          <cell r="B777" t="str">
            <v>CRA 15 * CLL96</v>
          </cell>
          <cell r="C777" t="str">
            <v>DV_TOTALD</v>
          </cell>
          <cell r="D777" t="str">
            <v>BARRIO EL BOSQUE</v>
          </cell>
          <cell r="E777"/>
          <cell r="F777"/>
          <cell r="G777" t="str">
            <v>UNIDAD</v>
          </cell>
          <cell r="H777">
            <v>1</v>
          </cell>
          <cell r="L777">
            <v>1</v>
          </cell>
        </row>
        <row r="778">
          <cell r="B778" t="str">
            <v>CRA 17 * CLL96</v>
          </cell>
          <cell r="C778" t="str">
            <v>DV_TOTALD</v>
          </cell>
          <cell r="D778" t="str">
            <v>BARRIO EL BOSQUE</v>
          </cell>
          <cell r="E778"/>
          <cell r="F778"/>
          <cell r="G778" t="str">
            <v>UNIDAD</v>
          </cell>
          <cell r="H778">
            <v>1</v>
          </cell>
          <cell r="L778">
            <v>1</v>
          </cell>
        </row>
        <row r="779">
          <cell r="B779" t="str">
            <v>CRA 19 * CLL96</v>
          </cell>
          <cell r="C779" t="str">
            <v>DV_TOTALD</v>
          </cell>
          <cell r="D779" t="str">
            <v>BARRIO EL BOSQUE</v>
          </cell>
          <cell r="E779"/>
          <cell r="F779"/>
          <cell r="G779" t="str">
            <v>UNIDAD</v>
          </cell>
          <cell r="H779">
            <v>1</v>
          </cell>
          <cell r="L779">
            <v>1</v>
          </cell>
        </row>
        <row r="780">
          <cell r="B780" t="str">
            <v>CRA 20 * CLL96</v>
          </cell>
          <cell r="C780" t="str">
            <v>DV_TOTALD</v>
          </cell>
          <cell r="D780" t="str">
            <v>BARRIO EL BOSQUE</v>
          </cell>
          <cell r="E780"/>
          <cell r="F780"/>
          <cell r="G780" t="str">
            <v>UNIDAD</v>
          </cell>
          <cell r="H780">
            <v>1</v>
          </cell>
          <cell r="L780">
            <v>1</v>
          </cell>
        </row>
        <row r="781">
          <cell r="B781" t="str">
            <v>CRA 21 * CLL96</v>
          </cell>
          <cell r="C781" t="str">
            <v>DV_TOTALD</v>
          </cell>
          <cell r="D781" t="str">
            <v>BARRIO EL BOSQUE</v>
          </cell>
          <cell r="E781"/>
          <cell r="F781"/>
          <cell r="G781" t="str">
            <v>UNIDAD</v>
          </cell>
          <cell r="H781">
            <v>1</v>
          </cell>
          <cell r="L781">
            <v>1</v>
          </cell>
        </row>
        <row r="782">
          <cell r="B782" t="str">
            <v>CRA 22 * CLL96</v>
          </cell>
          <cell r="C782" t="str">
            <v>DV_TOTALD</v>
          </cell>
          <cell r="D782" t="str">
            <v>BARRIO EL BOSQUE</v>
          </cell>
          <cell r="E782"/>
          <cell r="F782"/>
          <cell r="G782" t="str">
            <v>UNIDAD</v>
          </cell>
          <cell r="H782">
            <v>1</v>
          </cell>
          <cell r="L782">
            <v>1</v>
          </cell>
        </row>
        <row r="783">
          <cell r="B783" t="str">
            <v>CRA 19 * CLL95</v>
          </cell>
          <cell r="C783" t="str">
            <v>DV_TOTALD</v>
          </cell>
          <cell r="D783" t="str">
            <v>BARRIO EL BOSQUE</v>
          </cell>
          <cell r="E783"/>
          <cell r="F783"/>
          <cell r="G783" t="str">
            <v>UNIDAD</v>
          </cell>
          <cell r="H783">
            <v>1</v>
          </cell>
          <cell r="L783">
            <v>1</v>
          </cell>
        </row>
        <row r="784">
          <cell r="B784" t="str">
            <v>CRA 20 * CLL95</v>
          </cell>
          <cell r="C784" t="str">
            <v>DV_TOTALD</v>
          </cell>
          <cell r="D784" t="str">
            <v>BARRIO EL BOSQUE</v>
          </cell>
          <cell r="E784"/>
          <cell r="F784"/>
          <cell r="G784" t="str">
            <v>UNIDAD</v>
          </cell>
          <cell r="H784">
            <v>1</v>
          </cell>
          <cell r="L784">
            <v>1</v>
          </cell>
        </row>
        <row r="785">
          <cell r="B785" t="str">
            <v>CRA 21 * CLL95</v>
          </cell>
          <cell r="C785" t="str">
            <v>DV_TOTALD</v>
          </cell>
          <cell r="D785" t="str">
            <v>BARRIO EL BOSQUE</v>
          </cell>
          <cell r="E785"/>
          <cell r="F785"/>
          <cell r="G785" t="str">
            <v>UNIDAD</v>
          </cell>
          <cell r="H785">
            <v>1</v>
          </cell>
          <cell r="L785">
            <v>1</v>
          </cell>
        </row>
        <row r="786">
          <cell r="B786" t="str">
            <v>CRA 22 * CLL95</v>
          </cell>
          <cell r="C786" t="str">
            <v>DV_TOTALD</v>
          </cell>
          <cell r="D786" t="str">
            <v>BARRIO EL BOSQUE</v>
          </cell>
          <cell r="E786"/>
          <cell r="F786"/>
          <cell r="G786" t="str">
            <v>UNIDAD</v>
          </cell>
          <cell r="H786">
            <v>1</v>
          </cell>
          <cell r="L786">
            <v>1</v>
          </cell>
        </row>
        <row r="787">
          <cell r="B787" t="str">
            <v>CRA 19 * CLL94</v>
          </cell>
          <cell r="C787" t="str">
            <v>DV_TOTALD</v>
          </cell>
          <cell r="D787" t="str">
            <v>BARRIO EL BOSQUE</v>
          </cell>
          <cell r="E787"/>
          <cell r="F787"/>
          <cell r="G787" t="str">
            <v>UNIDAD</v>
          </cell>
          <cell r="H787">
            <v>1</v>
          </cell>
          <cell r="L787">
            <v>1</v>
          </cell>
        </row>
        <row r="788">
          <cell r="B788" t="str">
            <v>CRA 20 * CLL94</v>
          </cell>
          <cell r="C788" t="str">
            <v>DV_TOTALD</v>
          </cell>
          <cell r="D788" t="str">
            <v>BARRIO EL BOSQUE</v>
          </cell>
          <cell r="E788"/>
          <cell r="F788"/>
          <cell r="G788" t="str">
            <v>UNIDAD</v>
          </cell>
          <cell r="H788">
            <v>1</v>
          </cell>
          <cell r="L788">
            <v>1</v>
          </cell>
        </row>
        <row r="789">
          <cell r="B789" t="str">
            <v>CRA 21 * CLL94</v>
          </cell>
          <cell r="C789" t="str">
            <v>DV_TOTALD</v>
          </cell>
          <cell r="D789" t="str">
            <v>BARRIO EL BOSQUE</v>
          </cell>
          <cell r="E789"/>
          <cell r="F789"/>
          <cell r="G789" t="str">
            <v>UNIDAD</v>
          </cell>
          <cell r="H789">
            <v>1</v>
          </cell>
          <cell r="L789">
            <v>1</v>
          </cell>
        </row>
        <row r="790">
          <cell r="B790" t="str">
            <v>CRA 22 * CLL94</v>
          </cell>
          <cell r="C790" t="str">
            <v>DV_TOTALD</v>
          </cell>
          <cell r="D790" t="str">
            <v>BARRIO EL BOSQUE</v>
          </cell>
          <cell r="E790"/>
          <cell r="F790"/>
          <cell r="G790" t="str">
            <v>UNIDAD</v>
          </cell>
          <cell r="H790">
            <v>1</v>
          </cell>
          <cell r="L790">
            <v>1</v>
          </cell>
        </row>
        <row r="791">
          <cell r="B791" t="str">
            <v>CRA 15 * CLL93</v>
          </cell>
          <cell r="C791" t="str">
            <v>DV_TOTALD</v>
          </cell>
          <cell r="D791" t="str">
            <v>BARRIO EL BOSQUE</v>
          </cell>
          <cell r="E791"/>
          <cell r="F791"/>
          <cell r="G791" t="str">
            <v>UNIDAD</v>
          </cell>
          <cell r="H791">
            <v>1</v>
          </cell>
          <cell r="L791">
            <v>1</v>
          </cell>
        </row>
        <row r="792">
          <cell r="B792" t="str">
            <v>CRA 17A * CLL93</v>
          </cell>
          <cell r="C792" t="str">
            <v>DV_TOTALD</v>
          </cell>
          <cell r="D792" t="str">
            <v>BARRIO EL BOSQUE</v>
          </cell>
          <cell r="E792"/>
          <cell r="F792"/>
          <cell r="G792" t="str">
            <v>UNIDAD</v>
          </cell>
          <cell r="H792">
            <v>1</v>
          </cell>
          <cell r="L792">
            <v>1</v>
          </cell>
        </row>
        <row r="793">
          <cell r="B793" t="str">
            <v>CRA 19 * CLL93</v>
          </cell>
          <cell r="C793" t="str">
            <v>DV_TOTALD</v>
          </cell>
          <cell r="D793" t="str">
            <v>BARRIO EL BOSQUE</v>
          </cell>
          <cell r="E793"/>
          <cell r="F793"/>
          <cell r="G793" t="str">
            <v>UNIDAD</v>
          </cell>
          <cell r="H793">
            <v>1</v>
          </cell>
          <cell r="L793">
            <v>1</v>
          </cell>
        </row>
        <row r="794">
          <cell r="B794" t="str">
            <v>CRA 20 * CLL93</v>
          </cell>
          <cell r="C794" t="str">
            <v>DV_TOTALD</v>
          </cell>
          <cell r="D794" t="str">
            <v>BARRIO EL BOSQUE</v>
          </cell>
          <cell r="E794"/>
          <cell r="F794"/>
          <cell r="G794" t="str">
            <v>UNIDAD</v>
          </cell>
          <cell r="H794">
            <v>1</v>
          </cell>
          <cell r="L794">
            <v>1</v>
          </cell>
        </row>
        <row r="795">
          <cell r="B795" t="str">
            <v>CRA 21 * CLL93</v>
          </cell>
          <cell r="C795" t="str">
            <v>DV_TOTALD</v>
          </cell>
          <cell r="D795" t="str">
            <v>BARRIO EL BOSQUE</v>
          </cell>
          <cell r="E795"/>
          <cell r="F795"/>
          <cell r="G795" t="str">
            <v>UNIDAD</v>
          </cell>
          <cell r="H795">
            <v>1</v>
          </cell>
          <cell r="L795">
            <v>1</v>
          </cell>
        </row>
        <row r="796">
          <cell r="B796" t="str">
            <v>CRA 22 * CLL93</v>
          </cell>
          <cell r="C796" t="str">
            <v>DV_TOTALD</v>
          </cell>
          <cell r="D796" t="str">
            <v>BARRIO EL BOSQUE</v>
          </cell>
          <cell r="E796"/>
          <cell r="F796"/>
          <cell r="G796" t="str">
            <v>UNIDAD</v>
          </cell>
          <cell r="H796">
            <v>1</v>
          </cell>
          <cell r="L796">
            <v>1</v>
          </cell>
        </row>
        <row r="797">
          <cell r="B797" t="str">
            <v>CLL 94 * CRA 17</v>
          </cell>
          <cell r="C797" t="str">
            <v>DV_TOTALD</v>
          </cell>
          <cell r="D797" t="str">
            <v>BARRIO EL BOSQUE</v>
          </cell>
          <cell r="E797"/>
          <cell r="F797"/>
          <cell r="G797" t="str">
            <v>UNIDAD</v>
          </cell>
          <cell r="H797">
            <v>1</v>
          </cell>
          <cell r="L797">
            <v>1</v>
          </cell>
        </row>
        <row r="798">
          <cell r="B798" t="str">
            <v>CLL 95 * CRA 17</v>
          </cell>
          <cell r="C798" t="str">
            <v>DV_TOTALD</v>
          </cell>
          <cell r="D798" t="str">
            <v>BARRIO EL BOSQUE</v>
          </cell>
          <cell r="E798"/>
          <cell r="F798"/>
          <cell r="G798" t="str">
            <v>UNIDAD</v>
          </cell>
          <cell r="H798">
            <v>1</v>
          </cell>
          <cell r="L798">
            <v>1</v>
          </cell>
        </row>
        <row r="799">
          <cell r="B799" t="str">
            <v>CLL 96 * CRA 17</v>
          </cell>
          <cell r="C799" t="str">
            <v>DV_TOTALD</v>
          </cell>
          <cell r="D799" t="str">
            <v>BARRIO EL BOSQUE</v>
          </cell>
          <cell r="E799"/>
          <cell r="F799"/>
          <cell r="G799" t="str">
            <v>UNIDAD</v>
          </cell>
          <cell r="H799">
            <v>1</v>
          </cell>
          <cell r="L799">
            <v>1</v>
          </cell>
        </row>
        <row r="800">
          <cell r="B800" t="str">
            <v>CLL 96A * CRA 17</v>
          </cell>
          <cell r="C800" t="str">
            <v>DV_TOTALD</v>
          </cell>
          <cell r="D800" t="str">
            <v>BARRIO EL BOSQUE</v>
          </cell>
          <cell r="E800"/>
          <cell r="F800"/>
          <cell r="G800" t="str">
            <v>UNIDAD</v>
          </cell>
          <cell r="H800">
            <v>1</v>
          </cell>
          <cell r="L800">
            <v>1</v>
          </cell>
        </row>
        <row r="801">
          <cell r="B801" t="str">
            <v>CLL 97 * CRA 17</v>
          </cell>
          <cell r="C801" t="str">
            <v>DV_TOTALD</v>
          </cell>
          <cell r="D801" t="str">
            <v>BARRIO EL BOSQUE</v>
          </cell>
          <cell r="E801"/>
          <cell r="F801"/>
          <cell r="G801" t="str">
            <v>UNIDAD</v>
          </cell>
          <cell r="H801">
            <v>1</v>
          </cell>
          <cell r="L801">
            <v>1</v>
          </cell>
        </row>
        <row r="802">
          <cell r="B802" t="str">
            <v>CLL 97A * CRA 17</v>
          </cell>
          <cell r="C802" t="str">
            <v>DV_TOTALD</v>
          </cell>
          <cell r="D802" t="str">
            <v>BARRIO EL BOSQUE</v>
          </cell>
          <cell r="E802"/>
          <cell r="F802"/>
          <cell r="G802" t="str">
            <v>UNIDAD</v>
          </cell>
          <cell r="H802">
            <v>1</v>
          </cell>
          <cell r="L802">
            <v>1</v>
          </cell>
        </row>
        <row r="803">
          <cell r="B803" t="str">
            <v>CLL 93 * CRA 20</v>
          </cell>
          <cell r="C803" t="str">
            <v>DV_TOTALD</v>
          </cell>
          <cell r="D803" t="str">
            <v>BARRIO EL BOSQUE</v>
          </cell>
          <cell r="E803"/>
          <cell r="F803"/>
          <cell r="G803" t="str">
            <v>UNIDAD</v>
          </cell>
          <cell r="H803">
            <v>1</v>
          </cell>
          <cell r="L803">
            <v>1</v>
          </cell>
        </row>
        <row r="804">
          <cell r="B804" t="str">
            <v>CLL 94 * CRA 20</v>
          </cell>
          <cell r="C804" t="str">
            <v>DV_TOTALD</v>
          </cell>
          <cell r="D804" t="str">
            <v>BARRIO EL BOSQUE</v>
          </cell>
          <cell r="E804"/>
          <cell r="F804"/>
          <cell r="G804" t="str">
            <v>UNIDAD</v>
          </cell>
          <cell r="H804">
            <v>1</v>
          </cell>
          <cell r="L804">
            <v>1</v>
          </cell>
        </row>
        <row r="805">
          <cell r="B805" t="str">
            <v>CLL 95 * CRA 20</v>
          </cell>
          <cell r="C805" t="str">
            <v>DV_TOTALD</v>
          </cell>
          <cell r="D805" t="str">
            <v>BARRIO EL BOSQUE</v>
          </cell>
          <cell r="E805"/>
          <cell r="F805"/>
          <cell r="G805" t="str">
            <v>UNIDAD</v>
          </cell>
          <cell r="H805">
            <v>1</v>
          </cell>
          <cell r="L805">
            <v>1</v>
          </cell>
        </row>
        <row r="806">
          <cell r="B806" t="str">
            <v>CLL 96 * CRA 20</v>
          </cell>
          <cell r="C806" t="str">
            <v>DV_TOTALD</v>
          </cell>
          <cell r="D806" t="str">
            <v>BARRIO EL BOSQUE</v>
          </cell>
          <cell r="E806"/>
          <cell r="F806"/>
          <cell r="G806" t="str">
            <v>UNIDAD</v>
          </cell>
          <cell r="H806">
            <v>1</v>
          </cell>
          <cell r="L806">
            <v>1</v>
          </cell>
        </row>
        <row r="807">
          <cell r="B807" t="str">
            <v>CLL 96A * CRA 20</v>
          </cell>
          <cell r="C807" t="str">
            <v>DV_TOTALD</v>
          </cell>
          <cell r="D807" t="str">
            <v>BARRIO EL BOSQUE</v>
          </cell>
          <cell r="E807"/>
          <cell r="F807"/>
          <cell r="G807" t="str">
            <v>UNIDAD</v>
          </cell>
          <cell r="H807">
            <v>1</v>
          </cell>
          <cell r="L807">
            <v>1</v>
          </cell>
        </row>
        <row r="808">
          <cell r="B808" t="str">
            <v>CLL 97 * CRA 20</v>
          </cell>
          <cell r="C808" t="str">
            <v>DV_TOTALD</v>
          </cell>
          <cell r="D808" t="str">
            <v>BARRIO EL BOSQUE</v>
          </cell>
          <cell r="E808"/>
          <cell r="F808"/>
          <cell r="G808" t="str">
            <v>UNIDAD</v>
          </cell>
          <cell r="H808">
            <v>1</v>
          </cell>
          <cell r="L808">
            <v>1</v>
          </cell>
        </row>
        <row r="809">
          <cell r="B809" t="str">
            <v>CLL 97A * CRA 20</v>
          </cell>
          <cell r="C809" t="str">
            <v>DV_TOTALD</v>
          </cell>
          <cell r="D809" t="str">
            <v>BARRIO EL BOSQUE</v>
          </cell>
          <cell r="E809"/>
          <cell r="F809"/>
          <cell r="G809" t="str">
            <v>UNIDAD</v>
          </cell>
          <cell r="H809">
            <v>1</v>
          </cell>
          <cell r="L809">
            <v>1</v>
          </cell>
        </row>
        <row r="810">
          <cell r="B810" t="str">
            <v>CLL 93 * CRA 21</v>
          </cell>
          <cell r="C810" t="str">
            <v>DV_TOTALD</v>
          </cell>
          <cell r="D810" t="str">
            <v>BARRIO EL BOSQUE</v>
          </cell>
          <cell r="E810"/>
          <cell r="F810"/>
          <cell r="G810" t="str">
            <v>UNIDAD</v>
          </cell>
          <cell r="H810">
            <v>1</v>
          </cell>
          <cell r="L810">
            <v>1</v>
          </cell>
        </row>
        <row r="811">
          <cell r="B811" t="str">
            <v>CLL 94 * CRA 21</v>
          </cell>
          <cell r="C811" t="str">
            <v>DV_TOTALD</v>
          </cell>
          <cell r="D811" t="str">
            <v>BARRIO EL BOSQUE</v>
          </cell>
          <cell r="E811"/>
          <cell r="F811"/>
          <cell r="G811" t="str">
            <v>UNIDAD</v>
          </cell>
          <cell r="H811">
            <v>1</v>
          </cell>
          <cell r="L811">
            <v>1</v>
          </cell>
        </row>
        <row r="812">
          <cell r="B812" t="str">
            <v>CLL 95 * CRA 21</v>
          </cell>
          <cell r="C812" t="str">
            <v>DV_TOTALD</v>
          </cell>
          <cell r="D812" t="str">
            <v>BARRIO EL BOSQUE</v>
          </cell>
          <cell r="E812"/>
          <cell r="F812"/>
          <cell r="G812" t="str">
            <v>UNIDAD</v>
          </cell>
          <cell r="H812">
            <v>1</v>
          </cell>
          <cell r="L812">
            <v>1</v>
          </cell>
        </row>
        <row r="813">
          <cell r="B813" t="str">
            <v>CLL 96 * CRA 21</v>
          </cell>
          <cell r="C813" t="str">
            <v>DV_TOTALD</v>
          </cell>
          <cell r="D813" t="str">
            <v>BARRIO EL BOSQUE</v>
          </cell>
          <cell r="E813"/>
          <cell r="F813"/>
          <cell r="G813" t="str">
            <v>UNIDAD</v>
          </cell>
          <cell r="H813">
            <v>1</v>
          </cell>
          <cell r="L813">
            <v>1</v>
          </cell>
        </row>
        <row r="814">
          <cell r="B814" t="str">
            <v>CLL 96A * CRA 21</v>
          </cell>
          <cell r="C814" t="str">
            <v>DV_TOTALD</v>
          </cell>
          <cell r="D814" t="str">
            <v>BARRIO EL BOSQUE</v>
          </cell>
          <cell r="E814"/>
          <cell r="F814"/>
          <cell r="G814" t="str">
            <v>UNIDAD</v>
          </cell>
          <cell r="H814">
            <v>1</v>
          </cell>
          <cell r="L814">
            <v>1</v>
          </cell>
        </row>
        <row r="815">
          <cell r="B815" t="str">
            <v>CLL 97 * CRA 21</v>
          </cell>
          <cell r="C815" t="str">
            <v>DV_TOTALD</v>
          </cell>
          <cell r="D815" t="str">
            <v>BARRIO EL BOSQUE</v>
          </cell>
          <cell r="E815"/>
          <cell r="F815"/>
          <cell r="G815" t="str">
            <v>UNIDAD</v>
          </cell>
          <cell r="H815">
            <v>1</v>
          </cell>
          <cell r="L815">
            <v>1</v>
          </cell>
        </row>
        <row r="816">
          <cell r="B816" t="str">
            <v>CLL 97A * CRA 21</v>
          </cell>
          <cell r="C816" t="str">
            <v>DV_TOTALD</v>
          </cell>
          <cell r="D816" t="str">
            <v>BARRIO EL BOSQUE</v>
          </cell>
          <cell r="E816"/>
          <cell r="F816"/>
          <cell r="G816" t="str">
            <v>UNIDAD</v>
          </cell>
          <cell r="H816">
            <v>1</v>
          </cell>
          <cell r="L816">
            <v>1</v>
          </cell>
        </row>
        <row r="817">
          <cell r="B817" t="str">
            <v>CRA 14 * CLL 110</v>
          </cell>
          <cell r="C817" t="str">
            <v>DV_TOTALE</v>
          </cell>
          <cell r="D817" t="str">
            <v>BARRIO JESUS MORA CALLE 110</v>
          </cell>
          <cell r="E817"/>
          <cell r="F817"/>
          <cell r="G817" t="str">
            <v>UNIDAD</v>
          </cell>
          <cell r="H817">
            <v>1</v>
          </cell>
          <cell r="L817">
            <v>1</v>
          </cell>
        </row>
        <row r="818">
          <cell r="B818" t="str">
            <v>CRA 14A * CLL 110</v>
          </cell>
          <cell r="C818" t="str">
            <v>DV_TOTALE</v>
          </cell>
          <cell r="D818" t="str">
            <v>BARRIO JESUS MORA CALLE 110</v>
          </cell>
          <cell r="E818"/>
          <cell r="F818"/>
          <cell r="G818" t="str">
            <v>UNIDAD</v>
          </cell>
          <cell r="H818">
            <v>1</v>
          </cell>
          <cell r="L818">
            <v>1</v>
          </cell>
        </row>
        <row r="819">
          <cell r="B819" t="str">
            <v>CRA 15 * CLL 110</v>
          </cell>
          <cell r="C819" t="str">
            <v>DV_TOTALE</v>
          </cell>
          <cell r="D819" t="str">
            <v>BARRIO JESUS MORA CALLE 110</v>
          </cell>
          <cell r="E819"/>
          <cell r="F819"/>
          <cell r="G819" t="str">
            <v>UNIDAD</v>
          </cell>
          <cell r="H819">
            <v>1</v>
          </cell>
          <cell r="L819">
            <v>1</v>
          </cell>
        </row>
        <row r="820">
          <cell r="B820" t="str">
            <v>CRA 16 * CLL 110</v>
          </cell>
          <cell r="C820" t="str">
            <v>DV_TOTALE</v>
          </cell>
          <cell r="D820" t="str">
            <v>BARRIO JESUS MORA CALLE 110</v>
          </cell>
          <cell r="E820"/>
          <cell r="F820"/>
          <cell r="G820" t="str">
            <v>UNIDAD</v>
          </cell>
          <cell r="H820">
            <v>1</v>
          </cell>
          <cell r="L820">
            <v>1</v>
          </cell>
        </row>
        <row r="821">
          <cell r="B821" t="str">
            <v>CRA 17 * CLL 110</v>
          </cell>
          <cell r="C821" t="str">
            <v>DV_TOTALE</v>
          </cell>
          <cell r="D821" t="str">
            <v>BARRIO JESUS MORA CALLE 110</v>
          </cell>
          <cell r="E821"/>
          <cell r="F821"/>
          <cell r="G821" t="str">
            <v>UNIDAD</v>
          </cell>
          <cell r="H821">
            <v>1</v>
          </cell>
          <cell r="L821">
            <v>1</v>
          </cell>
        </row>
        <row r="822">
          <cell r="B822" t="str">
            <v>CRA 18 * CLL 110</v>
          </cell>
          <cell r="C822" t="str">
            <v>DV_TOTALE</v>
          </cell>
          <cell r="D822" t="str">
            <v>BARRIO JESUS MORA CALLE 110</v>
          </cell>
          <cell r="E822"/>
          <cell r="F822"/>
          <cell r="G822" t="str">
            <v>UNIDAD</v>
          </cell>
          <cell r="H822">
            <v>1</v>
          </cell>
          <cell r="L822">
            <v>1</v>
          </cell>
        </row>
        <row r="823">
          <cell r="B823" t="str">
            <v>CRA 19 * CLL 110</v>
          </cell>
          <cell r="C823" t="str">
            <v>DV_TOTALE</v>
          </cell>
          <cell r="D823" t="str">
            <v>BARRIO JESUS MORA CALLE 110</v>
          </cell>
          <cell r="E823"/>
          <cell r="F823"/>
          <cell r="G823" t="str">
            <v>UNIDAD</v>
          </cell>
          <cell r="H823">
            <v>1</v>
          </cell>
          <cell r="L823">
            <v>1</v>
          </cell>
        </row>
        <row r="824">
          <cell r="B824" t="str">
            <v>CRA 19A * CLL 110</v>
          </cell>
          <cell r="C824" t="str">
            <v>DV_TOTALE</v>
          </cell>
          <cell r="D824" t="str">
            <v>BARRIO JESUS MORA CALLE 110</v>
          </cell>
          <cell r="E824"/>
          <cell r="F824"/>
          <cell r="G824" t="str">
            <v>UNIDAD</v>
          </cell>
          <cell r="H824">
            <v>1</v>
          </cell>
          <cell r="L824">
            <v>1</v>
          </cell>
        </row>
        <row r="825">
          <cell r="B825" t="str">
            <v>CRA 20 * CLL 110</v>
          </cell>
          <cell r="C825" t="str">
            <v>DV_TOTALE</v>
          </cell>
          <cell r="D825" t="str">
            <v>BARRIO JESUS MORA CALLE 110</v>
          </cell>
          <cell r="E825"/>
          <cell r="F825"/>
          <cell r="G825" t="str">
            <v>UNIDAD</v>
          </cell>
          <cell r="H825">
            <v>1</v>
          </cell>
          <cell r="L825">
            <v>1</v>
          </cell>
        </row>
        <row r="826">
          <cell r="B826" t="str">
            <v>CRA 20A * CLL 110</v>
          </cell>
          <cell r="C826" t="str">
            <v>DV_TOTALE</v>
          </cell>
          <cell r="D826" t="str">
            <v>BARRIO JESUS MORA CALLE 110</v>
          </cell>
          <cell r="E826"/>
          <cell r="F826"/>
          <cell r="G826" t="str">
            <v>UNIDAD</v>
          </cell>
          <cell r="H826">
            <v>1</v>
          </cell>
          <cell r="L826">
            <v>1</v>
          </cell>
        </row>
        <row r="827">
          <cell r="B827" t="str">
            <v>CRA 21 * CLL 110</v>
          </cell>
          <cell r="C827" t="str">
            <v>DV_TOTALE</v>
          </cell>
          <cell r="D827" t="str">
            <v>BARRIO JESUS MORA CALLE 110</v>
          </cell>
          <cell r="E827"/>
          <cell r="F827"/>
          <cell r="G827" t="str">
            <v>UNIDAD</v>
          </cell>
          <cell r="H827">
            <v>1</v>
          </cell>
          <cell r="L827">
            <v>1</v>
          </cell>
        </row>
        <row r="828">
          <cell r="B828" t="str">
            <v>CRA 22 * CLL 110</v>
          </cell>
          <cell r="C828" t="str">
            <v>DV_TOTALE</v>
          </cell>
          <cell r="D828" t="str">
            <v>BARRIO JESUS MORA CALLE 110</v>
          </cell>
          <cell r="E828"/>
          <cell r="F828"/>
          <cell r="G828" t="str">
            <v>UNIDAD</v>
          </cell>
          <cell r="H828">
            <v>1</v>
          </cell>
          <cell r="L828">
            <v>1</v>
          </cell>
        </row>
        <row r="829">
          <cell r="B829" t="str">
            <v>CRA 23 * CLL 110</v>
          </cell>
          <cell r="C829" t="str">
            <v>DV_TOTALE</v>
          </cell>
          <cell r="D829" t="str">
            <v>BARRIO JESUS MORA CALLE 110</v>
          </cell>
          <cell r="E829"/>
          <cell r="F829"/>
          <cell r="G829" t="str">
            <v>UNIDAD</v>
          </cell>
          <cell r="H829">
            <v>1</v>
          </cell>
          <cell r="L829">
            <v>1</v>
          </cell>
        </row>
        <row r="830">
          <cell r="B830" t="str">
            <v>CRA 24 * CLL 110</v>
          </cell>
          <cell r="C830" t="str">
            <v>DV_TOTALE</v>
          </cell>
          <cell r="D830" t="str">
            <v>BARRIO JESUS MORA CALLE 110</v>
          </cell>
          <cell r="E830"/>
          <cell r="F830"/>
          <cell r="G830" t="str">
            <v>UNIDAD</v>
          </cell>
          <cell r="H830">
            <v>1</v>
          </cell>
          <cell r="L830">
            <v>1</v>
          </cell>
        </row>
        <row r="831">
          <cell r="B831" t="str">
            <v>CRA 25 * CLL 110</v>
          </cell>
          <cell r="C831" t="str">
            <v>DV_TOTALE</v>
          </cell>
          <cell r="D831" t="str">
            <v>BARRIO JESUS MORA CALLE 110</v>
          </cell>
          <cell r="E831"/>
          <cell r="F831"/>
          <cell r="G831" t="str">
            <v>UNIDAD</v>
          </cell>
          <cell r="H831">
            <v>1</v>
          </cell>
          <cell r="L831">
            <v>1</v>
          </cell>
        </row>
        <row r="832">
          <cell r="B832" t="str">
            <v>CRA 26 * CLL 110</v>
          </cell>
          <cell r="C832" t="str">
            <v>DV_TOTALE</v>
          </cell>
          <cell r="D832" t="str">
            <v>BARRIO JESUS MORA CALLE 110</v>
          </cell>
          <cell r="E832"/>
          <cell r="F832"/>
          <cell r="G832" t="str">
            <v>UNIDAD</v>
          </cell>
          <cell r="H832">
            <v>1</v>
          </cell>
          <cell r="L832">
            <v>1</v>
          </cell>
        </row>
        <row r="833">
          <cell r="B833" t="str">
            <v>CRA 27 * CLL 110</v>
          </cell>
          <cell r="C833" t="str">
            <v>DV_TOTALE</v>
          </cell>
          <cell r="D833" t="str">
            <v>BARRIO JESUS MORA CALLE 110</v>
          </cell>
          <cell r="E833"/>
          <cell r="F833"/>
          <cell r="G833" t="str">
            <v>UNIDAD</v>
          </cell>
          <cell r="H833">
            <v>1</v>
          </cell>
          <cell r="L833">
            <v>1</v>
          </cell>
        </row>
        <row r="834">
          <cell r="J834" t="str">
            <v>VALOR TOTAL</v>
          </cell>
          <cell r="K834"/>
          <cell r="L834">
            <v>132</v>
          </cell>
        </row>
        <row r="836">
          <cell r="B836" t="str">
            <v>2.5</v>
          </cell>
          <cell r="C836" t="str">
            <v>DESCRIPCION</v>
          </cell>
          <cell r="D836"/>
          <cell r="E836" t="str">
            <v>Realce de cajas domiciliarias, incluye herraje de cuello, tapa y formaleta</v>
          </cell>
          <cell r="F836"/>
          <cell r="G836"/>
          <cell r="H836"/>
          <cell r="I836" t="str">
            <v>UN</v>
          </cell>
          <cell r="J836" t="str">
            <v>UNIDAD</v>
          </cell>
          <cell r="K836" t="str">
            <v>CANTIDAD</v>
          </cell>
          <cell r="L836">
            <v>165</v>
          </cell>
        </row>
        <row r="838">
          <cell r="B838" t="str">
            <v>DESCRIPCION</v>
          </cell>
          <cell r="C838" t="str">
            <v>EJE</v>
          </cell>
          <cell r="D838" t="str">
            <v>DESCRIPCION /LOCALIZACION</v>
          </cell>
          <cell r="E838"/>
          <cell r="F838"/>
          <cell r="G838" t="str">
            <v>UNIDAD</v>
          </cell>
          <cell r="H838" t="str">
            <v>CAN/UN</v>
          </cell>
          <cell r="I838" t="str">
            <v>LARGO</v>
          </cell>
          <cell r="J838" t="str">
            <v>ANCHO</v>
          </cell>
          <cell r="K838" t="str">
            <v>ALTURA</v>
          </cell>
          <cell r="L838" t="str">
            <v>CAN MED</v>
          </cell>
        </row>
        <row r="839">
          <cell r="B839" t="str">
            <v>CALLE 102C ENTRE CARRERA 19 - 20</v>
          </cell>
          <cell r="C839" t="str">
            <v>DV_TOTALA</v>
          </cell>
          <cell r="D839" t="str">
            <v>BARRIO CIUDADELA INDUSTRIAL</v>
          </cell>
          <cell r="E839"/>
          <cell r="F839"/>
          <cell r="G839" t="str">
            <v>UNIDAD</v>
          </cell>
          <cell r="H839">
            <v>2</v>
          </cell>
          <cell r="L839">
            <v>2</v>
          </cell>
        </row>
        <row r="840">
          <cell r="B840" t="str">
            <v>CALLE 102C ENTRE CARRERA 20 - 21</v>
          </cell>
          <cell r="C840" t="str">
            <v>DV_TOTALA</v>
          </cell>
          <cell r="D840" t="str">
            <v>BARRIO CIUDADELA INDUSTRIAL</v>
          </cell>
          <cell r="E840"/>
          <cell r="F840"/>
          <cell r="G840" t="str">
            <v>UNIDAD</v>
          </cell>
          <cell r="H840">
            <v>2</v>
          </cell>
          <cell r="L840">
            <v>2</v>
          </cell>
        </row>
        <row r="841">
          <cell r="B841" t="str">
            <v>CALLE 102B ENTRE CARRERA 19 - 20</v>
          </cell>
          <cell r="C841" t="str">
            <v>DV_TOTALA</v>
          </cell>
          <cell r="D841" t="str">
            <v>BARRIO CIUDADELA INDUSTRIAL</v>
          </cell>
          <cell r="E841"/>
          <cell r="F841"/>
          <cell r="G841" t="str">
            <v>UNIDAD</v>
          </cell>
          <cell r="H841">
            <v>2</v>
          </cell>
          <cell r="L841">
            <v>2</v>
          </cell>
        </row>
        <row r="842">
          <cell r="B842" t="str">
            <v>CALLE 102B ENTRE CARRERA 20 - 21</v>
          </cell>
          <cell r="C842" t="str">
            <v>DV_TOTALA</v>
          </cell>
          <cell r="D842" t="str">
            <v>BARRIO CIUDADELA INDUSTRIAL</v>
          </cell>
          <cell r="E842"/>
          <cell r="F842"/>
          <cell r="G842" t="str">
            <v>UNIDAD</v>
          </cell>
          <cell r="H842">
            <v>2</v>
          </cell>
          <cell r="L842">
            <v>2</v>
          </cell>
        </row>
        <row r="843">
          <cell r="B843" t="str">
            <v>CALLE 102B ENTRE CARRERA 20 - 21A</v>
          </cell>
          <cell r="C843" t="str">
            <v>DV_TOTALA</v>
          </cell>
          <cell r="D843" t="str">
            <v>BARRIO CIUDADELA INDUSTRIAL</v>
          </cell>
          <cell r="E843"/>
          <cell r="F843"/>
          <cell r="G843" t="str">
            <v>UNIDAD</v>
          </cell>
          <cell r="H843">
            <v>1</v>
          </cell>
          <cell r="L843">
            <v>1</v>
          </cell>
        </row>
        <row r="844">
          <cell r="B844" t="str">
            <v>CARRERA 20 ENTRE CALLE 102 B Y 102 C</v>
          </cell>
          <cell r="C844" t="str">
            <v>DV_TOTALA</v>
          </cell>
          <cell r="D844" t="str">
            <v>BARRIO CIUDADELA INDUSTRIAL</v>
          </cell>
          <cell r="E844"/>
          <cell r="F844"/>
          <cell r="G844" t="str">
            <v>UNIDAD</v>
          </cell>
          <cell r="H844">
            <v>1</v>
          </cell>
          <cell r="L844">
            <v>1</v>
          </cell>
        </row>
        <row r="845">
          <cell r="B845" t="str">
            <v>CARRERA 20 ENTRE CALLE 102 C Y 102D</v>
          </cell>
          <cell r="C845" t="str">
            <v>DV_TOTALA</v>
          </cell>
          <cell r="D845" t="str">
            <v>BARRIO CIUDADELA INDUSTRIAL</v>
          </cell>
          <cell r="E845"/>
          <cell r="F845"/>
          <cell r="G845" t="str">
            <v>UNIDAD</v>
          </cell>
          <cell r="H845">
            <v>1</v>
          </cell>
          <cell r="L845">
            <v>1</v>
          </cell>
        </row>
        <row r="846">
          <cell r="B846" t="str">
            <v>CARRERA 21 ENTRE CALLE 102 B Y 102 C</v>
          </cell>
          <cell r="C846" t="str">
            <v>DV_TOTALA</v>
          </cell>
          <cell r="D846" t="str">
            <v>BARRIO CIUDADELA INDUSTRIAL</v>
          </cell>
          <cell r="E846"/>
          <cell r="F846"/>
          <cell r="G846" t="str">
            <v>UNIDAD</v>
          </cell>
          <cell r="H846">
            <v>1</v>
          </cell>
          <cell r="L846">
            <v>1</v>
          </cell>
        </row>
        <row r="847">
          <cell r="B847" t="str">
            <v>CARRERA 21 ENTRE CALLE 102 C Y 102D</v>
          </cell>
          <cell r="C847" t="str">
            <v>DV_TOTALA</v>
          </cell>
          <cell r="D847" t="str">
            <v>BARRIO CIUDADELA INDUSTRIAL</v>
          </cell>
          <cell r="E847"/>
          <cell r="F847"/>
          <cell r="G847" t="str">
            <v>UNIDAD</v>
          </cell>
          <cell r="H847">
            <v>1</v>
          </cell>
          <cell r="L847">
            <v>1</v>
          </cell>
        </row>
        <row r="848">
          <cell r="B848" t="str">
            <v>CALLE 102D ENTRE CARRERA 20 - 21</v>
          </cell>
          <cell r="C848" t="str">
            <v>DV_TOTALA</v>
          </cell>
          <cell r="D848" t="str">
            <v>BARRIO CIUDADELA INDUSTRIAL</v>
          </cell>
          <cell r="E848"/>
          <cell r="F848"/>
          <cell r="G848" t="str">
            <v>UNIDAD</v>
          </cell>
          <cell r="H848">
            <v>2</v>
          </cell>
          <cell r="L848">
            <v>2</v>
          </cell>
        </row>
        <row r="849">
          <cell r="B849" t="str">
            <v>CALLE 102A ENTRE CARRERA 17 - 19</v>
          </cell>
          <cell r="C849" t="str">
            <v>DV_TOTALB</v>
          </cell>
          <cell r="D849" t="str">
            <v>BARRIO JUAN XXIII</v>
          </cell>
          <cell r="E849"/>
          <cell r="F849"/>
          <cell r="G849" t="str">
            <v>UNIDAD</v>
          </cell>
          <cell r="H849">
            <v>3</v>
          </cell>
          <cell r="L849">
            <v>3</v>
          </cell>
        </row>
        <row r="850">
          <cell r="B850" t="str">
            <v>CALLE 102B ENTRE CARRERA 17 - 19</v>
          </cell>
          <cell r="C850" t="str">
            <v>DV_TOTALB</v>
          </cell>
          <cell r="D850" t="str">
            <v>BARRIO JUAN XXIII</v>
          </cell>
          <cell r="E850"/>
          <cell r="F850"/>
          <cell r="G850" t="str">
            <v>UNIDAD</v>
          </cell>
          <cell r="H850">
            <v>2</v>
          </cell>
          <cell r="L850">
            <v>2</v>
          </cell>
        </row>
        <row r="851">
          <cell r="B851" t="str">
            <v>CALLE 102 ENTRE CARRERA 17 - 17A</v>
          </cell>
          <cell r="C851" t="str">
            <v>DV_TOTALB</v>
          </cell>
          <cell r="D851" t="str">
            <v>BARRIO JUAN XXIII</v>
          </cell>
          <cell r="E851"/>
          <cell r="F851"/>
          <cell r="G851" t="str">
            <v>UNIDAD</v>
          </cell>
          <cell r="H851">
            <v>3</v>
          </cell>
          <cell r="L851">
            <v>3</v>
          </cell>
        </row>
        <row r="852">
          <cell r="B852" t="str">
            <v>CALLE 102 ENTRE CARRERA 17A - 19</v>
          </cell>
          <cell r="C852" t="str">
            <v>DV_TOTALB</v>
          </cell>
          <cell r="D852" t="str">
            <v>BARRIO JUAN XXIII</v>
          </cell>
          <cell r="E852"/>
          <cell r="F852"/>
          <cell r="G852" t="str">
            <v>UNIDAD</v>
          </cell>
          <cell r="H852">
            <v>2</v>
          </cell>
          <cell r="L852">
            <v>2</v>
          </cell>
        </row>
        <row r="853">
          <cell r="B853" t="str">
            <v>CALLE 101 ENTRE CARRERA 17 - 17A</v>
          </cell>
          <cell r="C853" t="str">
            <v>DV_TOTALB</v>
          </cell>
          <cell r="D853" t="str">
            <v>BARRIO JUAN XXIII</v>
          </cell>
          <cell r="E853"/>
          <cell r="F853"/>
          <cell r="G853" t="str">
            <v>UNIDAD</v>
          </cell>
          <cell r="H853">
            <v>3</v>
          </cell>
          <cell r="L853">
            <v>3</v>
          </cell>
        </row>
        <row r="854">
          <cell r="B854" t="str">
            <v>CRA 17A ENTRE CALLE 101 Y 102</v>
          </cell>
          <cell r="C854" t="str">
            <v>DV_TOTALB</v>
          </cell>
          <cell r="D854" t="str">
            <v>BARRIO JUAN XXIII</v>
          </cell>
          <cell r="E854"/>
          <cell r="F854"/>
          <cell r="G854" t="str">
            <v>UNIDAD</v>
          </cell>
          <cell r="H854">
            <v>1</v>
          </cell>
          <cell r="L854">
            <v>1</v>
          </cell>
        </row>
        <row r="855">
          <cell r="B855" t="str">
            <v>CRA 17 ENTRE CALLE 100 Y 101</v>
          </cell>
          <cell r="C855" t="str">
            <v>DV_TOTALB</v>
          </cell>
          <cell r="D855" t="str">
            <v>BARRIO JUAN XXIII</v>
          </cell>
          <cell r="E855"/>
          <cell r="F855"/>
          <cell r="G855" t="str">
            <v>UNIDAD</v>
          </cell>
          <cell r="H855">
            <v>2</v>
          </cell>
          <cell r="L855">
            <v>2</v>
          </cell>
        </row>
        <row r="856">
          <cell r="B856" t="str">
            <v>CRA 17 ENTRE CALLE 101 Y 102</v>
          </cell>
          <cell r="C856" t="str">
            <v>DV_TOTALB</v>
          </cell>
          <cell r="D856" t="str">
            <v>BARRIO JUAN XXIII</v>
          </cell>
          <cell r="E856"/>
          <cell r="F856"/>
          <cell r="G856" t="str">
            <v>UNIDAD</v>
          </cell>
          <cell r="H856">
            <v>2</v>
          </cell>
          <cell r="L856">
            <v>2</v>
          </cell>
        </row>
        <row r="857">
          <cell r="B857" t="str">
            <v>CRA 17 ENTRE CALLE 102 Y 102A</v>
          </cell>
          <cell r="C857" t="str">
            <v>DV_TOTALB</v>
          </cell>
          <cell r="D857" t="str">
            <v>BARRIO JUAN XXIII</v>
          </cell>
          <cell r="E857"/>
          <cell r="F857"/>
          <cell r="G857" t="str">
            <v>UNIDAD</v>
          </cell>
          <cell r="H857">
            <v>1</v>
          </cell>
          <cell r="L857">
            <v>1</v>
          </cell>
        </row>
        <row r="858">
          <cell r="B858" t="str">
            <v>CRA 17 ENTRE CALLE 102A Y 102B</v>
          </cell>
          <cell r="C858" t="str">
            <v>DV_TOTALB</v>
          </cell>
          <cell r="D858" t="str">
            <v>BARRIO JUAN XXIII</v>
          </cell>
          <cell r="E858"/>
          <cell r="F858"/>
          <cell r="G858" t="str">
            <v>UNIDAD</v>
          </cell>
          <cell r="H858">
            <v>1</v>
          </cell>
          <cell r="L858">
            <v>1</v>
          </cell>
        </row>
        <row r="859">
          <cell r="B859" t="str">
            <v>CALLE 99E ENTRE CRA 16A-LOTE</v>
          </cell>
          <cell r="C859" t="str">
            <v>DV_TOTALC</v>
          </cell>
          <cell r="D859" t="str">
            <v>BARRIO LAS DELICIAS</v>
          </cell>
          <cell r="E859"/>
          <cell r="F859"/>
          <cell r="G859" t="str">
            <v>UNIDAD</v>
          </cell>
          <cell r="H859">
            <v>2</v>
          </cell>
          <cell r="L859">
            <v>2</v>
          </cell>
        </row>
        <row r="860">
          <cell r="B860" t="str">
            <v>CALLE 99E ENTRE CRA 16A Y 17</v>
          </cell>
          <cell r="C860" t="str">
            <v>DV_TOTALC</v>
          </cell>
          <cell r="D860" t="str">
            <v>BARRIO LAS DELICIAS</v>
          </cell>
          <cell r="E860"/>
          <cell r="F860"/>
          <cell r="G860" t="str">
            <v>UNIDAD</v>
          </cell>
          <cell r="H860">
            <v>2</v>
          </cell>
          <cell r="L860">
            <v>2</v>
          </cell>
        </row>
        <row r="861">
          <cell r="B861" t="str">
            <v>CALLE 99D ENTRE CRA 16A Y 17</v>
          </cell>
          <cell r="C861" t="str">
            <v>DV_TOTALC</v>
          </cell>
          <cell r="D861" t="str">
            <v>BARRIO LAS DELICIAS</v>
          </cell>
          <cell r="E861"/>
          <cell r="F861"/>
          <cell r="G861" t="str">
            <v>UNIDAD</v>
          </cell>
          <cell r="H861">
            <v>1</v>
          </cell>
          <cell r="L861">
            <v>1</v>
          </cell>
        </row>
        <row r="862">
          <cell r="B862" t="str">
            <v>CALLE 99C ENTRE CRA 16A Y 17</v>
          </cell>
          <cell r="C862" t="str">
            <v>DV_TOTALC</v>
          </cell>
          <cell r="D862" t="str">
            <v>BARRIO LAS DELICIAS</v>
          </cell>
          <cell r="E862"/>
          <cell r="F862"/>
          <cell r="G862" t="str">
            <v>UNIDAD</v>
          </cell>
          <cell r="H862">
            <v>1</v>
          </cell>
          <cell r="L862">
            <v>1</v>
          </cell>
        </row>
        <row r="863">
          <cell r="B863" t="str">
            <v>CALLE 99B ENTRE CRA 16A Y 17</v>
          </cell>
          <cell r="C863" t="str">
            <v>DV_TOTALC</v>
          </cell>
          <cell r="D863" t="str">
            <v>BARRIO LAS DELICIAS</v>
          </cell>
          <cell r="E863"/>
          <cell r="F863"/>
          <cell r="G863" t="str">
            <v>UNIDAD</v>
          </cell>
          <cell r="H863">
            <v>1</v>
          </cell>
          <cell r="L863">
            <v>1</v>
          </cell>
        </row>
        <row r="864">
          <cell r="B864" t="str">
            <v>CALLE 99A ENTRE CRA 16A Y 16</v>
          </cell>
          <cell r="C864" t="str">
            <v>DV_TOTALC</v>
          </cell>
          <cell r="D864" t="str">
            <v>BARRIO LAS DELICIAS</v>
          </cell>
          <cell r="E864"/>
          <cell r="F864"/>
          <cell r="G864" t="str">
            <v>UNIDAD</v>
          </cell>
          <cell r="H864">
            <v>1</v>
          </cell>
          <cell r="L864">
            <v>1</v>
          </cell>
        </row>
        <row r="865">
          <cell r="B865" t="str">
            <v>CALLE 99A ENTRE CRA 16A Y 17</v>
          </cell>
          <cell r="C865" t="str">
            <v>DV_TOTALC</v>
          </cell>
          <cell r="D865" t="str">
            <v>BARRIO LAS DELICIAS</v>
          </cell>
          <cell r="E865"/>
          <cell r="F865"/>
          <cell r="G865" t="str">
            <v>UNIDAD</v>
          </cell>
          <cell r="H865">
            <v>1</v>
          </cell>
          <cell r="L865">
            <v>1</v>
          </cell>
        </row>
        <row r="866">
          <cell r="B866" t="str">
            <v>CALLE 99A ENTRE CRA 17 Y 19</v>
          </cell>
          <cell r="C866" t="str">
            <v>DV_TOTALC</v>
          </cell>
          <cell r="D866" t="str">
            <v>BARRIO LAS DELICIAS</v>
          </cell>
          <cell r="E866"/>
          <cell r="F866"/>
          <cell r="G866" t="str">
            <v>UNIDAD</v>
          </cell>
          <cell r="H866">
            <v>3</v>
          </cell>
          <cell r="L866">
            <v>3</v>
          </cell>
        </row>
        <row r="867">
          <cell r="B867" t="str">
            <v xml:space="preserve">CALLE 99AA ENTRE CRA 17 Y 19 </v>
          </cell>
          <cell r="C867" t="str">
            <v>DV_TOTALC</v>
          </cell>
          <cell r="D867" t="str">
            <v>BARRIO LAS DELICIAS</v>
          </cell>
          <cell r="E867"/>
          <cell r="F867"/>
          <cell r="G867" t="str">
            <v>UNIDAD</v>
          </cell>
          <cell r="H867">
            <v>3</v>
          </cell>
          <cell r="L867">
            <v>3</v>
          </cell>
        </row>
        <row r="868">
          <cell r="B868" t="str">
            <v>CARRERA 17 ENTRE CALLE 99 Y 99AA</v>
          </cell>
          <cell r="C868" t="str">
            <v>DV_TOTALC</v>
          </cell>
          <cell r="D868" t="str">
            <v>BARRIO LAS DELICIAS</v>
          </cell>
          <cell r="E868"/>
          <cell r="F868"/>
          <cell r="G868" t="str">
            <v>UNIDAD</v>
          </cell>
          <cell r="H868">
            <v>1</v>
          </cell>
          <cell r="L868">
            <v>1</v>
          </cell>
        </row>
        <row r="869">
          <cell r="B869" t="str">
            <v>CARRERA 17 ENTRE CALLE 99AA Y 99A</v>
          </cell>
          <cell r="C869" t="str">
            <v>DV_TOTALC</v>
          </cell>
          <cell r="D869" t="str">
            <v>BARRIO LAS DELICIAS</v>
          </cell>
          <cell r="E869"/>
          <cell r="F869"/>
          <cell r="G869" t="str">
            <v>UNIDAD</v>
          </cell>
          <cell r="H869">
            <v>1</v>
          </cell>
          <cell r="L869">
            <v>1</v>
          </cell>
        </row>
        <row r="870">
          <cell r="B870" t="str">
            <v>CARRERA 17 ENTRE CALLE 99A Y 99B</v>
          </cell>
          <cell r="C870" t="str">
            <v>DV_TOTALC</v>
          </cell>
          <cell r="D870" t="str">
            <v>BARRIO LAS DELICIAS</v>
          </cell>
          <cell r="E870"/>
          <cell r="F870"/>
          <cell r="G870" t="str">
            <v>UNIDAD</v>
          </cell>
          <cell r="H870">
            <v>1</v>
          </cell>
          <cell r="L870">
            <v>1</v>
          </cell>
        </row>
        <row r="871">
          <cell r="B871" t="str">
            <v>CARRERA 17 ENTRE CALLE 99B Y 99E</v>
          </cell>
          <cell r="C871" t="str">
            <v>DV_TOTALC</v>
          </cell>
          <cell r="D871" t="str">
            <v>BARRIO LAS DELICIAS</v>
          </cell>
          <cell r="E871"/>
          <cell r="F871"/>
          <cell r="G871" t="str">
            <v>UNIDAD</v>
          </cell>
          <cell r="H871">
            <v>2</v>
          </cell>
          <cell r="L871">
            <v>2</v>
          </cell>
        </row>
        <row r="872">
          <cell r="B872" t="str">
            <v>CARRERA 17 ENTRE CALLE 99E Y 99F</v>
          </cell>
          <cell r="C872" t="str">
            <v>DV_TOTALC</v>
          </cell>
          <cell r="D872" t="str">
            <v>BARRIO LAS DELICIAS</v>
          </cell>
          <cell r="E872"/>
          <cell r="F872"/>
          <cell r="G872" t="str">
            <v>UNIDAD</v>
          </cell>
          <cell r="H872">
            <v>1</v>
          </cell>
          <cell r="L872">
            <v>1</v>
          </cell>
        </row>
        <row r="873">
          <cell r="B873" t="str">
            <v>CARRERA 17 ENTRE CALLE 99F Y 100</v>
          </cell>
          <cell r="C873" t="str">
            <v>DV_TOTALC</v>
          </cell>
          <cell r="D873" t="str">
            <v>BARRIO LAS DELICIAS</v>
          </cell>
          <cell r="E873"/>
          <cell r="F873"/>
          <cell r="G873" t="str">
            <v>UNIDAD</v>
          </cell>
          <cell r="H873">
            <v>2</v>
          </cell>
          <cell r="L873">
            <v>2</v>
          </cell>
        </row>
        <row r="874">
          <cell r="B874" t="str">
            <v>CARRERA 17A ENTRE CALLE 99 Y 99A</v>
          </cell>
          <cell r="C874" t="str">
            <v>DV_TOTALC</v>
          </cell>
          <cell r="D874" t="str">
            <v>BARRIO LAS DELICIAS</v>
          </cell>
          <cell r="E874"/>
          <cell r="F874"/>
          <cell r="G874" t="str">
            <v>UNIDAD</v>
          </cell>
          <cell r="H874">
            <v>2</v>
          </cell>
          <cell r="L874">
            <v>2</v>
          </cell>
        </row>
        <row r="875">
          <cell r="B875" t="str">
            <v>CARRERA 17 ENTRE CALLE 99A Y 99E</v>
          </cell>
          <cell r="C875" t="str">
            <v>DV_TOTALC</v>
          </cell>
          <cell r="D875" t="str">
            <v>BARRIO LAS DELICIAS</v>
          </cell>
          <cell r="E875"/>
          <cell r="F875"/>
          <cell r="G875" t="str">
            <v>UNIDAD</v>
          </cell>
          <cell r="H875">
            <v>2</v>
          </cell>
          <cell r="L875">
            <v>2</v>
          </cell>
        </row>
        <row r="876">
          <cell r="B876" t="str">
            <v>CARRERA 17 ENTRE CALLE 99A Y 99B</v>
          </cell>
          <cell r="C876" t="str">
            <v>DV_TOTALC</v>
          </cell>
          <cell r="D876" t="str">
            <v>BARRIO LAS DELICIAS</v>
          </cell>
          <cell r="E876"/>
          <cell r="F876"/>
          <cell r="G876" t="str">
            <v>UNIDAD</v>
          </cell>
          <cell r="H876">
            <v>1</v>
          </cell>
          <cell r="L876">
            <v>1</v>
          </cell>
        </row>
        <row r="877">
          <cell r="B877" t="str">
            <v>CALLE 97A ENTRE CRA 19-20</v>
          </cell>
          <cell r="C877" t="str">
            <v>DV_TOTALD</v>
          </cell>
          <cell r="D877" t="str">
            <v>BARRIO EL BOSQUE</v>
          </cell>
          <cell r="E877"/>
          <cell r="F877"/>
          <cell r="G877" t="str">
            <v>UNIDAD</v>
          </cell>
          <cell r="H877">
            <v>2</v>
          </cell>
          <cell r="L877">
            <v>2</v>
          </cell>
        </row>
        <row r="878">
          <cell r="B878" t="str">
            <v>CALLE 97A ENTRE CRA 20-21</v>
          </cell>
          <cell r="C878" t="str">
            <v>DV_TOTALD</v>
          </cell>
          <cell r="D878" t="str">
            <v>BARRIO EL BOSQUE</v>
          </cell>
          <cell r="E878"/>
          <cell r="F878"/>
          <cell r="G878" t="str">
            <v>UNIDAD</v>
          </cell>
          <cell r="H878">
            <v>2</v>
          </cell>
          <cell r="L878">
            <v>2</v>
          </cell>
        </row>
        <row r="879">
          <cell r="B879" t="str">
            <v>CALLE 97A ENTRE CRA 21-22</v>
          </cell>
          <cell r="C879" t="str">
            <v>DV_TOTALD</v>
          </cell>
          <cell r="D879" t="str">
            <v>BARRIO EL BOSQUE</v>
          </cell>
          <cell r="E879"/>
          <cell r="F879"/>
          <cell r="G879" t="str">
            <v>UNIDAD</v>
          </cell>
          <cell r="H879">
            <v>2</v>
          </cell>
          <cell r="L879">
            <v>2</v>
          </cell>
        </row>
        <row r="880">
          <cell r="B880" t="str">
            <v>CALLE 97 ENTRE CRA 15-16</v>
          </cell>
          <cell r="C880" t="str">
            <v>DV_TOTALD</v>
          </cell>
          <cell r="D880" t="str">
            <v>BARRIO EL BOSQUE</v>
          </cell>
          <cell r="E880"/>
          <cell r="F880"/>
          <cell r="G880" t="str">
            <v>UNIDAD</v>
          </cell>
          <cell r="H880">
            <v>1</v>
          </cell>
          <cell r="L880">
            <v>1</v>
          </cell>
        </row>
        <row r="881">
          <cell r="B881" t="str">
            <v>CALLE 97 ENTRE CRA 16-17</v>
          </cell>
          <cell r="C881" t="str">
            <v>DV_TOTALD</v>
          </cell>
          <cell r="D881" t="str">
            <v>BARRIO EL BOSQUE</v>
          </cell>
          <cell r="E881"/>
          <cell r="F881"/>
          <cell r="G881" t="str">
            <v>UNIDAD</v>
          </cell>
          <cell r="H881">
            <v>1</v>
          </cell>
          <cell r="L881">
            <v>1</v>
          </cell>
        </row>
        <row r="882">
          <cell r="B882" t="str">
            <v>CALLE 97 ENTRE CRA 17-19</v>
          </cell>
          <cell r="C882" t="str">
            <v>DV_TOTALD</v>
          </cell>
          <cell r="D882" t="str">
            <v>BARRIO EL BOSQUE</v>
          </cell>
          <cell r="E882"/>
          <cell r="F882"/>
          <cell r="G882" t="str">
            <v>UNIDAD</v>
          </cell>
          <cell r="H882">
            <v>2</v>
          </cell>
          <cell r="L882">
            <v>2</v>
          </cell>
        </row>
        <row r="883">
          <cell r="B883" t="str">
            <v>CALLE 97 ENTRE CRA 19-20</v>
          </cell>
          <cell r="C883" t="str">
            <v>DV_TOTALD</v>
          </cell>
          <cell r="D883" t="str">
            <v>BARRIO EL BOSQUE</v>
          </cell>
          <cell r="E883"/>
          <cell r="F883"/>
          <cell r="G883" t="str">
            <v>UNIDAD</v>
          </cell>
          <cell r="H883">
            <v>2</v>
          </cell>
          <cell r="L883">
            <v>2</v>
          </cell>
        </row>
        <row r="884">
          <cell r="B884" t="str">
            <v>CALLE 97 ENTRE CRA 20-21</v>
          </cell>
          <cell r="C884" t="str">
            <v>DV_TOTALD</v>
          </cell>
          <cell r="D884" t="str">
            <v>BARRIO EL BOSQUE</v>
          </cell>
          <cell r="E884"/>
          <cell r="F884"/>
          <cell r="G884" t="str">
            <v>UNIDAD</v>
          </cell>
          <cell r="H884">
            <v>2</v>
          </cell>
          <cell r="L884">
            <v>2</v>
          </cell>
        </row>
        <row r="885">
          <cell r="B885" t="str">
            <v>CALLE 97 ENTRE CRA 21-22</v>
          </cell>
          <cell r="C885" t="str">
            <v>DV_TOTALD</v>
          </cell>
          <cell r="D885" t="str">
            <v>BARRIO EL BOSQUE</v>
          </cell>
          <cell r="E885"/>
          <cell r="F885"/>
          <cell r="G885" t="str">
            <v>UNIDAD</v>
          </cell>
          <cell r="H885">
            <v>2</v>
          </cell>
          <cell r="L885">
            <v>2</v>
          </cell>
        </row>
        <row r="886">
          <cell r="B886" t="str">
            <v>CALLE 96A ENTRE CRA 15-17</v>
          </cell>
          <cell r="C886" t="str">
            <v>DV_TOTALD</v>
          </cell>
          <cell r="D886" t="str">
            <v>BARRIO EL BOSQUE</v>
          </cell>
          <cell r="E886"/>
          <cell r="F886"/>
          <cell r="G886" t="str">
            <v>UNIDAD</v>
          </cell>
          <cell r="H886">
            <v>2</v>
          </cell>
          <cell r="L886">
            <v>2</v>
          </cell>
        </row>
        <row r="887">
          <cell r="B887" t="str">
            <v>CALLE 96A ENTRE CRA 17-19</v>
          </cell>
          <cell r="C887" t="str">
            <v>DV_TOTALD</v>
          </cell>
          <cell r="D887" t="str">
            <v>BARRIO EL BOSQUE</v>
          </cell>
          <cell r="E887"/>
          <cell r="F887"/>
          <cell r="G887" t="str">
            <v>UNIDAD</v>
          </cell>
          <cell r="H887">
            <v>2</v>
          </cell>
          <cell r="L887">
            <v>2</v>
          </cell>
        </row>
        <row r="888">
          <cell r="B888" t="str">
            <v>CALLE 96A ENTRE CRA 19-20</v>
          </cell>
          <cell r="C888" t="str">
            <v>DV_TOTALD</v>
          </cell>
          <cell r="D888" t="str">
            <v>BARRIO EL BOSQUE</v>
          </cell>
          <cell r="E888"/>
          <cell r="F888"/>
          <cell r="G888" t="str">
            <v>UNIDAD</v>
          </cell>
          <cell r="H888">
            <v>2</v>
          </cell>
          <cell r="L888">
            <v>2</v>
          </cell>
        </row>
        <row r="889">
          <cell r="B889" t="str">
            <v>CALLE 96A ENTRE CRA 20-21</v>
          </cell>
          <cell r="C889" t="str">
            <v>DV_TOTALD</v>
          </cell>
          <cell r="D889" t="str">
            <v>BARRIO EL BOSQUE</v>
          </cell>
          <cell r="E889"/>
          <cell r="F889"/>
          <cell r="G889" t="str">
            <v>UNIDAD</v>
          </cell>
          <cell r="H889">
            <v>2</v>
          </cell>
          <cell r="L889">
            <v>2</v>
          </cell>
        </row>
        <row r="890">
          <cell r="B890" t="str">
            <v>CALLE 96A ENTRE CRA 21-22</v>
          </cell>
          <cell r="C890" t="str">
            <v>DV_TOTALD</v>
          </cell>
          <cell r="D890" t="str">
            <v>BARRIO EL BOSQUE</v>
          </cell>
          <cell r="E890"/>
          <cell r="F890"/>
          <cell r="G890" t="str">
            <v>UNIDAD</v>
          </cell>
          <cell r="H890">
            <v>2</v>
          </cell>
          <cell r="L890">
            <v>2</v>
          </cell>
        </row>
        <row r="891">
          <cell r="B891" t="str">
            <v>CALLE 96 ENTRE CRA 15-17</v>
          </cell>
          <cell r="C891" t="str">
            <v>DV_TOTALD</v>
          </cell>
          <cell r="D891" t="str">
            <v>BARRIO EL BOSQUE</v>
          </cell>
          <cell r="E891"/>
          <cell r="F891"/>
          <cell r="G891" t="str">
            <v>UNIDAD</v>
          </cell>
          <cell r="H891">
            <v>2</v>
          </cell>
          <cell r="L891">
            <v>2</v>
          </cell>
        </row>
        <row r="892">
          <cell r="B892" t="str">
            <v>CALLE 96 ENTRE CRA 17-19</v>
          </cell>
          <cell r="C892" t="str">
            <v>DV_TOTALD</v>
          </cell>
          <cell r="D892" t="str">
            <v>BARRIO EL BOSQUE</v>
          </cell>
          <cell r="E892"/>
          <cell r="F892"/>
          <cell r="G892" t="str">
            <v>UNIDAD</v>
          </cell>
          <cell r="H892">
            <v>2</v>
          </cell>
          <cell r="L892">
            <v>2</v>
          </cell>
        </row>
        <row r="893">
          <cell r="B893" t="str">
            <v>CALLE 96 ENTRE CRA 19-20</v>
          </cell>
          <cell r="C893" t="str">
            <v>DV_TOTALD</v>
          </cell>
          <cell r="D893" t="str">
            <v>BARRIO EL BOSQUE</v>
          </cell>
          <cell r="E893"/>
          <cell r="F893"/>
          <cell r="G893" t="str">
            <v>UNIDAD</v>
          </cell>
          <cell r="H893">
            <v>2</v>
          </cell>
          <cell r="L893">
            <v>2</v>
          </cell>
        </row>
        <row r="894">
          <cell r="B894" t="str">
            <v>CALLE 96 ENTRE CRA 20-21</v>
          </cell>
          <cell r="C894" t="str">
            <v>DV_TOTALD</v>
          </cell>
          <cell r="D894" t="str">
            <v>BARRIO EL BOSQUE</v>
          </cell>
          <cell r="E894"/>
          <cell r="F894"/>
          <cell r="G894" t="str">
            <v>UNIDAD</v>
          </cell>
          <cell r="H894">
            <v>2</v>
          </cell>
          <cell r="L894">
            <v>2</v>
          </cell>
        </row>
        <row r="895">
          <cell r="B895" t="str">
            <v>CALLE 96 ENTRE CRA 21-22</v>
          </cell>
          <cell r="C895" t="str">
            <v>DV_TOTALD</v>
          </cell>
          <cell r="D895" t="str">
            <v>BARRIO EL BOSQUE</v>
          </cell>
          <cell r="E895"/>
          <cell r="F895"/>
          <cell r="G895" t="str">
            <v>UNIDAD</v>
          </cell>
          <cell r="H895">
            <v>2</v>
          </cell>
          <cell r="L895">
            <v>2</v>
          </cell>
        </row>
        <row r="896">
          <cell r="B896" t="str">
            <v>CALLE 95 ENTRE CRA 19-20</v>
          </cell>
          <cell r="C896" t="str">
            <v>DV_TOTALD</v>
          </cell>
          <cell r="D896" t="str">
            <v>BARRIO EL BOSQUE</v>
          </cell>
          <cell r="E896"/>
          <cell r="F896"/>
          <cell r="G896" t="str">
            <v>UNIDAD</v>
          </cell>
          <cell r="H896">
            <v>2</v>
          </cell>
          <cell r="L896">
            <v>2</v>
          </cell>
        </row>
        <row r="897">
          <cell r="B897" t="str">
            <v>CALLE 95 ENTRE CRA 20-21</v>
          </cell>
          <cell r="C897" t="str">
            <v>DV_TOTALD</v>
          </cell>
          <cell r="D897" t="str">
            <v>BARRIO EL BOSQUE</v>
          </cell>
          <cell r="E897"/>
          <cell r="F897"/>
          <cell r="G897" t="str">
            <v>UNIDAD</v>
          </cell>
          <cell r="H897">
            <v>2</v>
          </cell>
          <cell r="L897">
            <v>2</v>
          </cell>
        </row>
        <row r="898">
          <cell r="B898" t="str">
            <v>CALLE 95 ENTRE CRA 21-22</v>
          </cell>
          <cell r="C898" t="str">
            <v>DV_TOTALD</v>
          </cell>
          <cell r="D898" t="str">
            <v>BARRIO EL BOSQUE</v>
          </cell>
          <cell r="E898"/>
          <cell r="F898"/>
          <cell r="G898" t="str">
            <v>UNIDAD</v>
          </cell>
          <cell r="H898">
            <v>2</v>
          </cell>
          <cell r="L898">
            <v>2</v>
          </cell>
        </row>
        <row r="899">
          <cell r="B899" t="str">
            <v>CALLE 94 ENTRE CRA 19-20</v>
          </cell>
          <cell r="C899" t="str">
            <v>DV_TOTALD</v>
          </cell>
          <cell r="D899" t="str">
            <v>BARRIO EL BOSQUE</v>
          </cell>
          <cell r="E899"/>
          <cell r="F899"/>
          <cell r="G899" t="str">
            <v>UNIDAD</v>
          </cell>
          <cell r="H899">
            <v>2</v>
          </cell>
          <cell r="L899">
            <v>2</v>
          </cell>
        </row>
        <row r="900">
          <cell r="B900" t="str">
            <v>CALLE 94 ENTRE CRA 20-21</v>
          </cell>
          <cell r="C900" t="str">
            <v>DV_TOTALD</v>
          </cell>
          <cell r="D900" t="str">
            <v>BARRIO EL BOSQUE</v>
          </cell>
          <cell r="E900"/>
          <cell r="F900"/>
          <cell r="G900" t="str">
            <v>UNIDAD</v>
          </cell>
          <cell r="H900">
            <v>2</v>
          </cell>
          <cell r="L900">
            <v>2</v>
          </cell>
        </row>
        <row r="901">
          <cell r="B901" t="str">
            <v>CALLE 94 ENTRE CRA 21-22</v>
          </cell>
          <cell r="C901" t="str">
            <v>DV_TOTALD</v>
          </cell>
          <cell r="D901" t="str">
            <v>BARRIO EL BOSQUE</v>
          </cell>
          <cell r="E901"/>
          <cell r="F901"/>
          <cell r="G901" t="str">
            <v>UNIDAD</v>
          </cell>
          <cell r="H901">
            <v>2</v>
          </cell>
          <cell r="L901">
            <v>2</v>
          </cell>
        </row>
        <row r="902">
          <cell r="B902" t="str">
            <v>CALLE 93 ENTRE CRA 15-17A</v>
          </cell>
          <cell r="C902" t="str">
            <v>DV_TOTALD</v>
          </cell>
          <cell r="D902" t="str">
            <v>BARRIO EL BOSQUE</v>
          </cell>
          <cell r="E902"/>
          <cell r="F902"/>
          <cell r="G902" t="str">
            <v>UNIDAD</v>
          </cell>
          <cell r="H902">
            <v>2</v>
          </cell>
          <cell r="L902">
            <v>2</v>
          </cell>
        </row>
        <row r="903">
          <cell r="B903" t="str">
            <v>CALLE 93 ENTRE CRA 17A-19</v>
          </cell>
          <cell r="C903" t="str">
            <v>DV_TOTALD</v>
          </cell>
          <cell r="D903" t="str">
            <v>BARRIO EL BOSQUE</v>
          </cell>
          <cell r="E903"/>
          <cell r="F903"/>
          <cell r="G903" t="str">
            <v>UNIDAD</v>
          </cell>
          <cell r="H903">
            <v>2</v>
          </cell>
          <cell r="L903">
            <v>2</v>
          </cell>
        </row>
        <row r="904">
          <cell r="B904" t="str">
            <v>CALLE 93 ENTRE CRA 19-20</v>
          </cell>
          <cell r="C904" t="str">
            <v>DV_TOTALD</v>
          </cell>
          <cell r="D904" t="str">
            <v>BARRIO EL BOSQUE</v>
          </cell>
          <cell r="E904"/>
          <cell r="F904"/>
          <cell r="G904" t="str">
            <v>UNIDAD</v>
          </cell>
          <cell r="H904">
            <v>2</v>
          </cell>
          <cell r="L904">
            <v>2</v>
          </cell>
        </row>
        <row r="905">
          <cell r="B905" t="str">
            <v>CALLE 93 ENTRE CRA 20-21</v>
          </cell>
          <cell r="C905" t="str">
            <v>DV_TOTALD</v>
          </cell>
          <cell r="D905" t="str">
            <v>BARRIO EL BOSQUE</v>
          </cell>
          <cell r="E905"/>
          <cell r="F905"/>
          <cell r="G905" t="str">
            <v>UNIDAD</v>
          </cell>
          <cell r="H905">
            <v>2</v>
          </cell>
          <cell r="L905">
            <v>2</v>
          </cell>
        </row>
        <row r="906">
          <cell r="B906" t="str">
            <v>CALLE 93 ENTRE CRA 21-22</v>
          </cell>
          <cell r="C906" t="str">
            <v>DV_TOTALD</v>
          </cell>
          <cell r="D906" t="str">
            <v>BARRIO EL BOSQUE</v>
          </cell>
          <cell r="E906"/>
          <cell r="F906"/>
          <cell r="G906" t="str">
            <v>UNIDAD</v>
          </cell>
          <cell r="H906">
            <v>2</v>
          </cell>
          <cell r="L906">
            <v>2</v>
          </cell>
        </row>
        <row r="907">
          <cell r="B907" t="str">
            <v>CARRERA 17 ENTRE CALLE 94 Y 95</v>
          </cell>
          <cell r="C907" t="str">
            <v>DV_TOTALD</v>
          </cell>
          <cell r="D907" t="str">
            <v>BARRIO EL BOSQUE</v>
          </cell>
          <cell r="E907"/>
          <cell r="F907"/>
          <cell r="G907" t="str">
            <v>UNIDAD</v>
          </cell>
          <cell r="H907">
            <v>1</v>
          </cell>
          <cell r="L907">
            <v>1</v>
          </cell>
        </row>
        <row r="908">
          <cell r="B908" t="str">
            <v>CARRERA 17 ENTRE CALLE 95 Y 96</v>
          </cell>
          <cell r="C908" t="str">
            <v>DV_TOTALD</v>
          </cell>
          <cell r="D908" t="str">
            <v>BARRIO EL BOSQUE</v>
          </cell>
          <cell r="E908"/>
          <cell r="F908"/>
          <cell r="G908" t="str">
            <v>UNIDAD</v>
          </cell>
          <cell r="H908">
            <v>1</v>
          </cell>
          <cell r="L908">
            <v>1</v>
          </cell>
        </row>
        <row r="909">
          <cell r="B909" t="str">
            <v>CARRERA 17 ENTRE CALLE 96 Y 96A</v>
          </cell>
          <cell r="C909" t="str">
            <v>DV_TOTALD</v>
          </cell>
          <cell r="D909" t="str">
            <v>BARRIO EL BOSQUE</v>
          </cell>
          <cell r="E909"/>
          <cell r="F909"/>
          <cell r="G909" t="str">
            <v>UNIDAD</v>
          </cell>
          <cell r="H909">
            <v>1</v>
          </cell>
          <cell r="L909">
            <v>1</v>
          </cell>
        </row>
        <row r="910">
          <cell r="B910" t="str">
            <v>CARRERA 17 ENTRE CALLE 96A Y 97</v>
          </cell>
          <cell r="C910" t="str">
            <v>DV_TOTALD</v>
          </cell>
          <cell r="D910" t="str">
            <v>BARRIO EL BOSQUE</v>
          </cell>
          <cell r="E910"/>
          <cell r="F910"/>
          <cell r="G910" t="str">
            <v>UNIDAD</v>
          </cell>
          <cell r="H910">
            <v>1</v>
          </cell>
          <cell r="L910">
            <v>1</v>
          </cell>
        </row>
        <row r="911">
          <cell r="B911" t="str">
            <v>CARRERA 17 ENTRE CALLE 97 Y 97A</v>
          </cell>
          <cell r="C911" t="str">
            <v>DV_TOTALD</v>
          </cell>
          <cell r="D911" t="str">
            <v>BARRIO EL BOSQUE</v>
          </cell>
          <cell r="E911"/>
          <cell r="F911"/>
          <cell r="G911" t="str">
            <v>UNIDAD</v>
          </cell>
          <cell r="H911">
            <v>1</v>
          </cell>
          <cell r="L911">
            <v>1</v>
          </cell>
        </row>
        <row r="912">
          <cell r="B912" t="str">
            <v>CARRERA 20 ENTRE CALLE 93 Y 94</v>
          </cell>
          <cell r="C912" t="str">
            <v>DV_TOTALD</v>
          </cell>
          <cell r="D912" t="str">
            <v>BARRIO EL BOSQUE</v>
          </cell>
          <cell r="E912"/>
          <cell r="F912"/>
          <cell r="G912" t="str">
            <v>UNIDAD</v>
          </cell>
          <cell r="H912">
            <v>1</v>
          </cell>
          <cell r="L912">
            <v>1</v>
          </cell>
        </row>
        <row r="913">
          <cell r="B913" t="str">
            <v>CARRERA 20 ENTRE CALLE 94 Y 95</v>
          </cell>
          <cell r="C913" t="str">
            <v>DV_TOTALD</v>
          </cell>
          <cell r="D913" t="str">
            <v>BARRIO EL BOSQUE</v>
          </cell>
          <cell r="E913"/>
          <cell r="F913"/>
          <cell r="G913" t="str">
            <v>UNIDAD</v>
          </cell>
          <cell r="H913">
            <v>1</v>
          </cell>
          <cell r="L913">
            <v>1</v>
          </cell>
        </row>
        <row r="914">
          <cell r="B914" t="str">
            <v>CARRERA 20 ENTRE CALLE 95 Y 96</v>
          </cell>
          <cell r="C914" t="str">
            <v>DV_TOTALD</v>
          </cell>
          <cell r="D914" t="str">
            <v>BARRIO EL BOSQUE</v>
          </cell>
          <cell r="E914"/>
          <cell r="F914"/>
          <cell r="G914" t="str">
            <v>UNIDAD</v>
          </cell>
          <cell r="H914">
            <v>1</v>
          </cell>
          <cell r="L914">
            <v>1</v>
          </cell>
        </row>
        <row r="915">
          <cell r="B915" t="str">
            <v>CARRERA 20 ENTRE CALLE 96 Y 96A</v>
          </cell>
          <cell r="C915" t="str">
            <v>DV_TOTALD</v>
          </cell>
          <cell r="D915" t="str">
            <v>BARRIO EL BOSQUE</v>
          </cell>
          <cell r="E915"/>
          <cell r="F915"/>
          <cell r="G915" t="str">
            <v>UNIDAD</v>
          </cell>
          <cell r="H915">
            <v>1</v>
          </cell>
          <cell r="L915">
            <v>1</v>
          </cell>
        </row>
        <row r="916">
          <cell r="B916" t="str">
            <v>CARRERA 20 ENTRE CALLE 96A Y 97</v>
          </cell>
          <cell r="C916" t="str">
            <v>DV_TOTALD</v>
          </cell>
          <cell r="D916" t="str">
            <v>BARRIO EL BOSQUE</v>
          </cell>
          <cell r="E916"/>
          <cell r="F916"/>
          <cell r="G916" t="str">
            <v>UNIDAD</v>
          </cell>
          <cell r="H916">
            <v>1</v>
          </cell>
          <cell r="L916">
            <v>1</v>
          </cell>
        </row>
        <row r="917">
          <cell r="B917" t="str">
            <v>CARRERA 20 ENTRE CALLE 97 Y 97A</v>
          </cell>
          <cell r="C917" t="str">
            <v>DV_TOTALD</v>
          </cell>
          <cell r="D917" t="str">
            <v>BARRIO EL BOSQUE</v>
          </cell>
          <cell r="E917"/>
          <cell r="F917"/>
          <cell r="G917" t="str">
            <v>UNIDAD</v>
          </cell>
          <cell r="H917">
            <v>1</v>
          </cell>
          <cell r="L917">
            <v>1</v>
          </cell>
        </row>
        <row r="918">
          <cell r="B918" t="str">
            <v>CARRERA 21 ENTRE CALLE 93 Y 94</v>
          </cell>
          <cell r="C918" t="str">
            <v>DV_TOTALD</v>
          </cell>
          <cell r="D918" t="str">
            <v>BARRIO EL BOSQUE</v>
          </cell>
          <cell r="E918"/>
          <cell r="F918"/>
          <cell r="G918" t="str">
            <v>UNIDAD</v>
          </cell>
          <cell r="H918">
            <v>1</v>
          </cell>
          <cell r="L918">
            <v>1</v>
          </cell>
        </row>
        <row r="919">
          <cell r="B919" t="str">
            <v>CARRERA 21 ENTRE CALLE 94 Y 95</v>
          </cell>
          <cell r="C919" t="str">
            <v>DV_TOTALD</v>
          </cell>
          <cell r="D919" t="str">
            <v>BARRIO EL BOSQUE</v>
          </cell>
          <cell r="E919"/>
          <cell r="F919"/>
          <cell r="G919" t="str">
            <v>UNIDAD</v>
          </cell>
          <cell r="H919">
            <v>1</v>
          </cell>
          <cell r="L919">
            <v>1</v>
          </cell>
        </row>
        <row r="920">
          <cell r="B920" t="str">
            <v>CARRERA 21 ENTRE CALLE 95 Y 96</v>
          </cell>
          <cell r="C920" t="str">
            <v>DV_TOTALD</v>
          </cell>
          <cell r="D920" t="str">
            <v>BARRIO EL BOSQUE</v>
          </cell>
          <cell r="E920"/>
          <cell r="F920"/>
          <cell r="G920" t="str">
            <v>UNIDAD</v>
          </cell>
          <cell r="H920">
            <v>1</v>
          </cell>
          <cell r="L920">
            <v>1</v>
          </cell>
        </row>
        <row r="921">
          <cell r="B921" t="str">
            <v>CARRERA 21 ENTRE CALLE 96 Y 96A</v>
          </cell>
          <cell r="C921" t="str">
            <v>DV_TOTALD</v>
          </cell>
          <cell r="D921" t="str">
            <v>BARRIO EL BOSQUE</v>
          </cell>
          <cell r="E921"/>
          <cell r="F921"/>
          <cell r="G921" t="str">
            <v>UNIDAD</v>
          </cell>
          <cell r="H921">
            <v>1</v>
          </cell>
          <cell r="L921">
            <v>1</v>
          </cell>
        </row>
        <row r="922">
          <cell r="B922" t="str">
            <v>CARRERA 21 ENTRE CALLE 96A Y 97</v>
          </cell>
          <cell r="C922" t="str">
            <v>DV_TOTALD</v>
          </cell>
          <cell r="D922" t="str">
            <v>BARRIO EL BOSQUE</v>
          </cell>
          <cell r="E922"/>
          <cell r="F922"/>
          <cell r="G922" t="str">
            <v>UNIDAD</v>
          </cell>
          <cell r="H922">
            <v>1</v>
          </cell>
          <cell r="L922">
            <v>1</v>
          </cell>
        </row>
        <row r="923">
          <cell r="B923" t="str">
            <v>CARRERA 21 ENTRE CALLE 97 Y 97A</v>
          </cell>
          <cell r="C923" t="str">
            <v>DV_TOTALD</v>
          </cell>
          <cell r="D923" t="str">
            <v>BARRIO EL BOSQUE</v>
          </cell>
          <cell r="E923"/>
          <cell r="F923"/>
          <cell r="G923" t="str">
            <v>UNIDAD</v>
          </cell>
          <cell r="H923">
            <v>1</v>
          </cell>
          <cell r="L923">
            <v>1</v>
          </cell>
        </row>
        <row r="924">
          <cell r="B924" t="str">
            <v>CLL 110-CRA 14-14A</v>
          </cell>
          <cell r="C924" t="str">
            <v>DV_TOTALE</v>
          </cell>
          <cell r="D924" t="str">
            <v>BARRIO JESUS MORA CALLE 110</v>
          </cell>
          <cell r="E924"/>
          <cell r="F924"/>
          <cell r="G924" t="str">
            <v>UNIDAD</v>
          </cell>
          <cell r="H924">
            <v>1</v>
          </cell>
          <cell r="L924">
            <v>1</v>
          </cell>
        </row>
        <row r="925">
          <cell r="B925" t="str">
            <v>CLL 110-CRA 14A-15</v>
          </cell>
          <cell r="C925" t="str">
            <v>DV_TOTALE</v>
          </cell>
          <cell r="D925" t="str">
            <v>BARRIO JESUS MORA CALLE 110</v>
          </cell>
          <cell r="E925"/>
          <cell r="F925"/>
          <cell r="G925" t="str">
            <v>UNIDAD</v>
          </cell>
          <cell r="H925">
            <v>1</v>
          </cell>
          <cell r="L925">
            <v>1</v>
          </cell>
        </row>
        <row r="926">
          <cell r="B926" t="str">
            <v>CLL 110 CRA 15-16</v>
          </cell>
          <cell r="C926" t="str">
            <v>DV_TOTALE</v>
          </cell>
          <cell r="D926" t="str">
            <v>BARRIO JESUS MORA CALLE 110</v>
          </cell>
          <cell r="E926"/>
          <cell r="F926"/>
          <cell r="G926" t="str">
            <v>UNIDAD</v>
          </cell>
          <cell r="H926">
            <v>2</v>
          </cell>
          <cell r="L926">
            <v>2</v>
          </cell>
        </row>
        <row r="927">
          <cell r="B927" t="str">
            <v>CLL 110 CRA 16-17</v>
          </cell>
          <cell r="C927" t="str">
            <v>DV_TOTALE</v>
          </cell>
          <cell r="D927" t="str">
            <v>BARRIO JESUS MORA CALLE 110</v>
          </cell>
          <cell r="E927"/>
          <cell r="F927"/>
          <cell r="G927" t="str">
            <v>UNIDAD</v>
          </cell>
          <cell r="H927">
            <v>2</v>
          </cell>
          <cell r="L927">
            <v>2</v>
          </cell>
        </row>
        <row r="928">
          <cell r="B928" t="str">
            <v>CLL 110 CRA 17-18</v>
          </cell>
          <cell r="C928" t="str">
            <v>DV_TOTALE</v>
          </cell>
          <cell r="D928" t="str">
            <v>BARRIO JESUS MORA CALLE 110</v>
          </cell>
          <cell r="E928"/>
          <cell r="F928"/>
          <cell r="G928" t="str">
            <v>UNIDAD</v>
          </cell>
          <cell r="H928">
            <v>2</v>
          </cell>
          <cell r="L928">
            <v>2</v>
          </cell>
        </row>
        <row r="929">
          <cell r="B929" t="str">
            <v>CLL 110 CRA 18-19</v>
          </cell>
          <cell r="C929" t="str">
            <v>DV_TOTALE</v>
          </cell>
          <cell r="D929" t="str">
            <v>BARRIO JESUS MORA CALLE 110</v>
          </cell>
          <cell r="E929"/>
          <cell r="F929"/>
          <cell r="G929" t="str">
            <v>UNIDAD</v>
          </cell>
          <cell r="H929">
            <v>3</v>
          </cell>
          <cell r="L929">
            <v>3</v>
          </cell>
        </row>
        <row r="930">
          <cell r="B930" t="str">
            <v>CLL 110 CRA 19-19A</v>
          </cell>
          <cell r="C930" t="str">
            <v>DV_TOTALE</v>
          </cell>
          <cell r="D930" t="str">
            <v>BARRIO JESUS MORA CALLE 110</v>
          </cell>
          <cell r="E930"/>
          <cell r="F930"/>
          <cell r="G930" t="str">
            <v>UNIDAD</v>
          </cell>
          <cell r="H930">
            <v>1</v>
          </cell>
          <cell r="L930">
            <v>1</v>
          </cell>
        </row>
        <row r="931">
          <cell r="B931" t="str">
            <v>CLL 110 CRA 19A-20</v>
          </cell>
          <cell r="C931" t="str">
            <v>DV_TOTALE</v>
          </cell>
          <cell r="D931" t="str">
            <v>BARRIO JESUS MORA CALLE 110</v>
          </cell>
          <cell r="E931"/>
          <cell r="F931"/>
          <cell r="G931" t="str">
            <v>UNIDAD</v>
          </cell>
          <cell r="H931">
            <v>1</v>
          </cell>
          <cell r="L931">
            <v>1</v>
          </cell>
        </row>
        <row r="932">
          <cell r="B932" t="str">
            <v>CLL 110 CRA 20-20A</v>
          </cell>
          <cell r="C932" t="str">
            <v>DV_TOTALE</v>
          </cell>
          <cell r="D932" t="str">
            <v>BARRIO JESUS MORA CALLE 110</v>
          </cell>
          <cell r="E932"/>
          <cell r="F932"/>
          <cell r="G932" t="str">
            <v>UNIDAD</v>
          </cell>
          <cell r="H932">
            <v>1</v>
          </cell>
          <cell r="L932">
            <v>1</v>
          </cell>
        </row>
        <row r="933">
          <cell r="B933" t="str">
            <v>CLL 110 CRA 20-21</v>
          </cell>
          <cell r="C933" t="str">
            <v>DV_TOTALE</v>
          </cell>
          <cell r="D933" t="str">
            <v>BARRIO JESUS MORA CALLE 110</v>
          </cell>
          <cell r="E933"/>
          <cell r="F933"/>
          <cell r="G933" t="str">
            <v>UNIDAD</v>
          </cell>
          <cell r="H933">
            <v>1</v>
          </cell>
          <cell r="L933">
            <v>1</v>
          </cell>
        </row>
        <row r="934">
          <cell r="B934" t="str">
            <v>CLL 110 CRA 21-22</v>
          </cell>
          <cell r="C934" t="str">
            <v>DV_TOTALE</v>
          </cell>
          <cell r="D934" t="str">
            <v>BARRIO JESUS MORA CALLE 110</v>
          </cell>
          <cell r="E934"/>
          <cell r="F934"/>
          <cell r="G934" t="str">
            <v>UNIDAD</v>
          </cell>
          <cell r="H934">
            <v>2</v>
          </cell>
          <cell r="L934">
            <v>2</v>
          </cell>
        </row>
        <row r="935">
          <cell r="B935" t="str">
            <v>CLL 110 CRA 22-23</v>
          </cell>
          <cell r="C935" t="str">
            <v>DV_TOTALE</v>
          </cell>
          <cell r="D935" t="str">
            <v>BARRIO JESUS MORA CALLE 110</v>
          </cell>
          <cell r="E935"/>
          <cell r="F935"/>
          <cell r="G935" t="str">
            <v>UNIDAD</v>
          </cell>
          <cell r="H935">
            <v>2</v>
          </cell>
          <cell r="L935">
            <v>2</v>
          </cell>
        </row>
        <row r="936">
          <cell r="B936" t="str">
            <v>CLL 110 CRA 23-24</v>
          </cell>
          <cell r="C936" t="str">
            <v>DV_TOTALE</v>
          </cell>
          <cell r="D936" t="str">
            <v>BARRIO JESUS MORA CALLE 110</v>
          </cell>
          <cell r="E936"/>
          <cell r="F936"/>
          <cell r="G936" t="str">
            <v>UNIDAD</v>
          </cell>
          <cell r="H936">
            <v>2</v>
          </cell>
          <cell r="L936">
            <v>2</v>
          </cell>
        </row>
        <row r="937">
          <cell r="B937" t="str">
            <v>CLL 110 CRA 24-25</v>
          </cell>
          <cell r="C937" t="str">
            <v>DV_TOTALE</v>
          </cell>
          <cell r="D937" t="str">
            <v>BARRIO JESUS MORA CALLE 110</v>
          </cell>
          <cell r="E937"/>
          <cell r="F937"/>
          <cell r="G937" t="str">
            <v>UNIDAD</v>
          </cell>
          <cell r="H937">
            <v>2</v>
          </cell>
          <cell r="L937">
            <v>2</v>
          </cell>
        </row>
        <row r="938">
          <cell r="B938" t="str">
            <v>CLL 110 CRA 25-26</v>
          </cell>
          <cell r="C938" t="str">
            <v>DV_TOTALE</v>
          </cell>
          <cell r="D938" t="str">
            <v>BARRIO JESUS MORA CALLE 110</v>
          </cell>
          <cell r="E938"/>
          <cell r="F938"/>
          <cell r="G938" t="str">
            <v>UNIDAD</v>
          </cell>
          <cell r="H938">
            <v>2</v>
          </cell>
          <cell r="L938">
            <v>2</v>
          </cell>
        </row>
        <row r="939">
          <cell r="B939" t="str">
            <v>CLL 110 CRA 26-27</v>
          </cell>
          <cell r="C939" t="str">
            <v>DV_TOTALE</v>
          </cell>
          <cell r="D939" t="str">
            <v>BARRIO JESUS MORA CALLE 110</v>
          </cell>
          <cell r="E939"/>
          <cell r="F939"/>
          <cell r="G939" t="str">
            <v>UNIDAD</v>
          </cell>
          <cell r="H939">
            <v>2</v>
          </cell>
          <cell r="L939">
            <v>2</v>
          </cell>
        </row>
        <row r="940">
          <cell r="J940" t="str">
            <v>VALOR TOTAL</v>
          </cell>
          <cell r="K940"/>
          <cell r="L940">
            <v>165</v>
          </cell>
        </row>
        <row r="942">
          <cell r="B942" t="str">
            <v>2.6</v>
          </cell>
          <cell r="C942" t="str">
            <v>DESCRIPCION</v>
          </cell>
          <cell r="D942"/>
          <cell r="E942" t="str">
            <v>Realce de cajas domiciliarias medidor acueducto incluye formaleta y aprovechamiento de la tapa</v>
          </cell>
          <cell r="F942"/>
          <cell r="G942"/>
          <cell r="H942"/>
          <cell r="I942" t="str">
            <v>UN</v>
          </cell>
          <cell r="J942" t="str">
            <v>UNIDAD</v>
          </cell>
          <cell r="K942" t="str">
            <v>CANTIDAD</v>
          </cell>
          <cell r="L942">
            <v>165</v>
          </cell>
        </row>
        <row r="944">
          <cell r="B944" t="str">
            <v>COD EP</v>
          </cell>
          <cell r="C944" t="str">
            <v>COD EP</v>
          </cell>
          <cell r="D944" t="str">
            <v>DESCRIPCION /LOCALIZACION</v>
          </cell>
          <cell r="E944"/>
          <cell r="F944"/>
          <cell r="G944" t="str">
            <v>UNIDAD</v>
          </cell>
          <cell r="H944" t="str">
            <v>CAN/UN</v>
          </cell>
          <cell r="I944" t="str">
            <v>LARGO</v>
          </cell>
          <cell r="J944" t="str">
            <v>ANCHO</v>
          </cell>
          <cell r="K944" t="str">
            <v>ALTURA</v>
          </cell>
          <cell r="L944" t="str">
            <v>CAN MED</v>
          </cell>
        </row>
        <row r="945">
          <cell r="B945" t="str">
            <v>TODA LA LONGITUD</v>
          </cell>
          <cell r="C945" t="str">
            <v>DV_TOTAL</v>
          </cell>
          <cell r="D945" t="str">
            <v>TODAS LAS VIAS</v>
          </cell>
          <cell r="E945"/>
          <cell r="F945"/>
          <cell r="G945" t="str">
            <v>UNIDAD</v>
          </cell>
          <cell r="H945">
            <v>165</v>
          </cell>
          <cell r="L945">
            <v>165</v>
          </cell>
        </row>
        <row r="946">
          <cell r="J946" t="str">
            <v>VALOR TOTAL</v>
          </cell>
          <cell r="K946"/>
          <cell r="L946">
            <v>165</v>
          </cell>
        </row>
        <row r="948">
          <cell r="B948" t="str">
            <v>2.7</v>
          </cell>
          <cell r="C948" t="str">
            <v>DESCRIPCION</v>
          </cell>
          <cell r="D948"/>
          <cell r="E948" t="str">
            <v>Mano de obra para instalación de tubería Novafort 300mm  para sumideros</v>
          </cell>
          <cell r="F948"/>
          <cell r="G948"/>
          <cell r="H948"/>
          <cell r="I948" t="str">
            <v>UN</v>
          </cell>
          <cell r="J948" t="str">
            <v>ML</v>
          </cell>
          <cell r="K948" t="str">
            <v>CANTIDAD</v>
          </cell>
          <cell r="L948">
            <v>1797</v>
          </cell>
        </row>
        <row r="950">
          <cell r="B950" t="str">
            <v>DESCRIPCION</v>
          </cell>
          <cell r="C950"/>
          <cell r="D950" t="str">
            <v>DESCRIPCION /LOCALIZACION</v>
          </cell>
          <cell r="E950"/>
          <cell r="F950"/>
          <cell r="G950" t="str">
            <v>UNIDAD</v>
          </cell>
          <cell r="H950" t="str">
            <v>CAN/UN</v>
          </cell>
          <cell r="I950" t="str">
            <v>LARGO</v>
          </cell>
          <cell r="J950" t="str">
            <v>ANCHO</v>
          </cell>
          <cell r="K950" t="str">
            <v>ALTURA</v>
          </cell>
          <cell r="L950" t="str">
            <v>CAN MED</v>
          </cell>
        </row>
        <row r="951">
          <cell r="B951" t="str">
            <v>CRA 19 * 102C</v>
          </cell>
          <cell r="C951" t="str">
            <v>DV_TOTALA</v>
          </cell>
          <cell r="D951" t="str">
            <v>BARRIO CIUDADELA INDUSTRIAL</v>
          </cell>
          <cell r="E951"/>
          <cell r="F951"/>
          <cell r="G951" t="str">
            <v>ML</v>
          </cell>
          <cell r="H951">
            <v>1</v>
          </cell>
          <cell r="I951">
            <v>7</v>
          </cell>
          <cell r="L951">
            <v>7</v>
          </cell>
        </row>
        <row r="952">
          <cell r="B952" t="str">
            <v>CRA 20 * 102C</v>
          </cell>
          <cell r="C952" t="str">
            <v>DV_TOTALA</v>
          </cell>
          <cell r="D952" t="str">
            <v>BARRIO CIUDADELA INDUSTRIAL</v>
          </cell>
          <cell r="E952"/>
          <cell r="F952"/>
          <cell r="G952" t="str">
            <v>ML</v>
          </cell>
          <cell r="H952">
            <v>1</v>
          </cell>
          <cell r="I952">
            <v>18</v>
          </cell>
          <cell r="L952">
            <v>18</v>
          </cell>
        </row>
        <row r="953">
          <cell r="B953" t="str">
            <v xml:space="preserve">CRA 21 * 102C </v>
          </cell>
          <cell r="C953" t="str">
            <v>DV_TOTALA</v>
          </cell>
          <cell r="D953" t="str">
            <v>BARRIO CIUDADELA INDUSTRIAL</v>
          </cell>
          <cell r="E953"/>
          <cell r="F953"/>
          <cell r="G953" t="str">
            <v>ML</v>
          </cell>
          <cell r="H953">
            <v>1</v>
          </cell>
          <cell r="I953">
            <v>7</v>
          </cell>
          <cell r="L953">
            <v>7</v>
          </cell>
        </row>
        <row r="954">
          <cell r="B954" t="str">
            <v>CRA 19 * 102B</v>
          </cell>
          <cell r="C954" t="str">
            <v>DV_TOTALA</v>
          </cell>
          <cell r="D954" t="str">
            <v>BARRIO CIUDADELA INDUSTRIAL</v>
          </cell>
          <cell r="E954"/>
          <cell r="F954"/>
          <cell r="G954" t="str">
            <v>ML</v>
          </cell>
          <cell r="H954">
            <v>1</v>
          </cell>
          <cell r="I954">
            <v>7</v>
          </cell>
          <cell r="L954">
            <v>7</v>
          </cell>
        </row>
        <row r="955">
          <cell r="B955" t="str">
            <v>CRA 20 * 102B</v>
          </cell>
          <cell r="C955" t="str">
            <v>DV_TOTALA</v>
          </cell>
          <cell r="D955" t="str">
            <v>BARRIO CIUDADELA INDUSTRIAL</v>
          </cell>
          <cell r="E955"/>
          <cell r="F955"/>
          <cell r="G955" t="str">
            <v>ML</v>
          </cell>
          <cell r="H955">
            <v>1</v>
          </cell>
          <cell r="I955">
            <v>18</v>
          </cell>
          <cell r="L955">
            <v>18</v>
          </cell>
        </row>
        <row r="956">
          <cell r="B956" t="str">
            <v>CRA 21 * 102B</v>
          </cell>
          <cell r="C956" t="str">
            <v>DV_TOTALA</v>
          </cell>
          <cell r="D956" t="str">
            <v>BARRIO CIUDADELA INDUSTRIAL</v>
          </cell>
          <cell r="E956"/>
          <cell r="F956"/>
          <cell r="G956" t="str">
            <v>ML</v>
          </cell>
          <cell r="H956">
            <v>1</v>
          </cell>
          <cell r="I956">
            <v>18</v>
          </cell>
          <cell r="L956">
            <v>18</v>
          </cell>
        </row>
        <row r="957">
          <cell r="B957" t="str">
            <v>CRA 21A * 102B</v>
          </cell>
          <cell r="C957" t="str">
            <v>DV_TOTALA</v>
          </cell>
          <cell r="D957" t="str">
            <v>BARRIO CIUDADELA INDUSTRIAL</v>
          </cell>
          <cell r="E957"/>
          <cell r="F957"/>
          <cell r="G957" t="str">
            <v>ML</v>
          </cell>
          <cell r="H957">
            <v>1</v>
          </cell>
          <cell r="I957">
            <v>7</v>
          </cell>
          <cell r="L957">
            <v>7</v>
          </cell>
        </row>
        <row r="958">
          <cell r="B958" t="str">
            <v>CLL 102B * CRA 20</v>
          </cell>
          <cell r="C958" t="str">
            <v>DV_TOTALA</v>
          </cell>
          <cell r="D958" t="str">
            <v>BARRIO CIUDADELA INDUSTRIAL</v>
          </cell>
          <cell r="E958"/>
          <cell r="F958"/>
          <cell r="G958" t="str">
            <v>ML</v>
          </cell>
          <cell r="H958">
            <v>1</v>
          </cell>
          <cell r="I958">
            <v>7</v>
          </cell>
          <cell r="L958">
            <v>7</v>
          </cell>
        </row>
        <row r="959">
          <cell r="B959" t="str">
            <v>CLL 102C * CRA 20</v>
          </cell>
          <cell r="C959" t="str">
            <v>DV_TOTALA</v>
          </cell>
          <cell r="D959" t="str">
            <v>BARRIO CIUDADELA INDUSTRIAL</v>
          </cell>
          <cell r="E959"/>
          <cell r="F959"/>
          <cell r="G959" t="str">
            <v>ML</v>
          </cell>
          <cell r="H959">
            <v>1</v>
          </cell>
          <cell r="I959">
            <v>18</v>
          </cell>
          <cell r="L959">
            <v>18</v>
          </cell>
        </row>
        <row r="960">
          <cell r="B960" t="str">
            <v>CLL 102D * CRA 20</v>
          </cell>
          <cell r="C960" t="str">
            <v>DV_TOTALA</v>
          </cell>
          <cell r="D960" t="str">
            <v>BARRIO CIUDADELA INDUSTRIAL</v>
          </cell>
          <cell r="E960"/>
          <cell r="F960"/>
          <cell r="G960" t="str">
            <v>ML</v>
          </cell>
          <cell r="H960">
            <v>1</v>
          </cell>
          <cell r="I960">
            <v>7</v>
          </cell>
          <cell r="L960">
            <v>7</v>
          </cell>
        </row>
        <row r="961">
          <cell r="B961" t="str">
            <v>CLL 102B * CRA 21</v>
          </cell>
          <cell r="C961" t="str">
            <v>DV_TOTALA</v>
          </cell>
          <cell r="D961" t="str">
            <v>BARRIO CIUDADELA INDUSTRIAL</v>
          </cell>
          <cell r="E961"/>
          <cell r="F961"/>
          <cell r="G961" t="str">
            <v>ML</v>
          </cell>
          <cell r="H961">
            <v>1</v>
          </cell>
          <cell r="I961">
            <v>7</v>
          </cell>
          <cell r="L961">
            <v>7</v>
          </cell>
        </row>
        <row r="962">
          <cell r="B962" t="str">
            <v>CLL 102C * CRA 21</v>
          </cell>
          <cell r="C962" t="str">
            <v>DV_TOTALA</v>
          </cell>
          <cell r="D962" t="str">
            <v>BARRIO CIUDADELA INDUSTRIAL</v>
          </cell>
          <cell r="E962"/>
          <cell r="F962"/>
          <cell r="G962" t="str">
            <v>ML</v>
          </cell>
          <cell r="H962">
            <v>1</v>
          </cell>
          <cell r="I962">
            <v>18</v>
          </cell>
          <cell r="L962">
            <v>18</v>
          </cell>
        </row>
        <row r="963">
          <cell r="B963" t="str">
            <v>CLL 102D * CRA 21</v>
          </cell>
          <cell r="C963" t="str">
            <v>DV_TOTALA</v>
          </cell>
          <cell r="D963" t="str">
            <v>BARRIO CIUDADELA INDUSTRIAL</v>
          </cell>
          <cell r="E963"/>
          <cell r="F963"/>
          <cell r="G963" t="str">
            <v>ML</v>
          </cell>
          <cell r="H963">
            <v>1</v>
          </cell>
          <cell r="I963">
            <v>7</v>
          </cell>
          <cell r="L963">
            <v>7</v>
          </cell>
        </row>
        <row r="964">
          <cell r="B964" t="str">
            <v>CRA 20 * CALLE 102C</v>
          </cell>
          <cell r="C964" t="str">
            <v>DV_TOTALA</v>
          </cell>
          <cell r="D964" t="str">
            <v>BARRIO CIUDADELA INDUSTRIAL</v>
          </cell>
          <cell r="E964"/>
          <cell r="F964"/>
          <cell r="G964" t="str">
            <v>ML</v>
          </cell>
          <cell r="H964">
            <v>1</v>
          </cell>
          <cell r="I964">
            <v>7</v>
          </cell>
          <cell r="L964">
            <v>7</v>
          </cell>
        </row>
        <row r="965">
          <cell r="B965" t="str">
            <v>CRA 21* CALLE 102C</v>
          </cell>
          <cell r="C965" t="str">
            <v>DV_TOTALA</v>
          </cell>
          <cell r="D965" t="str">
            <v>BARRIO CIUDADELA INDUSTRIAL</v>
          </cell>
          <cell r="E965"/>
          <cell r="F965"/>
          <cell r="G965" t="str">
            <v>ML</v>
          </cell>
          <cell r="H965">
            <v>1</v>
          </cell>
          <cell r="I965">
            <v>7</v>
          </cell>
          <cell r="L965">
            <v>7</v>
          </cell>
        </row>
        <row r="966">
          <cell r="B966" t="str">
            <v>CRA 17 * CLL  102A</v>
          </cell>
          <cell r="C966" t="str">
            <v>DV_TOTALB</v>
          </cell>
          <cell r="D966" t="str">
            <v>BARRIO JUAN XXIII</v>
          </cell>
          <cell r="E966"/>
          <cell r="F966"/>
          <cell r="G966" t="str">
            <v>ML</v>
          </cell>
          <cell r="H966">
            <v>1</v>
          </cell>
          <cell r="I966">
            <v>7</v>
          </cell>
          <cell r="L966">
            <v>7</v>
          </cell>
        </row>
        <row r="967">
          <cell r="B967" t="str">
            <v>CRA 19 * CLL  102A</v>
          </cell>
          <cell r="C967" t="str">
            <v>DV_TOTALB</v>
          </cell>
          <cell r="D967" t="str">
            <v>BARRIO JUAN XXIII</v>
          </cell>
          <cell r="E967"/>
          <cell r="F967"/>
          <cell r="G967" t="str">
            <v>ML</v>
          </cell>
          <cell r="H967">
            <v>1</v>
          </cell>
          <cell r="I967">
            <v>7</v>
          </cell>
          <cell r="L967">
            <v>7</v>
          </cell>
        </row>
        <row r="968">
          <cell r="B968" t="str">
            <v>CRA 17 * CALLE 102B</v>
          </cell>
          <cell r="C968" t="str">
            <v>DV_TOTALB</v>
          </cell>
          <cell r="D968" t="str">
            <v>BARRIO JUAN XXIII</v>
          </cell>
          <cell r="E968"/>
          <cell r="F968"/>
          <cell r="G968" t="str">
            <v>ML</v>
          </cell>
          <cell r="H968">
            <v>1</v>
          </cell>
          <cell r="I968">
            <v>7</v>
          </cell>
          <cell r="L968">
            <v>7</v>
          </cell>
        </row>
        <row r="969">
          <cell r="B969" t="str">
            <v>CRA 19 * CALLE 102B</v>
          </cell>
          <cell r="C969" t="str">
            <v>DV_TOTALB</v>
          </cell>
          <cell r="D969" t="str">
            <v>BARRIO JUAN XXIII</v>
          </cell>
          <cell r="E969"/>
          <cell r="F969"/>
          <cell r="G969" t="str">
            <v>ML</v>
          </cell>
          <cell r="H969">
            <v>1</v>
          </cell>
          <cell r="I969">
            <v>7</v>
          </cell>
          <cell r="L969">
            <v>7</v>
          </cell>
        </row>
        <row r="970">
          <cell r="B970" t="str">
            <v>CRA 17 * CALLE 102</v>
          </cell>
          <cell r="C970" t="str">
            <v>DV_TOTALB</v>
          </cell>
          <cell r="D970" t="str">
            <v>BARRIO JUAN XXIII</v>
          </cell>
          <cell r="E970"/>
          <cell r="F970"/>
          <cell r="G970" t="str">
            <v>ML</v>
          </cell>
          <cell r="H970">
            <v>1</v>
          </cell>
          <cell r="I970">
            <v>7</v>
          </cell>
          <cell r="L970">
            <v>7</v>
          </cell>
        </row>
        <row r="971">
          <cell r="B971" t="str">
            <v>CRA 17A * CALLE 102</v>
          </cell>
          <cell r="C971" t="str">
            <v>DV_TOTALB</v>
          </cell>
          <cell r="D971" t="str">
            <v>BARRIO JUAN XXIII</v>
          </cell>
          <cell r="E971"/>
          <cell r="F971"/>
          <cell r="G971" t="str">
            <v>ML</v>
          </cell>
          <cell r="H971">
            <v>1</v>
          </cell>
          <cell r="I971">
            <v>18</v>
          </cell>
          <cell r="L971">
            <v>18</v>
          </cell>
        </row>
        <row r="972">
          <cell r="B972" t="str">
            <v>CRA 19 * CALLE 102</v>
          </cell>
          <cell r="C972" t="str">
            <v>DV_TOTALB</v>
          </cell>
          <cell r="D972" t="str">
            <v>BARRIO JUAN XXIII</v>
          </cell>
          <cell r="E972"/>
          <cell r="F972"/>
          <cell r="G972" t="str">
            <v>ML</v>
          </cell>
          <cell r="H972">
            <v>1</v>
          </cell>
          <cell r="I972">
            <v>7</v>
          </cell>
          <cell r="L972">
            <v>7</v>
          </cell>
        </row>
        <row r="973">
          <cell r="B973" t="str">
            <v>CRA 17 * CALLE 101</v>
          </cell>
          <cell r="C973" t="str">
            <v>DV_TOTALB</v>
          </cell>
          <cell r="D973" t="str">
            <v>BARRIO JUAN XXIII</v>
          </cell>
          <cell r="E973"/>
          <cell r="F973"/>
          <cell r="G973" t="str">
            <v>ML</v>
          </cell>
          <cell r="H973">
            <v>1</v>
          </cell>
          <cell r="I973">
            <v>7</v>
          </cell>
          <cell r="L973">
            <v>7</v>
          </cell>
        </row>
        <row r="974">
          <cell r="B974" t="str">
            <v>CRA 17A * CALLE 101</v>
          </cell>
          <cell r="C974" t="str">
            <v>DV_TOTALB</v>
          </cell>
          <cell r="D974" t="str">
            <v>BARRIO JUAN XXIII</v>
          </cell>
          <cell r="E974"/>
          <cell r="F974"/>
          <cell r="G974" t="str">
            <v>ML</v>
          </cell>
          <cell r="H974">
            <v>1</v>
          </cell>
          <cell r="I974">
            <v>7</v>
          </cell>
          <cell r="L974">
            <v>7</v>
          </cell>
        </row>
        <row r="975">
          <cell r="B975" t="str">
            <v>CLL 101 * CRA 17A</v>
          </cell>
          <cell r="C975" t="str">
            <v>DV_TOTALB</v>
          </cell>
          <cell r="D975" t="str">
            <v>BARRIO JUAN XXIII</v>
          </cell>
          <cell r="E975"/>
          <cell r="F975"/>
          <cell r="G975" t="str">
            <v>ML</v>
          </cell>
          <cell r="H975">
            <v>1</v>
          </cell>
          <cell r="I975">
            <v>7</v>
          </cell>
          <cell r="L975">
            <v>7</v>
          </cell>
        </row>
        <row r="976">
          <cell r="B976" t="str">
            <v>CLL 102 * CRA 17A</v>
          </cell>
          <cell r="C976" t="str">
            <v>DV_TOTALB</v>
          </cell>
          <cell r="D976" t="str">
            <v>BARRIO JUAN XXIII</v>
          </cell>
          <cell r="E976"/>
          <cell r="F976"/>
          <cell r="G976" t="str">
            <v>ML</v>
          </cell>
          <cell r="H976">
            <v>1</v>
          </cell>
          <cell r="I976">
            <v>7</v>
          </cell>
          <cell r="L976">
            <v>7</v>
          </cell>
        </row>
        <row r="977">
          <cell r="B977" t="str">
            <v>CLL 100 * CRA 17</v>
          </cell>
          <cell r="C977" t="str">
            <v>DV_TOTALB</v>
          </cell>
          <cell r="D977" t="str">
            <v>BARRIO JUAN XXIII</v>
          </cell>
          <cell r="E977"/>
          <cell r="F977"/>
          <cell r="G977" t="str">
            <v>ML</v>
          </cell>
          <cell r="H977">
            <v>1</v>
          </cell>
          <cell r="I977">
            <v>7</v>
          </cell>
          <cell r="L977">
            <v>7</v>
          </cell>
        </row>
        <row r="978">
          <cell r="B978" t="str">
            <v>CLL 101 * CRA 17</v>
          </cell>
          <cell r="C978" t="str">
            <v>DV_TOTALB</v>
          </cell>
          <cell r="D978" t="str">
            <v>BARRIO JUAN XXIII</v>
          </cell>
          <cell r="E978"/>
          <cell r="F978"/>
          <cell r="G978" t="str">
            <v>ML</v>
          </cell>
          <cell r="H978">
            <v>1</v>
          </cell>
          <cell r="I978">
            <v>18</v>
          </cell>
          <cell r="L978">
            <v>18</v>
          </cell>
        </row>
        <row r="979">
          <cell r="B979" t="str">
            <v>CLL 102 * CRA 17</v>
          </cell>
          <cell r="C979" t="str">
            <v>DV_TOTALB</v>
          </cell>
          <cell r="D979" t="str">
            <v>BARRIO JUAN XXIII</v>
          </cell>
          <cell r="E979"/>
          <cell r="F979"/>
          <cell r="G979" t="str">
            <v>ML</v>
          </cell>
          <cell r="H979">
            <v>1</v>
          </cell>
          <cell r="I979">
            <v>18</v>
          </cell>
          <cell r="L979">
            <v>18</v>
          </cell>
        </row>
        <row r="980">
          <cell r="B980" t="str">
            <v>CLL 102A * CRA 17</v>
          </cell>
          <cell r="C980" t="str">
            <v>DV_TOTALB</v>
          </cell>
          <cell r="D980" t="str">
            <v>BARRIO JUAN XXIII</v>
          </cell>
          <cell r="E980"/>
          <cell r="F980"/>
          <cell r="G980" t="str">
            <v>ML</v>
          </cell>
          <cell r="H980">
            <v>1</v>
          </cell>
          <cell r="I980">
            <v>18</v>
          </cell>
          <cell r="L980">
            <v>18</v>
          </cell>
        </row>
        <row r="981">
          <cell r="B981" t="str">
            <v>CLL 102B * CRA 17</v>
          </cell>
          <cell r="C981" t="str">
            <v>DV_TOTALB</v>
          </cell>
          <cell r="D981" t="str">
            <v>BARRIO JUAN XXIII</v>
          </cell>
          <cell r="E981"/>
          <cell r="F981"/>
          <cell r="G981" t="str">
            <v>ML</v>
          </cell>
          <cell r="H981">
            <v>1</v>
          </cell>
          <cell r="I981">
            <v>7</v>
          </cell>
          <cell r="L981">
            <v>7</v>
          </cell>
        </row>
        <row r="982">
          <cell r="B982" t="str">
            <v>LOTE *CLL99E</v>
          </cell>
          <cell r="C982" t="str">
            <v>DV_TOTALC</v>
          </cell>
          <cell r="D982" t="str">
            <v>BARRIO LAS DELICIAS</v>
          </cell>
          <cell r="E982"/>
          <cell r="F982"/>
          <cell r="G982" t="str">
            <v>ML</v>
          </cell>
          <cell r="H982">
            <v>1</v>
          </cell>
          <cell r="I982">
            <v>7</v>
          </cell>
          <cell r="L982">
            <v>7</v>
          </cell>
        </row>
        <row r="983">
          <cell r="B983" t="str">
            <v>CRA 16A * CLL 99E</v>
          </cell>
          <cell r="C983" t="str">
            <v>DV_TOTALC</v>
          </cell>
          <cell r="D983" t="str">
            <v>BARRIO LAS DELICIAS</v>
          </cell>
          <cell r="E983"/>
          <cell r="F983"/>
          <cell r="G983" t="str">
            <v>ML</v>
          </cell>
          <cell r="H983">
            <v>1</v>
          </cell>
          <cell r="I983">
            <v>18</v>
          </cell>
          <cell r="L983">
            <v>18</v>
          </cell>
        </row>
        <row r="984">
          <cell r="B984" t="str">
            <v>CRA 17 * CLL 99E</v>
          </cell>
          <cell r="C984" t="str">
            <v>DV_TOTALC</v>
          </cell>
          <cell r="D984" t="str">
            <v>BARRIO LAS DELICIAS</v>
          </cell>
          <cell r="E984"/>
          <cell r="F984"/>
          <cell r="G984" t="str">
            <v>ML</v>
          </cell>
          <cell r="H984">
            <v>1</v>
          </cell>
          <cell r="I984">
            <v>7</v>
          </cell>
          <cell r="L984">
            <v>7</v>
          </cell>
        </row>
        <row r="985">
          <cell r="B985" t="str">
            <v>CRA 16A * CLL 99D</v>
          </cell>
          <cell r="C985" t="str">
            <v>DV_TOTALC</v>
          </cell>
          <cell r="D985" t="str">
            <v>BARRIO LAS DELICIAS</v>
          </cell>
          <cell r="E985"/>
          <cell r="F985"/>
          <cell r="G985" t="str">
            <v>ML</v>
          </cell>
          <cell r="H985">
            <v>1</v>
          </cell>
          <cell r="I985">
            <v>7</v>
          </cell>
          <cell r="L985">
            <v>7</v>
          </cell>
        </row>
        <row r="986">
          <cell r="B986" t="str">
            <v>CRA 17 * CLL 99D</v>
          </cell>
          <cell r="C986" t="str">
            <v>DV_TOTALC</v>
          </cell>
          <cell r="D986" t="str">
            <v>BARRIO LAS DELICIAS</v>
          </cell>
          <cell r="E986"/>
          <cell r="F986"/>
          <cell r="G986" t="str">
            <v>ML</v>
          </cell>
          <cell r="H986">
            <v>1</v>
          </cell>
          <cell r="I986">
            <v>7</v>
          </cell>
          <cell r="L986">
            <v>7</v>
          </cell>
        </row>
        <row r="987">
          <cell r="B987" t="str">
            <v>CRA 16A * CLL 99C</v>
          </cell>
          <cell r="C987" t="str">
            <v>DV_TOTALC</v>
          </cell>
          <cell r="D987" t="str">
            <v>BARRIO LAS DELICIAS</v>
          </cell>
          <cell r="E987"/>
          <cell r="F987"/>
          <cell r="G987" t="str">
            <v>ML</v>
          </cell>
          <cell r="H987">
            <v>1</v>
          </cell>
          <cell r="I987">
            <v>7</v>
          </cell>
          <cell r="L987">
            <v>7</v>
          </cell>
        </row>
        <row r="988">
          <cell r="B988" t="str">
            <v>CRA 17 * CLL 99C</v>
          </cell>
          <cell r="C988" t="str">
            <v>DV_TOTALC</v>
          </cell>
          <cell r="D988" t="str">
            <v>BARRIO LAS DELICIAS</v>
          </cell>
          <cell r="E988"/>
          <cell r="F988"/>
          <cell r="G988" t="str">
            <v>ML</v>
          </cell>
          <cell r="H988">
            <v>1</v>
          </cell>
          <cell r="I988">
            <v>7</v>
          </cell>
          <cell r="L988">
            <v>7</v>
          </cell>
        </row>
        <row r="989">
          <cell r="B989" t="str">
            <v>CRA 16A</v>
          </cell>
          <cell r="C989" t="str">
            <v>DV_TOTALC</v>
          </cell>
          <cell r="D989" t="str">
            <v>BARRIO LAS DELICIAS</v>
          </cell>
          <cell r="E989"/>
          <cell r="F989"/>
          <cell r="G989" t="str">
            <v>ML</v>
          </cell>
          <cell r="H989">
            <v>1</v>
          </cell>
          <cell r="I989">
            <v>7</v>
          </cell>
          <cell r="L989">
            <v>7</v>
          </cell>
        </row>
        <row r="990">
          <cell r="B990" t="str">
            <v>CRA 17 * CALLE 99B</v>
          </cell>
          <cell r="C990" t="str">
            <v>DV_TOTALC</v>
          </cell>
          <cell r="D990" t="str">
            <v>BARRIO LAS DELICIAS</v>
          </cell>
          <cell r="E990"/>
          <cell r="F990"/>
          <cell r="G990" t="str">
            <v>ML</v>
          </cell>
          <cell r="H990">
            <v>1</v>
          </cell>
          <cell r="I990">
            <v>7</v>
          </cell>
          <cell r="L990">
            <v>7</v>
          </cell>
        </row>
        <row r="991">
          <cell r="B991" t="str">
            <v>CRA 16 * CALLE 99A</v>
          </cell>
          <cell r="C991" t="str">
            <v>DV_TOTALC</v>
          </cell>
          <cell r="D991" t="str">
            <v>BARRIO LAS DELICIAS</v>
          </cell>
          <cell r="E991"/>
          <cell r="F991"/>
          <cell r="G991" t="str">
            <v>ML</v>
          </cell>
          <cell r="H991">
            <v>1</v>
          </cell>
          <cell r="I991">
            <v>7</v>
          </cell>
          <cell r="L991">
            <v>7</v>
          </cell>
        </row>
        <row r="992">
          <cell r="B992" t="str">
            <v>CRA 16A * CALLE 99A</v>
          </cell>
          <cell r="C992" t="str">
            <v>DV_TOTALC</v>
          </cell>
          <cell r="D992" t="str">
            <v>BARRIO LAS DELICIAS</v>
          </cell>
          <cell r="E992"/>
          <cell r="F992"/>
          <cell r="G992" t="str">
            <v>ML</v>
          </cell>
          <cell r="H992">
            <v>1</v>
          </cell>
          <cell r="I992">
            <v>18</v>
          </cell>
          <cell r="L992">
            <v>18</v>
          </cell>
        </row>
        <row r="993">
          <cell r="B993" t="str">
            <v xml:space="preserve">CRA 17 * CALLE 99A  </v>
          </cell>
          <cell r="C993" t="str">
            <v>DV_TOTALC</v>
          </cell>
          <cell r="D993" t="str">
            <v>BARRIO LAS DELICIAS</v>
          </cell>
          <cell r="E993"/>
          <cell r="F993"/>
          <cell r="G993" t="str">
            <v>ML</v>
          </cell>
          <cell r="H993">
            <v>1</v>
          </cell>
          <cell r="I993">
            <v>18</v>
          </cell>
          <cell r="L993">
            <v>18</v>
          </cell>
        </row>
        <row r="994">
          <cell r="B994" t="str">
            <v>CRA 19 * CALLE 99A</v>
          </cell>
          <cell r="C994" t="str">
            <v>DV_TOTALC</v>
          </cell>
          <cell r="D994" t="str">
            <v>BARRIO LAS DELICIAS</v>
          </cell>
          <cell r="E994"/>
          <cell r="F994"/>
          <cell r="G994" t="str">
            <v>ML</v>
          </cell>
          <cell r="H994">
            <v>1</v>
          </cell>
          <cell r="I994">
            <v>7</v>
          </cell>
          <cell r="L994">
            <v>7</v>
          </cell>
        </row>
        <row r="995">
          <cell r="B995" t="str">
            <v>CRA 17 * CALLE 99C</v>
          </cell>
          <cell r="C995" t="str">
            <v>DV_TOTALC</v>
          </cell>
          <cell r="D995" t="str">
            <v>BARRIO LAS DELICIAS</v>
          </cell>
          <cell r="E995"/>
          <cell r="F995"/>
          <cell r="G995" t="str">
            <v>ML</v>
          </cell>
          <cell r="H995">
            <v>1</v>
          </cell>
          <cell r="I995">
            <v>7</v>
          </cell>
          <cell r="L995">
            <v>7</v>
          </cell>
        </row>
        <row r="996">
          <cell r="B996" t="str">
            <v>CRA 19 * CALLE 99C</v>
          </cell>
          <cell r="C996" t="str">
            <v>DV_TOTALC</v>
          </cell>
          <cell r="D996" t="str">
            <v>BARRIO LAS DELICIAS</v>
          </cell>
          <cell r="E996"/>
          <cell r="F996"/>
          <cell r="G996" t="str">
            <v>ML</v>
          </cell>
          <cell r="H996">
            <v>1</v>
          </cell>
          <cell r="I996">
            <v>7</v>
          </cell>
          <cell r="L996">
            <v>7</v>
          </cell>
        </row>
        <row r="997">
          <cell r="B997" t="str">
            <v>CLL99 * CRA 17</v>
          </cell>
          <cell r="C997" t="str">
            <v>DV_TOTALC</v>
          </cell>
          <cell r="D997" t="str">
            <v>BARRIO LAS DELICIAS</v>
          </cell>
          <cell r="E997"/>
          <cell r="F997"/>
          <cell r="G997" t="str">
            <v>ML</v>
          </cell>
          <cell r="H997">
            <v>1</v>
          </cell>
          <cell r="I997">
            <v>7</v>
          </cell>
          <cell r="L997">
            <v>7</v>
          </cell>
        </row>
        <row r="998">
          <cell r="B998" t="str">
            <v>CLL99AA * CRA 17</v>
          </cell>
          <cell r="C998" t="str">
            <v>DV_TOTALC</v>
          </cell>
          <cell r="D998" t="str">
            <v>BARRIO LAS DELICIAS</v>
          </cell>
          <cell r="E998"/>
          <cell r="F998"/>
          <cell r="G998" t="str">
            <v>ML</v>
          </cell>
          <cell r="H998">
            <v>1</v>
          </cell>
          <cell r="I998">
            <v>18</v>
          </cell>
          <cell r="L998">
            <v>18</v>
          </cell>
        </row>
        <row r="999">
          <cell r="B999" t="str">
            <v>CLL99A * CRA 17</v>
          </cell>
          <cell r="C999" t="str">
            <v>DV_TOTALC</v>
          </cell>
          <cell r="D999" t="str">
            <v>BARRIO LAS DELICIAS</v>
          </cell>
          <cell r="E999"/>
          <cell r="F999"/>
          <cell r="G999" t="str">
            <v>ML</v>
          </cell>
          <cell r="H999">
            <v>1</v>
          </cell>
          <cell r="I999">
            <v>18</v>
          </cell>
          <cell r="L999">
            <v>18</v>
          </cell>
        </row>
        <row r="1000">
          <cell r="B1000" t="str">
            <v>CLL99B * CRA 17</v>
          </cell>
          <cell r="C1000" t="str">
            <v>DV_TOTALC</v>
          </cell>
          <cell r="D1000" t="str">
            <v>BARRIO LAS DELICIAS</v>
          </cell>
          <cell r="E1000"/>
          <cell r="F1000"/>
          <cell r="G1000" t="str">
            <v>ML</v>
          </cell>
          <cell r="H1000">
            <v>1</v>
          </cell>
          <cell r="I1000">
            <v>18</v>
          </cell>
          <cell r="L1000">
            <v>18</v>
          </cell>
        </row>
        <row r="1001">
          <cell r="B1001" t="str">
            <v>CLL99E * CRA 17</v>
          </cell>
          <cell r="C1001" t="str">
            <v>DV_TOTALC</v>
          </cell>
          <cell r="D1001" t="str">
            <v>BARRIO LAS DELICIAS</v>
          </cell>
          <cell r="E1001"/>
          <cell r="F1001"/>
          <cell r="G1001" t="str">
            <v>ML</v>
          </cell>
          <cell r="H1001">
            <v>1</v>
          </cell>
          <cell r="I1001">
            <v>18</v>
          </cell>
          <cell r="L1001">
            <v>18</v>
          </cell>
        </row>
        <row r="1002">
          <cell r="B1002" t="str">
            <v>CLL99F * CRA 17</v>
          </cell>
          <cell r="C1002" t="str">
            <v>DV_TOTALC</v>
          </cell>
          <cell r="D1002" t="str">
            <v>BARRIO LAS DELICIAS</v>
          </cell>
          <cell r="E1002"/>
          <cell r="F1002"/>
          <cell r="G1002" t="str">
            <v>ML</v>
          </cell>
          <cell r="H1002">
            <v>1</v>
          </cell>
          <cell r="I1002">
            <v>18</v>
          </cell>
          <cell r="L1002">
            <v>18</v>
          </cell>
        </row>
        <row r="1003">
          <cell r="B1003" t="str">
            <v>CLL100 * CRA 17</v>
          </cell>
          <cell r="C1003" t="str">
            <v>DV_TOTALC</v>
          </cell>
          <cell r="D1003" t="str">
            <v>BARRIO LAS DELICIAS</v>
          </cell>
          <cell r="E1003"/>
          <cell r="F1003"/>
          <cell r="G1003" t="str">
            <v>ML</v>
          </cell>
          <cell r="H1003">
            <v>1</v>
          </cell>
          <cell r="I1003">
            <v>7</v>
          </cell>
          <cell r="L1003">
            <v>7</v>
          </cell>
        </row>
        <row r="1004">
          <cell r="B1004" t="str">
            <v>CLL99  * CRA 17A</v>
          </cell>
          <cell r="C1004" t="str">
            <v>DV_TOTALC</v>
          </cell>
          <cell r="D1004" t="str">
            <v>BARRIO LAS DELICIAS</v>
          </cell>
          <cell r="E1004"/>
          <cell r="F1004"/>
          <cell r="G1004" t="str">
            <v>ML</v>
          </cell>
          <cell r="H1004">
            <v>1</v>
          </cell>
          <cell r="I1004">
            <v>7</v>
          </cell>
          <cell r="L1004">
            <v>7</v>
          </cell>
        </row>
        <row r="1005">
          <cell r="B1005" t="str">
            <v>CLL99AA * CRA 17A</v>
          </cell>
          <cell r="C1005" t="str">
            <v>DV_TOTALC</v>
          </cell>
          <cell r="D1005" t="str">
            <v>BARRIO LAS DELICIAS</v>
          </cell>
          <cell r="E1005"/>
          <cell r="F1005"/>
          <cell r="G1005" t="str">
            <v>ML</v>
          </cell>
          <cell r="H1005">
            <v>1</v>
          </cell>
          <cell r="I1005">
            <v>18</v>
          </cell>
          <cell r="L1005">
            <v>18</v>
          </cell>
        </row>
        <row r="1006">
          <cell r="B1006" t="str">
            <v>CLL99A * CRA 17A</v>
          </cell>
          <cell r="C1006" t="str">
            <v>DV_TOTALC</v>
          </cell>
          <cell r="D1006" t="str">
            <v>BARRIO LAS DELICIAS</v>
          </cell>
          <cell r="E1006"/>
          <cell r="F1006"/>
          <cell r="G1006" t="str">
            <v>ML</v>
          </cell>
          <cell r="H1006">
            <v>1</v>
          </cell>
          <cell r="I1006">
            <v>18</v>
          </cell>
          <cell r="L1006">
            <v>18</v>
          </cell>
        </row>
        <row r="1007">
          <cell r="B1007" t="str">
            <v>CLL99B * CRA 17A</v>
          </cell>
          <cell r="C1007" t="str">
            <v>DV_TOTALC</v>
          </cell>
          <cell r="D1007" t="str">
            <v>BARRIO LAS DELICIAS</v>
          </cell>
          <cell r="E1007"/>
          <cell r="F1007"/>
          <cell r="G1007" t="str">
            <v>ML</v>
          </cell>
          <cell r="H1007">
            <v>1</v>
          </cell>
          <cell r="I1007">
            <v>7</v>
          </cell>
          <cell r="L1007">
            <v>7</v>
          </cell>
        </row>
        <row r="1008">
          <cell r="B1008" t="str">
            <v>CRA 19 * CLL97A</v>
          </cell>
          <cell r="C1008" t="str">
            <v>DV_TOTALD</v>
          </cell>
          <cell r="D1008" t="str">
            <v>BARRIO EL BOSQUE</v>
          </cell>
          <cell r="E1008"/>
          <cell r="F1008"/>
          <cell r="G1008" t="str">
            <v>ML</v>
          </cell>
          <cell r="H1008">
            <v>1</v>
          </cell>
          <cell r="I1008">
            <v>7</v>
          </cell>
          <cell r="L1008">
            <v>7</v>
          </cell>
        </row>
        <row r="1009">
          <cell r="B1009" t="str">
            <v xml:space="preserve">CRA 20 * CLL97A  </v>
          </cell>
          <cell r="C1009" t="str">
            <v>DV_TOTALD</v>
          </cell>
          <cell r="D1009" t="str">
            <v>BARRIO EL BOSQUE</v>
          </cell>
          <cell r="E1009"/>
          <cell r="F1009"/>
          <cell r="G1009" t="str">
            <v>ML</v>
          </cell>
          <cell r="H1009">
            <v>1</v>
          </cell>
          <cell r="I1009">
            <v>18</v>
          </cell>
          <cell r="L1009">
            <v>18</v>
          </cell>
        </row>
        <row r="1010">
          <cell r="B1010" t="str">
            <v>CRA 21 * CLL97A</v>
          </cell>
          <cell r="C1010" t="str">
            <v>DV_TOTALD</v>
          </cell>
          <cell r="D1010" t="str">
            <v>BARRIO EL BOSQUE</v>
          </cell>
          <cell r="E1010"/>
          <cell r="F1010"/>
          <cell r="G1010" t="str">
            <v>ML</v>
          </cell>
          <cell r="H1010">
            <v>1</v>
          </cell>
          <cell r="I1010">
            <v>18</v>
          </cell>
          <cell r="L1010">
            <v>18</v>
          </cell>
        </row>
        <row r="1011">
          <cell r="B1011" t="str">
            <v>CRA 22 * CLL97A</v>
          </cell>
          <cell r="C1011" t="str">
            <v>DV_TOTALD</v>
          </cell>
          <cell r="D1011" t="str">
            <v>BARRIO EL BOSQUE</v>
          </cell>
          <cell r="E1011"/>
          <cell r="F1011"/>
          <cell r="G1011" t="str">
            <v>ML</v>
          </cell>
          <cell r="H1011">
            <v>1</v>
          </cell>
          <cell r="I1011">
            <v>18</v>
          </cell>
          <cell r="L1011">
            <v>18</v>
          </cell>
        </row>
        <row r="1012">
          <cell r="B1012" t="str">
            <v>CRA 15 * CLL97</v>
          </cell>
          <cell r="C1012" t="str">
            <v>DV_TOTALD</v>
          </cell>
          <cell r="D1012" t="str">
            <v>BARRIO EL BOSQUE</v>
          </cell>
          <cell r="E1012"/>
          <cell r="F1012"/>
          <cell r="G1012" t="str">
            <v>ML</v>
          </cell>
          <cell r="H1012">
            <v>1</v>
          </cell>
          <cell r="I1012">
            <v>7</v>
          </cell>
          <cell r="L1012">
            <v>7</v>
          </cell>
        </row>
        <row r="1013">
          <cell r="B1013" t="str">
            <v>CRA 16 * CLL97</v>
          </cell>
          <cell r="C1013" t="str">
            <v>DV_TOTALD</v>
          </cell>
          <cell r="D1013" t="str">
            <v>BARRIO EL BOSQUE</v>
          </cell>
          <cell r="E1013"/>
          <cell r="F1013"/>
          <cell r="G1013" t="str">
            <v>ML</v>
          </cell>
          <cell r="H1013">
            <v>1</v>
          </cell>
          <cell r="I1013">
            <v>18</v>
          </cell>
          <cell r="L1013">
            <v>18</v>
          </cell>
        </row>
        <row r="1014">
          <cell r="B1014" t="str">
            <v>CRA 17 * CLL97</v>
          </cell>
          <cell r="C1014" t="str">
            <v>DV_TOTALD</v>
          </cell>
          <cell r="D1014" t="str">
            <v>BARRIO EL BOSQUE</v>
          </cell>
          <cell r="E1014"/>
          <cell r="F1014"/>
          <cell r="G1014" t="str">
            <v>ML</v>
          </cell>
          <cell r="H1014">
            <v>1</v>
          </cell>
          <cell r="I1014">
            <v>18</v>
          </cell>
          <cell r="L1014">
            <v>18</v>
          </cell>
        </row>
        <row r="1015">
          <cell r="B1015" t="str">
            <v>CRA 19 * CLL97</v>
          </cell>
          <cell r="C1015" t="str">
            <v>DV_TOTALD</v>
          </cell>
          <cell r="D1015" t="str">
            <v>BARRIO EL BOSQUE</v>
          </cell>
          <cell r="E1015"/>
          <cell r="F1015"/>
          <cell r="G1015" t="str">
            <v>ML</v>
          </cell>
          <cell r="H1015">
            <v>1</v>
          </cell>
          <cell r="I1015">
            <v>18</v>
          </cell>
          <cell r="L1015">
            <v>18</v>
          </cell>
        </row>
        <row r="1016">
          <cell r="B1016" t="str">
            <v>CRA 20 * CLL97</v>
          </cell>
          <cell r="C1016" t="str">
            <v>DV_TOTALD</v>
          </cell>
          <cell r="D1016" t="str">
            <v>BARRIO EL BOSQUE</v>
          </cell>
          <cell r="E1016"/>
          <cell r="F1016"/>
          <cell r="G1016" t="str">
            <v>ML</v>
          </cell>
          <cell r="H1016">
            <v>1</v>
          </cell>
          <cell r="I1016">
            <v>18</v>
          </cell>
          <cell r="L1016">
            <v>18</v>
          </cell>
        </row>
        <row r="1017">
          <cell r="B1017" t="str">
            <v>CRA 21 * CLL97</v>
          </cell>
          <cell r="C1017" t="str">
            <v>DV_TOTALD</v>
          </cell>
          <cell r="D1017" t="str">
            <v>BARRIO EL BOSQUE</v>
          </cell>
          <cell r="E1017"/>
          <cell r="F1017"/>
          <cell r="G1017" t="str">
            <v>ML</v>
          </cell>
          <cell r="H1017">
            <v>1</v>
          </cell>
          <cell r="I1017">
            <v>18</v>
          </cell>
          <cell r="L1017">
            <v>18</v>
          </cell>
        </row>
        <row r="1018">
          <cell r="B1018" t="str">
            <v>CRA 21 * CLL97</v>
          </cell>
          <cell r="C1018" t="str">
            <v>DV_TOTALD</v>
          </cell>
          <cell r="D1018" t="str">
            <v>BARRIO EL BOSQUE</v>
          </cell>
          <cell r="E1018"/>
          <cell r="F1018"/>
          <cell r="G1018" t="str">
            <v>ML</v>
          </cell>
          <cell r="H1018">
            <v>1</v>
          </cell>
          <cell r="I1018">
            <v>18</v>
          </cell>
          <cell r="L1018">
            <v>18</v>
          </cell>
        </row>
        <row r="1019">
          <cell r="B1019" t="str">
            <v>CRA 22 * CLL97</v>
          </cell>
          <cell r="C1019" t="str">
            <v>DV_TOTALD</v>
          </cell>
          <cell r="D1019" t="str">
            <v>BARRIO EL BOSQUE</v>
          </cell>
          <cell r="E1019"/>
          <cell r="F1019"/>
          <cell r="G1019" t="str">
            <v>ML</v>
          </cell>
          <cell r="H1019">
            <v>1</v>
          </cell>
          <cell r="I1019">
            <v>18</v>
          </cell>
          <cell r="L1019">
            <v>18</v>
          </cell>
        </row>
        <row r="1020">
          <cell r="B1020" t="str">
            <v>CRA 15 * CLL96A</v>
          </cell>
          <cell r="C1020" t="str">
            <v>DV_TOTALD</v>
          </cell>
          <cell r="D1020" t="str">
            <v>BARRIO EL BOSQUE</v>
          </cell>
          <cell r="E1020"/>
          <cell r="F1020"/>
          <cell r="G1020" t="str">
            <v>ML</v>
          </cell>
          <cell r="H1020">
            <v>1</v>
          </cell>
          <cell r="I1020">
            <v>7</v>
          </cell>
          <cell r="L1020">
            <v>7</v>
          </cell>
        </row>
        <row r="1021">
          <cell r="B1021" t="str">
            <v>CRA 17 * CLL96A</v>
          </cell>
          <cell r="C1021" t="str">
            <v>DV_TOTALD</v>
          </cell>
          <cell r="D1021" t="str">
            <v>BARRIO EL BOSQUE</v>
          </cell>
          <cell r="E1021"/>
          <cell r="F1021"/>
          <cell r="G1021" t="str">
            <v>ML</v>
          </cell>
          <cell r="H1021">
            <v>1</v>
          </cell>
          <cell r="I1021">
            <v>18</v>
          </cell>
          <cell r="L1021">
            <v>18</v>
          </cell>
        </row>
        <row r="1022">
          <cell r="B1022" t="str">
            <v>CRA 19 * CLL96A</v>
          </cell>
          <cell r="C1022" t="str">
            <v>DV_TOTALD</v>
          </cell>
          <cell r="D1022" t="str">
            <v>BARRIO EL BOSQUE</v>
          </cell>
          <cell r="E1022"/>
          <cell r="F1022"/>
          <cell r="G1022" t="str">
            <v>ML</v>
          </cell>
          <cell r="H1022">
            <v>1</v>
          </cell>
          <cell r="I1022">
            <v>18</v>
          </cell>
          <cell r="L1022">
            <v>18</v>
          </cell>
        </row>
        <row r="1023">
          <cell r="B1023" t="str">
            <v>CRA 20 * CLL96A</v>
          </cell>
          <cell r="C1023" t="str">
            <v>DV_TOTALD</v>
          </cell>
          <cell r="D1023" t="str">
            <v>BARRIO EL BOSQUE</v>
          </cell>
          <cell r="E1023"/>
          <cell r="F1023"/>
          <cell r="G1023" t="str">
            <v>ML</v>
          </cell>
          <cell r="H1023">
            <v>1</v>
          </cell>
          <cell r="I1023">
            <v>18</v>
          </cell>
          <cell r="L1023">
            <v>18</v>
          </cell>
        </row>
        <row r="1024">
          <cell r="B1024" t="str">
            <v>CRA 21 * CLL96A</v>
          </cell>
          <cell r="C1024" t="str">
            <v>DV_TOTALD</v>
          </cell>
          <cell r="D1024" t="str">
            <v>BARRIO EL BOSQUE</v>
          </cell>
          <cell r="E1024"/>
          <cell r="F1024"/>
          <cell r="G1024" t="str">
            <v>ML</v>
          </cell>
          <cell r="H1024">
            <v>1</v>
          </cell>
          <cell r="I1024">
            <v>18</v>
          </cell>
          <cell r="L1024">
            <v>18</v>
          </cell>
        </row>
        <row r="1025">
          <cell r="B1025" t="str">
            <v>CRA 22 * CLL96A</v>
          </cell>
          <cell r="C1025" t="str">
            <v>DV_TOTALD</v>
          </cell>
          <cell r="D1025" t="str">
            <v>BARRIO EL BOSQUE</v>
          </cell>
          <cell r="E1025"/>
          <cell r="F1025"/>
          <cell r="G1025" t="str">
            <v>ML</v>
          </cell>
          <cell r="H1025">
            <v>1</v>
          </cell>
          <cell r="I1025">
            <v>18</v>
          </cell>
          <cell r="L1025">
            <v>18</v>
          </cell>
        </row>
        <row r="1026">
          <cell r="B1026" t="str">
            <v>CRA 15 * CLL96</v>
          </cell>
          <cell r="C1026" t="str">
            <v>DV_TOTALD</v>
          </cell>
          <cell r="D1026" t="str">
            <v>BARRIO EL BOSQUE</v>
          </cell>
          <cell r="E1026"/>
          <cell r="F1026"/>
          <cell r="G1026" t="str">
            <v>ML</v>
          </cell>
          <cell r="H1026">
            <v>1</v>
          </cell>
          <cell r="I1026">
            <v>7</v>
          </cell>
          <cell r="L1026">
            <v>7</v>
          </cell>
        </row>
        <row r="1027">
          <cell r="B1027" t="str">
            <v>CRA 17 * CLL96</v>
          </cell>
          <cell r="C1027" t="str">
            <v>DV_TOTALD</v>
          </cell>
          <cell r="D1027" t="str">
            <v>BARRIO EL BOSQUE</v>
          </cell>
          <cell r="E1027"/>
          <cell r="F1027"/>
          <cell r="G1027" t="str">
            <v>ML</v>
          </cell>
          <cell r="H1027">
            <v>1</v>
          </cell>
          <cell r="I1027">
            <v>18</v>
          </cell>
          <cell r="L1027">
            <v>18</v>
          </cell>
        </row>
        <row r="1028">
          <cell r="B1028" t="str">
            <v>CRA 19 * CLL96</v>
          </cell>
          <cell r="C1028" t="str">
            <v>DV_TOTALD</v>
          </cell>
          <cell r="D1028" t="str">
            <v>BARRIO EL BOSQUE</v>
          </cell>
          <cell r="E1028"/>
          <cell r="F1028"/>
          <cell r="G1028" t="str">
            <v>ML</v>
          </cell>
          <cell r="H1028">
            <v>1</v>
          </cell>
          <cell r="I1028">
            <v>18</v>
          </cell>
          <cell r="L1028">
            <v>18</v>
          </cell>
        </row>
        <row r="1029">
          <cell r="B1029" t="str">
            <v>CRA 20 * CLL96</v>
          </cell>
          <cell r="C1029" t="str">
            <v>DV_TOTALD</v>
          </cell>
          <cell r="D1029" t="str">
            <v>BARRIO EL BOSQUE</v>
          </cell>
          <cell r="E1029"/>
          <cell r="F1029"/>
          <cell r="G1029" t="str">
            <v>ML</v>
          </cell>
          <cell r="H1029">
            <v>1</v>
          </cell>
          <cell r="I1029">
            <v>18</v>
          </cell>
          <cell r="L1029">
            <v>18</v>
          </cell>
        </row>
        <row r="1030">
          <cell r="B1030" t="str">
            <v>CRA 21 * CLL96</v>
          </cell>
          <cell r="C1030" t="str">
            <v>DV_TOTALD</v>
          </cell>
          <cell r="D1030" t="str">
            <v>BARRIO EL BOSQUE</v>
          </cell>
          <cell r="E1030"/>
          <cell r="F1030"/>
          <cell r="G1030" t="str">
            <v>ML</v>
          </cell>
          <cell r="H1030">
            <v>1</v>
          </cell>
          <cell r="I1030">
            <v>18</v>
          </cell>
          <cell r="L1030">
            <v>18</v>
          </cell>
        </row>
        <row r="1031">
          <cell r="B1031" t="str">
            <v>CRA 22 * CLL96</v>
          </cell>
          <cell r="C1031" t="str">
            <v>DV_TOTALD</v>
          </cell>
          <cell r="D1031" t="str">
            <v>BARRIO EL BOSQUE</v>
          </cell>
          <cell r="E1031"/>
          <cell r="F1031"/>
          <cell r="G1031" t="str">
            <v>ML</v>
          </cell>
          <cell r="H1031">
            <v>1</v>
          </cell>
          <cell r="I1031">
            <v>18</v>
          </cell>
          <cell r="L1031">
            <v>18</v>
          </cell>
        </row>
        <row r="1032">
          <cell r="B1032" t="str">
            <v>CRA 19 * CLL95</v>
          </cell>
          <cell r="C1032" t="str">
            <v>DV_TOTALD</v>
          </cell>
          <cell r="D1032" t="str">
            <v>BARRIO EL BOSQUE</v>
          </cell>
          <cell r="E1032"/>
          <cell r="F1032"/>
          <cell r="G1032" t="str">
            <v>ML</v>
          </cell>
          <cell r="H1032">
            <v>1</v>
          </cell>
          <cell r="I1032">
            <v>7</v>
          </cell>
          <cell r="L1032">
            <v>7</v>
          </cell>
        </row>
        <row r="1033">
          <cell r="B1033" t="str">
            <v>CRA 20 * CLL95</v>
          </cell>
          <cell r="C1033" t="str">
            <v>DV_TOTALD</v>
          </cell>
          <cell r="D1033" t="str">
            <v>BARRIO EL BOSQUE</v>
          </cell>
          <cell r="E1033"/>
          <cell r="F1033"/>
          <cell r="G1033" t="str">
            <v>ML</v>
          </cell>
          <cell r="H1033">
            <v>1</v>
          </cell>
          <cell r="I1033">
            <v>18</v>
          </cell>
          <cell r="L1033">
            <v>18</v>
          </cell>
        </row>
        <row r="1034">
          <cell r="B1034" t="str">
            <v>CRA 21 * CLL95</v>
          </cell>
          <cell r="C1034" t="str">
            <v>DV_TOTALD</v>
          </cell>
          <cell r="D1034" t="str">
            <v>BARRIO EL BOSQUE</v>
          </cell>
          <cell r="E1034"/>
          <cell r="F1034"/>
          <cell r="G1034" t="str">
            <v>ML</v>
          </cell>
          <cell r="H1034">
            <v>1</v>
          </cell>
          <cell r="I1034">
            <v>18</v>
          </cell>
          <cell r="L1034">
            <v>18</v>
          </cell>
        </row>
        <row r="1035">
          <cell r="B1035" t="str">
            <v>CRA 22 * CLL95</v>
          </cell>
          <cell r="C1035" t="str">
            <v>DV_TOTALD</v>
          </cell>
          <cell r="D1035" t="str">
            <v>BARRIO EL BOSQUE</v>
          </cell>
          <cell r="E1035"/>
          <cell r="F1035"/>
          <cell r="G1035" t="str">
            <v>ML</v>
          </cell>
          <cell r="H1035">
            <v>1</v>
          </cell>
          <cell r="I1035">
            <v>18</v>
          </cell>
          <cell r="L1035">
            <v>18</v>
          </cell>
        </row>
        <row r="1036">
          <cell r="B1036" t="str">
            <v>CRA 19 * CLL94</v>
          </cell>
          <cell r="C1036" t="str">
            <v>DV_TOTALD</v>
          </cell>
          <cell r="D1036" t="str">
            <v>BARRIO EL BOSQUE</v>
          </cell>
          <cell r="E1036"/>
          <cell r="F1036"/>
          <cell r="G1036" t="str">
            <v>ML</v>
          </cell>
          <cell r="H1036">
            <v>1</v>
          </cell>
          <cell r="I1036">
            <v>7</v>
          </cell>
          <cell r="L1036">
            <v>7</v>
          </cell>
        </row>
        <row r="1037">
          <cell r="B1037" t="str">
            <v>CRA 20 * CLL94</v>
          </cell>
          <cell r="C1037" t="str">
            <v>DV_TOTALD</v>
          </cell>
          <cell r="D1037" t="str">
            <v>BARRIO EL BOSQUE</v>
          </cell>
          <cell r="E1037"/>
          <cell r="F1037"/>
          <cell r="G1037" t="str">
            <v>ML</v>
          </cell>
          <cell r="H1037">
            <v>1</v>
          </cell>
          <cell r="I1037">
            <v>18</v>
          </cell>
          <cell r="L1037">
            <v>18</v>
          </cell>
        </row>
        <row r="1038">
          <cell r="B1038" t="str">
            <v>CRA 21 * CLL94</v>
          </cell>
          <cell r="C1038" t="str">
            <v>DV_TOTALD</v>
          </cell>
          <cell r="D1038" t="str">
            <v>BARRIO EL BOSQUE</v>
          </cell>
          <cell r="E1038"/>
          <cell r="F1038"/>
          <cell r="G1038" t="str">
            <v>ML</v>
          </cell>
          <cell r="H1038">
            <v>1</v>
          </cell>
          <cell r="I1038">
            <v>18</v>
          </cell>
          <cell r="L1038">
            <v>18</v>
          </cell>
        </row>
        <row r="1039">
          <cell r="B1039" t="str">
            <v>CRA 22 * CLL94</v>
          </cell>
          <cell r="C1039" t="str">
            <v>DV_TOTALD</v>
          </cell>
          <cell r="D1039" t="str">
            <v>BARRIO EL BOSQUE</v>
          </cell>
          <cell r="E1039"/>
          <cell r="F1039"/>
          <cell r="G1039" t="str">
            <v>ML</v>
          </cell>
          <cell r="H1039">
            <v>1</v>
          </cell>
          <cell r="I1039">
            <v>18</v>
          </cell>
          <cell r="L1039">
            <v>18</v>
          </cell>
        </row>
        <row r="1040">
          <cell r="B1040" t="str">
            <v>CRA 15 * CLL93</v>
          </cell>
          <cell r="C1040" t="str">
            <v>DV_TOTALD</v>
          </cell>
          <cell r="D1040" t="str">
            <v>BARRIO EL BOSQUE</v>
          </cell>
          <cell r="E1040"/>
          <cell r="F1040"/>
          <cell r="G1040" t="str">
            <v>ML</v>
          </cell>
          <cell r="H1040">
            <v>1</v>
          </cell>
          <cell r="I1040">
            <v>7</v>
          </cell>
          <cell r="L1040">
            <v>7</v>
          </cell>
        </row>
        <row r="1041">
          <cell r="B1041" t="str">
            <v>CRA 17A * CLL93</v>
          </cell>
          <cell r="C1041" t="str">
            <v>DV_TOTALD</v>
          </cell>
          <cell r="D1041" t="str">
            <v>BARRIO EL BOSQUE</v>
          </cell>
          <cell r="E1041"/>
          <cell r="F1041"/>
          <cell r="G1041" t="str">
            <v>ML</v>
          </cell>
          <cell r="H1041">
            <v>1</v>
          </cell>
          <cell r="I1041">
            <v>18</v>
          </cell>
          <cell r="L1041">
            <v>18</v>
          </cell>
        </row>
        <row r="1042">
          <cell r="B1042" t="str">
            <v>CRA 19 * CLL93</v>
          </cell>
          <cell r="C1042" t="str">
            <v>DV_TOTALD</v>
          </cell>
          <cell r="D1042" t="str">
            <v>BARRIO EL BOSQUE</v>
          </cell>
          <cell r="E1042"/>
          <cell r="F1042"/>
          <cell r="G1042" t="str">
            <v>ML</v>
          </cell>
          <cell r="H1042">
            <v>1</v>
          </cell>
          <cell r="I1042">
            <v>18</v>
          </cell>
          <cell r="L1042">
            <v>18</v>
          </cell>
        </row>
        <row r="1043">
          <cell r="B1043" t="str">
            <v>CRA 20 * CLL93</v>
          </cell>
          <cell r="C1043" t="str">
            <v>DV_TOTALD</v>
          </cell>
          <cell r="D1043" t="str">
            <v>BARRIO EL BOSQUE</v>
          </cell>
          <cell r="E1043"/>
          <cell r="F1043"/>
          <cell r="G1043" t="str">
            <v>ML</v>
          </cell>
          <cell r="H1043">
            <v>1</v>
          </cell>
          <cell r="I1043">
            <v>18</v>
          </cell>
          <cell r="L1043">
            <v>18</v>
          </cell>
        </row>
        <row r="1044">
          <cell r="B1044" t="str">
            <v>CRA 21 * CLL93</v>
          </cell>
          <cell r="C1044" t="str">
            <v>DV_TOTALD</v>
          </cell>
          <cell r="D1044" t="str">
            <v>BARRIO EL BOSQUE</v>
          </cell>
          <cell r="E1044"/>
          <cell r="F1044"/>
          <cell r="G1044" t="str">
            <v>ML</v>
          </cell>
          <cell r="H1044">
            <v>1</v>
          </cell>
          <cell r="I1044">
            <v>18</v>
          </cell>
          <cell r="L1044">
            <v>18</v>
          </cell>
        </row>
        <row r="1045">
          <cell r="B1045" t="str">
            <v>CRA 22 * CLL93</v>
          </cell>
          <cell r="C1045" t="str">
            <v>DV_TOTALD</v>
          </cell>
          <cell r="D1045" t="str">
            <v>BARRIO EL BOSQUE</v>
          </cell>
          <cell r="E1045"/>
          <cell r="F1045"/>
          <cell r="G1045" t="str">
            <v>ML</v>
          </cell>
          <cell r="H1045">
            <v>1</v>
          </cell>
          <cell r="I1045">
            <v>18</v>
          </cell>
          <cell r="L1045">
            <v>18</v>
          </cell>
        </row>
        <row r="1046">
          <cell r="B1046" t="str">
            <v>CLL 94 * CRA 17</v>
          </cell>
          <cell r="C1046" t="str">
            <v>DV_TOTALD</v>
          </cell>
          <cell r="D1046" t="str">
            <v>BARRIO EL BOSQUE</v>
          </cell>
          <cell r="E1046"/>
          <cell r="F1046"/>
          <cell r="G1046" t="str">
            <v>ML</v>
          </cell>
          <cell r="H1046">
            <v>1</v>
          </cell>
          <cell r="I1046">
            <v>7</v>
          </cell>
          <cell r="L1046">
            <v>7</v>
          </cell>
        </row>
        <row r="1047">
          <cell r="B1047" t="str">
            <v>CLL 95 * CRA 17</v>
          </cell>
          <cell r="C1047" t="str">
            <v>DV_TOTALD</v>
          </cell>
          <cell r="D1047" t="str">
            <v>BARRIO EL BOSQUE</v>
          </cell>
          <cell r="E1047"/>
          <cell r="F1047"/>
          <cell r="G1047" t="str">
            <v>ML</v>
          </cell>
          <cell r="H1047">
            <v>1</v>
          </cell>
          <cell r="I1047">
            <v>18</v>
          </cell>
          <cell r="L1047">
            <v>18</v>
          </cell>
        </row>
        <row r="1048">
          <cell r="B1048" t="str">
            <v>CLL 96 * CRA 17</v>
          </cell>
          <cell r="C1048" t="str">
            <v>DV_TOTALD</v>
          </cell>
          <cell r="D1048" t="str">
            <v>BARRIO EL BOSQUE</v>
          </cell>
          <cell r="E1048"/>
          <cell r="F1048"/>
          <cell r="G1048" t="str">
            <v>ML</v>
          </cell>
          <cell r="H1048">
            <v>1</v>
          </cell>
          <cell r="I1048">
            <v>18</v>
          </cell>
          <cell r="L1048">
            <v>18</v>
          </cell>
        </row>
        <row r="1049">
          <cell r="B1049" t="str">
            <v>CLL 96A * CRA 17</v>
          </cell>
          <cell r="C1049" t="str">
            <v>DV_TOTALD</v>
          </cell>
          <cell r="D1049" t="str">
            <v>BARRIO EL BOSQUE</v>
          </cell>
          <cell r="E1049"/>
          <cell r="F1049"/>
          <cell r="G1049" t="str">
            <v>ML</v>
          </cell>
          <cell r="H1049">
            <v>1</v>
          </cell>
          <cell r="I1049">
            <v>18</v>
          </cell>
          <cell r="L1049">
            <v>18</v>
          </cell>
        </row>
        <row r="1050">
          <cell r="B1050" t="str">
            <v>CLL 97 * CRA 17</v>
          </cell>
          <cell r="C1050" t="str">
            <v>DV_TOTALD</v>
          </cell>
          <cell r="D1050" t="str">
            <v>BARRIO EL BOSQUE</v>
          </cell>
          <cell r="E1050"/>
          <cell r="F1050"/>
          <cell r="G1050" t="str">
            <v>ML</v>
          </cell>
          <cell r="H1050">
            <v>1</v>
          </cell>
          <cell r="I1050">
            <v>18</v>
          </cell>
          <cell r="L1050">
            <v>18</v>
          </cell>
        </row>
        <row r="1051">
          <cell r="B1051" t="str">
            <v>CLL 97A * CRA 17</v>
          </cell>
          <cell r="C1051" t="str">
            <v>DV_TOTALD</v>
          </cell>
          <cell r="D1051" t="str">
            <v>BARRIO EL BOSQUE</v>
          </cell>
          <cell r="E1051"/>
          <cell r="F1051"/>
          <cell r="G1051" t="str">
            <v>ML</v>
          </cell>
          <cell r="H1051">
            <v>1</v>
          </cell>
          <cell r="I1051">
            <v>7</v>
          </cell>
          <cell r="L1051">
            <v>7</v>
          </cell>
        </row>
        <row r="1052">
          <cell r="B1052" t="str">
            <v>CLL 93 * CRA 20</v>
          </cell>
          <cell r="C1052" t="str">
            <v>DV_TOTALD</v>
          </cell>
          <cell r="D1052" t="str">
            <v>BARRIO EL BOSQUE</v>
          </cell>
          <cell r="E1052"/>
          <cell r="F1052"/>
          <cell r="G1052" t="str">
            <v>ML</v>
          </cell>
          <cell r="H1052">
            <v>1</v>
          </cell>
          <cell r="I1052">
            <v>7</v>
          </cell>
          <cell r="L1052">
            <v>7</v>
          </cell>
        </row>
        <row r="1053">
          <cell r="B1053" t="str">
            <v>CLL 94 * CRA 20</v>
          </cell>
          <cell r="C1053" t="str">
            <v>DV_TOTALD</v>
          </cell>
          <cell r="D1053" t="str">
            <v>BARRIO EL BOSQUE</v>
          </cell>
          <cell r="E1053"/>
          <cell r="F1053"/>
          <cell r="G1053" t="str">
            <v>ML</v>
          </cell>
          <cell r="H1053">
            <v>1</v>
          </cell>
          <cell r="I1053">
            <v>18</v>
          </cell>
          <cell r="L1053">
            <v>18</v>
          </cell>
        </row>
        <row r="1054">
          <cell r="B1054" t="str">
            <v>CLL 95 * CRA 20</v>
          </cell>
          <cell r="C1054" t="str">
            <v>DV_TOTALD</v>
          </cell>
          <cell r="D1054" t="str">
            <v>BARRIO EL BOSQUE</v>
          </cell>
          <cell r="E1054"/>
          <cell r="F1054"/>
          <cell r="G1054" t="str">
            <v>ML</v>
          </cell>
          <cell r="H1054">
            <v>1</v>
          </cell>
          <cell r="I1054">
            <v>18</v>
          </cell>
          <cell r="L1054">
            <v>18</v>
          </cell>
        </row>
        <row r="1055">
          <cell r="B1055" t="str">
            <v>CLL 96 * CRA 20</v>
          </cell>
          <cell r="C1055" t="str">
            <v>DV_TOTALD</v>
          </cell>
          <cell r="D1055" t="str">
            <v>BARRIO EL BOSQUE</v>
          </cell>
          <cell r="E1055"/>
          <cell r="F1055"/>
          <cell r="G1055" t="str">
            <v>ML</v>
          </cell>
          <cell r="H1055">
            <v>1</v>
          </cell>
          <cell r="I1055">
            <v>18</v>
          </cell>
          <cell r="L1055">
            <v>18</v>
          </cell>
        </row>
        <row r="1056">
          <cell r="B1056" t="str">
            <v>CLL 96A * CRA 20</v>
          </cell>
          <cell r="C1056" t="str">
            <v>DV_TOTALD</v>
          </cell>
          <cell r="D1056" t="str">
            <v>BARRIO EL BOSQUE</v>
          </cell>
          <cell r="E1056"/>
          <cell r="F1056"/>
          <cell r="G1056" t="str">
            <v>ML</v>
          </cell>
          <cell r="H1056">
            <v>1</v>
          </cell>
          <cell r="I1056">
            <v>18</v>
          </cell>
          <cell r="L1056">
            <v>18</v>
          </cell>
        </row>
        <row r="1057">
          <cell r="B1057" t="str">
            <v>CLL 97 * CRA 20</v>
          </cell>
          <cell r="C1057" t="str">
            <v>DV_TOTALD</v>
          </cell>
          <cell r="D1057" t="str">
            <v>BARRIO EL BOSQUE</v>
          </cell>
          <cell r="E1057"/>
          <cell r="F1057"/>
          <cell r="G1057" t="str">
            <v>ML</v>
          </cell>
          <cell r="H1057">
            <v>1</v>
          </cell>
          <cell r="I1057">
            <v>18</v>
          </cell>
          <cell r="L1057">
            <v>18</v>
          </cell>
        </row>
        <row r="1058">
          <cell r="B1058" t="str">
            <v>CLL 97A * CRA 20</v>
          </cell>
          <cell r="C1058" t="str">
            <v>DV_TOTALD</v>
          </cell>
          <cell r="D1058" t="str">
            <v>BARRIO EL BOSQUE</v>
          </cell>
          <cell r="E1058"/>
          <cell r="F1058"/>
          <cell r="G1058" t="str">
            <v>ML</v>
          </cell>
          <cell r="H1058">
            <v>1</v>
          </cell>
          <cell r="I1058">
            <v>7</v>
          </cell>
          <cell r="L1058">
            <v>7</v>
          </cell>
        </row>
        <row r="1059">
          <cell r="B1059" t="str">
            <v>CLL 93 * CRA 21</v>
          </cell>
          <cell r="C1059" t="str">
            <v>DV_TOTALD</v>
          </cell>
          <cell r="D1059" t="str">
            <v>BARRIO EL BOSQUE</v>
          </cell>
          <cell r="E1059"/>
          <cell r="F1059"/>
          <cell r="G1059" t="str">
            <v>ML</v>
          </cell>
          <cell r="H1059">
            <v>1</v>
          </cell>
          <cell r="I1059">
            <v>7</v>
          </cell>
          <cell r="L1059">
            <v>7</v>
          </cell>
        </row>
        <row r="1060">
          <cell r="B1060" t="str">
            <v>CLL 94 * CRA 21</v>
          </cell>
          <cell r="C1060" t="str">
            <v>DV_TOTALD</v>
          </cell>
          <cell r="D1060" t="str">
            <v>BARRIO EL BOSQUE</v>
          </cell>
          <cell r="E1060"/>
          <cell r="F1060"/>
          <cell r="G1060" t="str">
            <v>ML</v>
          </cell>
          <cell r="H1060">
            <v>1</v>
          </cell>
          <cell r="I1060">
            <v>18</v>
          </cell>
          <cell r="L1060">
            <v>18</v>
          </cell>
        </row>
        <row r="1061">
          <cell r="B1061" t="str">
            <v>CLL 95 * CRA 21</v>
          </cell>
          <cell r="C1061" t="str">
            <v>DV_TOTALD</v>
          </cell>
          <cell r="D1061" t="str">
            <v>BARRIO EL BOSQUE</v>
          </cell>
          <cell r="E1061"/>
          <cell r="F1061"/>
          <cell r="G1061" t="str">
            <v>ML</v>
          </cell>
          <cell r="H1061">
            <v>1</v>
          </cell>
          <cell r="I1061">
            <v>18</v>
          </cell>
          <cell r="L1061">
            <v>18</v>
          </cell>
        </row>
        <row r="1062">
          <cell r="B1062" t="str">
            <v>CLL 96 * CRA 21</v>
          </cell>
          <cell r="C1062" t="str">
            <v>DV_TOTALD</v>
          </cell>
          <cell r="D1062" t="str">
            <v>BARRIO EL BOSQUE</v>
          </cell>
          <cell r="E1062"/>
          <cell r="F1062"/>
          <cell r="G1062" t="str">
            <v>ML</v>
          </cell>
          <cell r="H1062">
            <v>1</v>
          </cell>
          <cell r="I1062">
            <v>18</v>
          </cell>
          <cell r="L1062">
            <v>18</v>
          </cell>
        </row>
        <row r="1063">
          <cell r="B1063" t="str">
            <v>CLL 96A * CRA 21</v>
          </cell>
          <cell r="C1063" t="str">
            <v>DV_TOTALD</v>
          </cell>
          <cell r="D1063" t="str">
            <v>BARRIO EL BOSQUE</v>
          </cell>
          <cell r="E1063"/>
          <cell r="F1063"/>
          <cell r="G1063" t="str">
            <v>ML</v>
          </cell>
          <cell r="H1063">
            <v>1</v>
          </cell>
          <cell r="I1063">
            <v>18</v>
          </cell>
          <cell r="L1063">
            <v>18</v>
          </cell>
        </row>
        <row r="1064">
          <cell r="B1064" t="str">
            <v>CLL 97 * CRA 21</v>
          </cell>
          <cell r="C1064" t="str">
            <v>DV_TOTALD</v>
          </cell>
          <cell r="D1064" t="str">
            <v>BARRIO EL BOSQUE</v>
          </cell>
          <cell r="E1064"/>
          <cell r="F1064"/>
          <cell r="G1064" t="str">
            <v>ML</v>
          </cell>
          <cell r="H1064">
            <v>1</v>
          </cell>
          <cell r="I1064">
            <v>18</v>
          </cell>
          <cell r="L1064">
            <v>18</v>
          </cell>
        </row>
        <row r="1065">
          <cell r="B1065" t="str">
            <v>CLL 97A * CRA 21</v>
          </cell>
          <cell r="C1065" t="str">
            <v>DV_TOTALD</v>
          </cell>
          <cell r="D1065" t="str">
            <v>BARRIO EL BOSQUE</v>
          </cell>
          <cell r="E1065"/>
          <cell r="F1065"/>
          <cell r="G1065" t="str">
            <v>ML</v>
          </cell>
          <cell r="H1065">
            <v>1</v>
          </cell>
          <cell r="I1065">
            <v>7</v>
          </cell>
          <cell r="L1065">
            <v>7</v>
          </cell>
        </row>
        <row r="1066">
          <cell r="B1066" t="str">
            <v>CLL 110-CRA 14-14A</v>
          </cell>
          <cell r="C1066" t="str">
            <v>DV_TOTALE</v>
          </cell>
          <cell r="D1066" t="str">
            <v>BARRIO JESUS MORA CALLE 110</v>
          </cell>
          <cell r="E1066"/>
          <cell r="F1066"/>
          <cell r="G1066" t="str">
            <v>ML</v>
          </cell>
          <cell r="H1066">
            <v>1</v>
          </cell>
          <cell r="I1066">
            <v>18</v>
          </cell>
          <cell r="L1066">
            <v>18</v>
          </cell>
        </row>
        <row r="1067">
          <cell r="B1067" t="str">
            <v>CLL 110-CRA 14A-15</v>
          </cell>
          <cell r="C1067" t="str">
            <v>DV_TOTALE</v>
          </cell>
          <cell r="D1067" t="str">
            <v>BARRIO JESUS MORA CALLE 110</v>
          </cell>
          <cell r="E1067"/>
          <cell r="F1067"/>
          <cell r="G1067" t="str">
            <v>ML</v>
          </cell>
          <cell r="H1067">
            <v>1</v>
          </cell>
          <cell r="I1067">
            <v>18</v>
          </cell>
          <cell r="L1067">
            <v>18</v>
          </cell>
        </row>
        <row r="1068">
          <cell r="B1068" t="str">
            <v>CLL 110 CRA 15-16</v>
          </cell>
          <cell r="C1068" t="str">
            <v>DV_TOTALE</v>
          </cell>
          <cell r="D1068" t="str">
            <v>BARRIO JESUS MORA CALLE 110</v>
          </cell>
          <cell r="E1068"/>
          <cell r="F1068"/>
          <cell r="G1068" t="str">
            <v>ML</v>
          </cell>
          <cell r="H1068">
            <v>1</v>
          </cell>
          <cell r="I1068">
            <v>18</v>
          </cell>
          <cell r="L1068">
            <v>18</v>
          </cell>
        </row>
        <row r="1069">
          <cell r="B1069" t="str">
            <v>CLL 110 CRA 16-17</v>
          </cell>
          <cell r="C1069" t="str">
            <v>DV_TOTALE</v>
          </cell>
          <cell r="D1069" t="str">
            <v>BARRIO JESUS MORA CALLE 110</v>
          </cell>
          <cell r="E1069"/>
          <cell r="F1069"/>
          <cell r="G1069" t="str">
            <v>ML</v>
          </cell>
          <cell r="H1069">
            <v>1</v>
          </cell>
          <cell r="I1069">
            <v>18</v>
          </cell>
          <cell r="L1069">
            <v>18</v>
          </cell>
        </row>
        <row r="1070">
          <cell r="B1070" t="str">
            <v>CLL 110 CRA 17-18</v>
          </cell>
          <cell r="C1070" t="str">
            <v>DV_TOTALE</v>
          </cell>
          <cell r="D1070" t="str">
            <v>BARRIO JESUS MORA CALLE 110</v>
          </cell>
          <cell r="E1070"/>
          <cell r="F1070"/>
          <cell r="G1070" t="str">
            <v>ML</v>
          </cell>
          <cell r="H1070">
            <v>1</v>
          </cell>
          <cell r="I1070">
            <v>18</v>
          </cell>
          <cell r="L1070">
            <v>18</v>
          </cell>
        </row>
        <row r="1071">
          <cell r="B1071" t="str">
            <v>CLL 110 CRA 18-19</v>
          </cell>
          <cell r="C1071" t="str">
            <v>DV_TOTALE</v>
          </cell>
          <cell r="D1071" t="str">
            <v>BARRIO JESUS MORA CALLE 110</v>
          </cell>
          <cell r="E1071"/>
          <cell r="F1071"/>
          <cell r="G1071" t="str">
            <v>ML</v>
          </cell>
          <cell r="H1071">
            <v>1</v>
          </cell>
          <cell r="I1071">
            <v>18</v>
          </cell>
          <cell r="L1071">
            <v>18</v>
          </cell>
        </row>
        <row r="1072">
          <cell r="B1072" t="str">
            <v>CLL 110 CRA 19-19A</v>
          </cell>
          <cell r="C1072" t="str">
            <v>DV_TOTALE</v>
          </cell>
          <cell r="D1072" t="str">
            <v>BARRIO JESUS MORA CALLE 110</v>
          </cell>
          <cell r="E1072"/>
          <cell r="F1072"/>
          <cell r="G1072" t="str">
            <v>ML</v>
          </cell>
          <cell r="H1072">
            <v>1</v>
          </cell>
          <cell r="I1072">
            <v>18</v>
          </cell>
          <cell r="L1072">
            <v>18</v>
          </cell>
        </row>
        <row r="1073">
          <cell r="B1073" t="str">
            <v>CLL 110 CRA 19A-20</v>
          </cell>
          <cell r="C1073" t="str">
            <v>DV_TOTALE</v>
          </cell>
          <cell r="D1073" t="str">
            <v>BARRIO JESUS MORA CALLE 110</v>
          </cell>
          <cell r="E1073"/>
          <cell r="F1073"/>
          <cell r="G1073" t="str">
            <v>ML</v>
          </cell>
          <cell r="H1073">
            <v>1</v>
          </cell>
          <cell r="I1073">
            <v>18</v>
          </cell>
          <cell r="L1073">
            <v>18</v>
          </cell>
        </row>
        <row r="1074">
          <cell r="B1074" t="str">
            <v>CLL 110 CRA 20-20A</v>
          </cell>
          <cell r="C1074" t="str">
            <v>DV_TOTALE</v>
          </cell>
          <cell r="D1074" t="str">
            <v>BARRIO JESUS MORA CALLE 110</v>
          </cell>
          <cell r="E1074"/>
          <cell r="F1074"/>
          <cell r="G1074" t="str">
            <v>ML</v>
          </cell>
          <cell r="H1074">
            <v>1</v>
          </cell>
          <cell r="I1074">
            <v>18</v>
          </cell>
          <cell r="L1074">
            <v>18</v>
          </cell>
        </row>
        <row r="1075">
          <cell r="B1075" t="str">
            <v>CLL 110 CRA 20-21</v>
          </cell>
          <cell r="C1075" t="str">
            <v>DV_TOTALE</v>
          </cell>
          <cell r="D1075" t="str">
            <v>BARRIO JESUS MORA CALLE 110</v>
          </cell>
          <cell r="E1075"/>
          <cell r="F1075"/>
          <cell r="G1075" t="str">
            <v>ML</v>
          </cell>
          <cell r="H1075">
            <v>1</v>
          </cell>
          <cell r="I1075">
            <v>18</v>
          </cell>
          <cell r="L1075">
            <v>18</v>
          </cell>
        </row>
        <row r="1076">
          <cell r="B1076" t="str">
            <v>CLL 110 CRA 21-22</v>
          </cell>
          <cell r="C1076" t="str">
            <v>DV_TOTALE</v>
          </cell>
          <cell r="D1076" t="str">
            <v>BARRIO JESUS MORA CALLE 110</v>
          </cell>
          <cell r="E1076"/>
          <cell r="F1076"/>
          <cell r="G1076" t="str">
            <v>ML</v>
          </cell>
          <cell r="H1076">
            <v>1</v>
          </cell>
          <cell r="I1076">
            <v>18</v>
          </cell>
          <cell r="L1076">
            <v>18</v>
          </cell>
        </row>
        <row r="1077">
          <cell r="B1077" t="str">
            <v>CLL 110 CRA 22-23</v>
          </cell>
          <cell r="C1077" t="str">
            <v>DV_TOTALE</v>
          </cell>
          <cell r="D1077" t="str">
            <v>BARRIO JESUS MORA CALLE 110</v>
          </cell>
          <cell r="E1077"/>
          <cell r="F1077"/>
          <cell r="G1077" t="str">
            <v>ML</v>
          </cell>
          <cell r="H1077">
            <v>1</v>
          </cell>
          <cell r="I1077">
            <v>18</v>
          </cell>
          <cell r="L1077">
            <v>18</v>
          </cell>
        </row>
        <row r="1078">
          <cell r="B1078" t="str">
            <v>CLL 110 CRA 23-24</v>
          </cell>
          <cell r="C1078" t="str">
            <v>DV_TOTALE</v>
          </cell>
          <cell r="D1078" t="str">
            <v>BARRIO JESUS MORA CALLE 110</v>
          </cell>
          <cell r="E1078"/>
          <cell r="F1078"/>
          <cell r="G1078" t="str">
            <v>ML</v>
          </cell>
          <cell r="H1078">
            <v>1</v>
          </cell>
          <cell r="I1078">
            <v>18</v>
          </cell>
          <cell r="L1078">
            <v>18</v>
          </cell>
        </row>
        <row r="1079">
          <cell r="B1079" t="str">
            <v>CLL 110 CRA 24-25</v>
          </cell>
          <cell r="C1079" t="str">
            <v>DV_TOTALE</v>
          </cell>
          <cell r="D1079" t="str">
            <v>BARRIO JESUS MORA CALLE 110</v>
          </cell>
          <cell r="E1079"/>
          <cell r="F1079"/>
          <cell r="G1079" t="str">
            <v>ML</v>
          </cell>
          <cell r="H1079">
            <v>1</v>
          </cell>
          <cell r="I1079">
            <v>18</v>
          </cell>
          <cell r="L1079">
            <v>18</v>
          </cell>
        </row>
        <row r="1080">
          <cell r="B1080" t="str">
            <v>CLL 110 CRA 25-26</v>
          </cell>
          <cell r="C1080" t="str">
            <v>DV_TOTALE</v>
          </cell>
          <cell r="D1080" t="str">
            <v>BARRIO JESUS MORA CALLE 110</v>
          </cell>
          <cell r="E1080"/>
          <cell r="F1080"/>
          <cell r="G1080" t="str">
            <v>ML</v>
          </cell>
          <cell r="H1080">
            <v>1</v>
          </cell>
          <cell r="I1080">
            <v>18</v>
          </cell>
          <cell r="L1080">
            <v>18</v>
          </cell>
        </row>
        <row r="1081">
          <cell r="B1081" t="str">
            <v>CLL 110 CRA 26-27</v>
          </cell>
          <cell r="C1081" t="str">
            <v>DV_TOTALE</v>
          </cell>
          <cell r="D1081" t="str">
            <v>BARRIO JESUS MORA CALLE 110</v>
          </cell>
          <cell r="E1081"/>
          <cell r="F1081"/>
          <cell r="G1081" t="str">
            <v>ML</v>
          </cell>
          <cell r="H1081">
            <v>1</v>
          </cell>
          <cell r="I1081">
            <v>18</v>
          </cell>
          <cell r="L1081">
            <v>18</v>
          </cell>
        </row>
        <row r="1082">
          <cell r="J1082" t="str">
            <v>VALOR TOTAL</v>
          </cell>
          <cell r="K1082"/>
          <cell r="L1082">
            <v>1797</v>
          </cell>
        </row>
        <row r="1084">
          <cell r="B1084" t="str">
            <v>2.8</v>
          </cell>
          <cell r="C1084" t="str">
            <v>DESCRIPCION</v>
          </cell>
          <cell r="D1084"/>
          <cell r="E1084" t="str">
            <v>Mano de obra para instalación de tubería Novafort 400mm  para red aguas lluvias</v>
          </cell>
          <cell r="F1084"/>
          <cell r="G1084"/>
          <cell r="H1084"/>
          <cell r="I1084" t="str">
            <v>UN</v>
          </cell>
          <cell r="J1084" t="str">
            <v>ML</v>
          </cell>
          <cell r="K1084" t="str">
            <v>CANTIDAD</v>
          </cell>
          <cell r="L1084">
            <v>1428.02</v>
          </cell>
        </row>
        <row r="1086">
          <cell r="B1086" t="str">
            <v>COD EP</v>
          </cell>
          <cell r="C1086" t="str">
            <v>COD EP</v>
          </cell>
          <cell r="D1086" t="str">
            <v>DESCRIPCION /LOCALIZACION</v>
          </cell>
          <cell r="E1086"/>
          <cell r="F1086"/>
          <cell r="G1086" t="str">
            <v>UNIDAD</v>
          </cell>
          <cell r="H1086" t="str">
            <v>CAN/UN</v>
          </cell>
          <cell r="I1086" t="str">
            <v>LARGO</v>
          </cell>
          <cell r="J1086" t="str">
            <v>ANCHO</v>
          </cell>
          <cell r="K1086" t="str">
            <v>ALTURA</v>
          </cell>
          <cell r="L1086" t="str">
            <v>CAN MED</v>
          </cell>
        </row>
        <row r="1087">
          <cell r="B1087" t="str">
            <v>T2 BB C16" CLL94 ENTRE CRA 21 Y 22</v>
          </cell>
          <cell r="C1087" t="str">
            <v>DV_TOTALD</v>
          </cell>
          <cell r="D1087" t="str">
            <v>BARRIO EL BOSQUE</v>
          </cell>
          <cell r="E1087"/>
          <cell r="F1087"/>
          <cell r="G1087" t="str">
            <v>ML</v>
          </cell>
          <cell r="H1087">
            <v>1</v>
          </cell>
          <cell r="I1087">
            <v>126.96</v>
          </cell>
          <cell r="L1087">
            <v>126.96</v>
          </cell>
        </row>
        <row r="1088">
          <cell r="B1088" t="str">
            <v>T2 BB C16" CLL96 ENTRE CRA 21 Y 22</v>
          </cell>
          <cell r="C1088" t="str">
            <v>DV_TOTALD</v>
          </cell>
          <cell r="D1088" t="str">
            <v>BARRIO EL BOSQUE</v>
          </cell>
          <cell r="E1088"/>
          <cell r="F1088"/>
          <cell r="G1088" t="str">
            <v>ML</v>
          </cell>
          <cell r="H1088">
            <v>1</v>
          </cell>
          <cell r="I1088">
            <v>105</v>
          </cell>
          <cell r="L1088">
            <v>105</v>
          </cell>
        </row>
        <row r="1089">
          <cell r="B1089" t="str">
            <v>T2 BB C16" CLL97A ENTRE CRA 21 Y 22</v>
          </cell>
          <cell r="C1089" t="str">
            <v>DV_TOTALD</v>
          </cell>
          <cell r="D1089" t="str">
            <v>BARRIO EL BOSQUE</v>
          </cell>
          <cell r="E1089"/>
          <cell r="F1089"/>
          <cell r="G1089" t="str">
            <v>ML</v>
          </cell>
          <cell r="H1089">
            <v>1</v>
          </cell>
          <cell r="I1089">
            <v>106</v>
          </cell>
          <cell r="L1089">
            <v>106</v>
          </cell>
        </row>
        <row r="1090">
          <cell r="B1090" t="str">
            <v>T2 BB C16" CRA22 ENTRE CLL 97 Y 97A</v>
          </cell>
          <cell r="C1090" t="str">
            <v>DV_TOTALD</v>
          </cell>
          <cell r="D1090" t="str">
            <v>BARRIO EL BOSQUE</v>
          </cell>
          <cell r="E1090"/>
          <cell r="F1090"/>
          <cell r="G1090" t="str">
            <v>ML</v>
          </cell>
          <cell r="H1090">
            <v>1</v>
          </cell>
          <cell r="I1090">
            <v>47.54</v>
          </cell>
          <cell r="L1090">
            <v>47.54</v>
          </cell>
        </row>
        <row r="1091">
          <cell r="B1091" t="str">
            <v>T2 BB C16" CRA22 ENTRE CLL 97 Y 97A</v>
          </cell>
          <cell r="C1091" t="str">
            <v>DV_TOTALD</v>
          </cell>
          <cell r="D1091" t="str">
            <v>BARRIO EL BOSQUE</v>
          </cell>
          <cell r="E1091"/>
          <cell r="F1091"/>
          <cell r="G1091" t="str">
            <v>ML</v>
          </cell>
          <cell r="H1091">
            <v>1</v>
          </cell>
          <cell r="I1091">
            <v>47.54</v>
          </cell>
          <cell r="L1091">
            <v>47.54</v>
          </cell>
        </row>
        <row r="1092">
          <cell r="B1092" t="str">
            <v>T2 BB C16" CRA22 ENTRE CLL 94 Y 95</v>
          </cell>
          <cell r="C1092" t="str">
            <v>DV_TOTALD</v>
          </cell>
          <cell r="D1092" t="str">
            <v>BARRIO EL BOSQUE</v>
          </cell>
          <cell r="E1092"/>
          <cell r="F1092"/>
          <cell r="G1092" t="str">
            <v>ML</v>
          </cell>
          <cell r="H1092">
            <v>1</v>
          </cell>
          <cell r="I1092">
            <v>47.54</v>
          </cell>
          <cell r="L1092">
            <v>47.54</v>
          </cell>
        </row>
        <row r="1093">
          <cell r="B1093" t="str">
            <v>T2 BB C16" CRA22 ENTRE CLL 94 Y 93</v>
          </cell>
          <cell r="C1093" t="str">
            <v>DV_TOTALD</v>
          </cell>
          <cell r="D1093" t="str">
            <v>BARRIO EL BOSQUE</v>
          </cell>
          <cell r="E1093"/>
          <cell r="F1093"/>
          <cell r="G1093" t="str">
            <v>ML</v>
          </cell>
          <cell r="H1093">
            <v>1</v>
          </cell>
          <cell r="I1093">
            <v>40.25</v>
          </cell>
          <cell r="L1093">
            <v>40.25</v>
          </cell>
        </row>
        <row r="1094">
          <cell r="B1094" t="str">
            <v>T2 BB C16" CRA21 ENTRE CLL 94 Y 91</v>
          </cell>
          <cell r="C1094" t="str">
            <v>DV_TOTALD</v>
          </cell>
          <cell r="D1094" t="str">
            <v>BARRIO EL BOSQUE</v>
          </cell>
          <cell r="E1094"/>
          <cell r="F1094"/>
          <cell r="G1094" t="str">
            <v>ML</v>
          </cell>
          <cell r="H1094">
            <v>1</v>
          </cell>
          <cell r="I1094">
            <v>46</v>
          </cell>
          <cell r="L1094">
            <v>46</v>
          </cell>
        </row>
        <row r="1095">
          <cell r="B1095" t="str">
            <v>T2 BB C16" CRA21 ENTRE CLL 94 Y 89</v>
          </cell>
          <cell r="C1095" t="str">
            <v>DV_TOTALD</v>
          </cell>
          <cell r="D1095" t="str">
            <v>BARRIO EL BOSQUE</v>
          </cell>
          <cell r="E1095"/>
          <cell r="F1095"/>
          <cell r="G1095" t="str">
            <v>ML</v>
          </cell>
          <cell r="H1095">
            <v>1</v>
          </cell>
          <cell r="I1095">
            <v>39</v>
          </cell>
          <cell r="L1095">
            <v>39</v>
          </cell>
        </row>
        <row r="1096">
          <cell r="B1096" t="str">
            <v>T2 BB C16" CRA21 ENTRE CLL 97 Y 97A</v>
          </cell>
          <cell r="C1096" t="str">
            <v>DV_TOTALD</v>
          </cell>
          <cell r="D1096" t="str">
            <v>BARRIO EL BOSQUE</v>
          </cell>
          <cell r="E1096"/>
          <cell r="F1096"/>
          <cell r="G1096" t="str">
            <v>ML</v>
          </cell>
          <cell r="H1096">
            <v>1</v>
          </cell>
          <cell r="I1096">
            <v>36.799999999999997</v>
          </cell>
          <cell r="L1096">
            <v>36.799999999999997</v>
          </cell>
        </row>
        <row r="1097">
          <cell r="B1097" t="str">
            <v>T2 BB C16" CRA21 ENTRE CLL 94 Y 95</v>
          </cell>
          <cell r="C1097" t="str">
            <v>DV_TOTALD</v>
          </cell>
          <cell r="D1097" t="str">
            <v>BARRIO EL BOSQUE</v>
          </cell>
          <cell r="E1097"/>
          <cell r="F1097"/>
          <cell r="G1097" t="str">
            <v>ML</v>
          </cell>
          <cell r="H1097">
            <v>1</v>
          </cell>
          <cell r="I1097">
            <v>33</v>
          </cell>
          <cell r="L1097">
            <v>33</v>
          </cell>
        </row>
        <row r="1098">
          <cell r="B1098" t="str">
            <v>T2 BB C16" CRA20 ENTRE CLL 94 Y 87</v>
          </cell>
          <cell r="C1098" t="str">
            <v>DV_TOTALD</v>
          </cell>
          <cell r="D1098" t="str">
            <v>BARRIO EL BOSQUE</v>
          </cell>
          <cell r="E1098"/>
          <cell r="F1098"/>
          <cell r="G1098" t="str">
            <v>ML</v>
          </cell>
          <cell r="H1098">
            <v>1</v>
          </cell>
          <cell r="I1098">
            <v>47</v>
          </cell>
          <cell r="L1098">
            <v>47</v>
          </cell>
        </row>
        <row r="1099">
          <cell r="B1099" t="str">
            <v>T2 BB C16" CRA20 ENTRE CLL 94 Y 85</v>
          </cell>
          <cell r="C1099" t="str">
            <v>DV_TOTALD</v>
          </cell>
          <cell r="D1099" t="str">
            <v>BARRIO EL BOSQUE</v>
          </cell>
          <cell r="E1099"/>
          <cell r="F1099"/>
          <cell r="G1099" t="str">
            <v>ML</v>
          </cell>
          <cell r="H1099">
            <v>1</v>
          </cell>
          <cell r="I1099">
            <v>40.5</v>
          </cell>
          <cell r="L1099">
            <v>40.5</v>
          </cell>
        </row>
        <row r="1100">
          <cell r="B1100" t="str">
            <v>T2 BB C16" CRA20 ENTRE CLL 97 Y 97A</v>
          </cell>
          <cell r="C1100" t="str">
            <v>DV_TOTALD</v>
          </cell>
          <cell r="D1100" t="str">
            <v>BARRIO EL BOSQUE</v>
          </cell>
          <cell r="E1100"/>
          <cell r="F1100"/>
          <cell r="G1100" t="str">
            <v>ML</v>
          </cell>
          <cell r="H1100">
            <v>1</v>
          </cell>
          <cell r="I1100">
            <v>66</v>
          </cell>
          <cell r="L1100">
            <v>66</v>
          </cell>
        </row>
        <row r="1101">
          <cell r="B1101" t="str">
            <v>T2 BB C16" CRA20 ENTRE CLL 94 Y 95</v>
          </cell>
          <cell r="C1101" t="str">
            <v>DV_TOTALD</v>
          </cell>
          <cell r="D1101" t="str">
            <v>BARRIO EL BOSQUE</v>
          </cell>
          <cell r="E1101"/>
          <cell r="F1101"/>
          <cell r="G1101" t="str">
            <v>ML</v>
          </cell>
          <cell r="H1101">
            <v>1</v>
          </cell>
          <cell r="I1101">
            <v>42</v>
          </cell>
          <cell r="L1101">
            <v>42</v>
          </cell>
        </row>
        <row r="1102">
          <cell r="B1102" t="str">
            <v>T4 BD C16" CRA17 ENTRE CLL 100 Y 99F</v>
          </cell>
          <cell r="C1102" t="str">
            <v>DV_TOTALB</v>
          </cell>
          <cell r="D1102" t="str">
            <v>BARRIO JUAN XXIII</v>
          </cell>
          <cell r="E1102"/>
          <cell r="F1102"/>
          <cell r="G1102" t="str">
            <v>ML</v>
          </cell>
          <cell r="H1102">
            <v>1</v>
          </cell>
          <cell r="I1102">
            <v>85.33</v>
          </cell>
          <cell r="L1102">
            <v>85.33</v>
          </cell>
        </row>
        <row r="1103">
          <cell r="B1103" t="str">
            <v>T4 BD C16" CRA17 ENTRE CLL 99F Y 99E</v>
          </cell>
          <cell r="C1103" t="str">
            <v>DV_TOTALB</v>
          </cell>
          <cell r="D1103" t="str">
            <v>BARRIO JUAN XXIII</v>
          </cell>
          <cell r="E1103"/>
          <cell r="F1103"/>
          <cell r="G1103" t="str">
            <v>ML</v>
          </cell>
          <cell r="H1103">
            <v>1</v>
          </cell>
          <cell r="I1103">
            <v>32.21</v>
          </cell>
          <cell r="L1103">
            <v>32.21</v>
          </cell>
        </row>
        <row r="1104">
          <cell r="B1104" t="str">
            <v>T4 BD C16" CRA17 ENTRE CLL 99D Y 99E</v>
          </cell>
          <cell r="C1104" t="str">
            <v>DV_TOTALB</v>
          </cell>
          <cell r="D1104" t="str">
            <v>BARRIO JUAN XXIII</v>
          </cell>
          <cell r="E1104"/>
          <cell r="F1104"/>
          <cell r="G1104" t="str">
            <v>ML</v>
          </cell>
          <cell r="H1104">
            <v>1</v>
          </cell>
          <cell r="I1104">
            <v>30.67</v>
          </cell>
          <cell r="L1104">
            <v>30.67</v>
          </cell>
        </row>
        <row r="1105">
          <cell r="B1105" t="str">
            <v>T4 BD C16" CRA17 ENTRE CLL 99D Y 99B</v>
          </cell>
          <cell r="C1105" t="str">
            <v>DV_TOTALB</v>
          </cell>
          <cell r="D1105" t="str">
            <v>BARRIO JUAN XXIII</v>
          </cell>
          <cell r="E1105"/>
          <cell r="F1105"/>
          <cell r="G1105" t="str">
            <v>ML</v>
          </cell>
          <cell r="H1105">
            <v>1</v>
          </cell>
          <cell r="I1105">
            <v>32.65</v>
          </cell>
          <cell r="L1105">
            <v>32.65</v>
          </cell>
        </row>
        <row r="1106">
          <cell r="B1106" t="str">
            <v>T4 BD C16" CRA17 ENTRE CLL 99B Y 99A</v>
          </cell>
          <cell r="C1106" t="str">
            <v>DV_TOTALB</v>
          </cell>
          <cell r="D1106" t="str">
            <v>BARRIO JUAN XXIII</v>
          </cell>
          <cell r="E1106"/>
          <cell r="F1106"/>
          <cell r="G1106" t="str">
            <v>ML</v>
          </cell>
          <cell r="H1106">
            <v>1</v>
          </cell>
          <cell r="I1106">
            <v>59.29</v>
          </cell>
          <cell r="L1106">
            <v>59.29</v>
          </cell>
        </row>
        <row r="1107">
          <cell r="B1107" t="str">
            <v>T4 BD C16" CLL 99E</v>
          </cell>
          <cell r="C1107" t="str">
            <v>DV_TOTALB</v>
          </cell>
          <cell r="D1107" t="str">
            <v>BARRIO JUAN XXIII</v>
          </cell>
          <cell r="E1107"/>
          <cell r="F1107"/>
          <cell r="G1107" t="str">
            <v>ML</v>
          </cell>
          <cell r="H1107">
            <v>1</v>
          </cell>
          <cell r="I1107">
            <v>32.65</v>
          </cell>
          <cell r="L1107">
            <v>32.65</v>
          </cell>
        </row>
        <row r="1108">
          <cell r="B1108" t="str">
            <v>T4 BD C16" CRA17 ENTRE CLL 99B Y 99A</v>
          </cell>
          <cell r="C1108" t="str">
            <v>DV_TOTALB</v>
          </cell>
          <cell r="D1108" t="str">
            <v>BARRIO JUAN XXIII</v>
          </cell>
          <cell r="E1108"/>
          <cell r="F1108"/>
          <cell r="G1108" t="str">
            <v>ML</v>
          </cell>
          <cell r="H1108">
            <v>1</v>
          </cell>
          <cell r="I1108">
            <v>59.29</v>
          </cell>
          <cell r="L1108">
            <v>59.29</v>
          </cell>
        </row>
        <row r="1109">
          <cell r="B1109" t="str">
            <v>T5 BD C16" CRA20 ENTRE 102B Y 102D</v>
          </cell>
          <cell r="C1109" t="str">
            <v>DV_TOTALB</v>
          </cell>
          <cell r="D1109" t="str">
            <v>BARRIO JUAN XXIII</v>
          </cell>
          <cell r="E1109"/>
          <cell r="F1109"/>
          <cell r="G1109" t="str">
            <v>ML</v>
          </cell>
          <cell r="H1109">
            <v>1</v>
          </cell>
          <cell r="I1109">
            <v>143</v>
          </cell>
          <cell r="L1109">
            <v>143</v>
          </cell>
        </row>
        <row r="1110">
          <cell r="B1110" t="str">
            <v>T5 BD C16" CLL102B ENTRE CRA 20 Y 21</v>
          </cell>
          <cell r="C1110" t="str">
            <v>DV_TOTALB</v>
          </cell>
          <cell r="D1110" t="str">
            <v>BARRIO JUAN XXIII</v>
          </cell>
          <cell r="E1110"/>
          <cell r="F1110"/>
          <cell r="G1110" t="str">
            <v>ML</v>
          </cell>
          <cell r="H1110">
            <v>1</v>
          </cell>
          <cell r="I1110">
            <v>40.5</v>
          </cell>
          <cell r="L1110">
            <v>40.5</v>
          </cell>
        </row>
        <row r="1111">
          <cell r="B1111" t="str">
            <v>T5 BD C16" CLL102D ENTRE CRA 20 Y 21</v>
          </cell>
          <cell r="C1111" t="str">
            <v>DV_TOTALB</v>
          </cell>
          <cell r="D1111" t="str">
            <v>BARRIO JUAN XXIII</v>
          </cell>
          <cell r="E1111"/>
          <cell r="F1111"/>
          <cell r="G1111" t="str">
            <v>ML</v>
          </cell>
          <cell r="H1111">
            <v>1</v>
          </cell>
          <cell r="I1111">
            <v>41.3</v>
          </cell>
          <cell r="L1111">
            <v>41.3</v>
          </cell>
        </row>
        <row r="1112">
          <cell r="J1112" t="str">
            <v>VALOR TOTAL</v>
          </cell>
          <cell r="K1112"/>
          <cell r="L1112">
            <v>1428.02</v>
          </cell>
        </row>
        <row r="1113">
          <cell r="B1113"/>
          <cell r="C1113"/>
          <cell r="D1113"/>
          <cell r="E1113"/>
          <cell r="F1113"/>
          <cell r="G1113"/>
          <cell r="H1113"/>
        </row>
        <row r="1114">
          <cell r="B1114" t="str">
            <v>2.9</v>
          </cell>
          <cell r="C1114" t="str">
            <v>DESCRIPCION</v>
          </cell>
          <cell r="D1114"/>
          <cell r="E1114" t="str">
            <v>Mano de obra para instalación de tubería Novafort 450mm  para red aguas lluvias</v>
          </cell>
          <cell r="F1114"/>
          <cell r="G1114"/>
          <cell r="H1114"/>
          <cell r="I1114" t="str">
            <v>UN</v>
          </cell>
          <cell r="J1114" t="str">
            <v>ML</v>
          </cell>
          <cell r="K1114" t="str">
            <v>CANTIDAD</v>
          </cell>
          <cell r="L1114">
            <v>1228.6500000000001</v>
          </cell>
        </row>
        <row r="1116">
          <cell r="B1116" t="str">
            <v>DESCRIPCION</v>
          </cell>
          <cell r="C1116"/>
          <cell r="D1116" t="str">
            <v>DESCRIPCION /LOCALIZACION</v>
          </cell>
          <cell r="E1116"/>
          <cell r="F1116"/>
          <cell r="G1116" t="str">
            <v>UNIDAD</v>
          </cell>
          <cell r="H1116" t="str">
            <v>CAN/UN</v>
          </cell>
          <cell r="I1116" t="str">
            <v>LARGO</v>
          </cell>
          <cell r="J1116" t="str">
            <v>ANCHO</v>
          </cell>
          <cell r="K1116" t="str">
            <v>ALTURA</v>
          </cell>
          <cell r="L1116" t="str">
            <v>CAN MED</v>
          </cell>
        </row>
        <row r="1117">
          <cell r="B1117" t="str">
            <v>T2 BB C18" CLL94 ENTRE CRA 19 Y 20</v>
          </cell>
          <cell r="C1117" t="str">
            <v>DV_TOTALD</v>
          </cell>
          <cell r="D1117" t="str">
            <v>BARRIO EL BOSQUE</v>
          </cell>
          <cell r="E1117"/>
          <cell r="F1117"/>
          <cell r="G1117" t="str">
            <v>ML</v>
          </cell>
          <cell r="H1117">
            <v>1</v>
          </cell>
          <cell r="I1117">
            <v>110</v>
          </cell>
          <cell r="L1117">
            <v>110</v>
          </cell>
        </row>
        <row r="1118">
          <cell r="B1118" t="str">
            <v>T2 BB C18" CLL94 ENTRE CRA 20 Y 21</v>
          </cell>
          <cell r="C1118" t="str">
            <v>DV_TOTALD</v>
          </cell>
          <cell r="D1118" t="str">
            <v>BARRIO EL BOSQUE</v>
          </cell>
          <cell r="E1118"/>
          <cell r="F1118"/>
          <cell r="G1118" t="str">
            <v>ML</v>
          </cell>
          <cell r="H1118">
            <v>1</v>
          </cell>
          <cell r="I1118">
            <v>107</v>
          </cell>
          <cell r="L1118">
            <v>107</v>
          </cell>
        </row>
        <row r="1119">
          <cell r="B1119" t="str">
            <v>T2 BB C18" CLL96 ENTRE CRA 19 Y 20</v>
          </cell>
          <cell r="C1119" t="str">
            <v>DV_TOTALD</v>
          </cell>
          <cell r="D1119" t="str">
            <v>BARRIO EL BOSQUE</v>
          </cell>
          <cell r="E1119"/>
          <cell r="F1119"/>
          <cell r="G1119" t="str">
            <v>ML</v>
          </cell>
          <cell r="H1119">
            <v>1</v>
          </cell>
          <cell r="I1119">
            <v>103</v>
          </cell>
          <cell r="J1119"/>
          <cell r="K1119"/>
          <cell r="L1119">
            <v>103</v>
          </cell>
        </row>
        <row r="1120">
          <cell r="B1120" t="str">
            <v>T2 BB C18" CLL96 ENTRE CRA 20 Y 21</v>
          </cell>
          <cell r="C1120" t="str">
            <v>DV_TOTALD</v>
          </cell>
          <cell r="D1120" t="str">
            <v>BARRIO EL BOSQUE</v>
          </cell>
          <cell r="E1120"/>
          <cell r="F1120"/>
          <cell r="G1120" t="str">
            <v>ML</v>
          </cell>
          <cell r="H1120">
            <v>1</v>
          </cell>
          <cell r="I1120">
            <v>110.8</v>
          </cell>
          <cell r="J1120"/>
          <cell r="K1120"/>
          <cell r="L1120">
            <v>110.8</v>
          </cell>
        </row>
        <row r="1121">
          <cell r="B1121" t="str">
            <v>T2 BB C18" CLL97A ENTRE CRA 19 Y 20</v>
          </cell>
          <cell r="C1121" t="str">
            <v>DV_TOTALD</v>
          </cell>
          <cell r="D1121" t="str">
            <v>BARRIO EL BOSQUE</v>
          </cell>
          <cell r="E1121"/>
          <cell r="F1121"/>
          <cell r="G1121" t="str">
            <v>ML</v>
          </cell>
          <cell r="H1121">
            <v>1</v>
          </cell>
          <cell r="I1121">
            <v>114</v>
          </cell>
          <cell r="J1121"/>
          <cell r="K1121"/>
          <cell r="L1121">
            <v>114</v>
          </cell>
        </row>
        <row r="1122">
          <cell r="B1122" t="str">
            <v>T2 BB C18" CLL97A ENTRE CRA 20 Y 21</v>
          </cell>
          <cell r="C1122" t="str">
            <v>DV_TOTALD</v>
          </cell>
          <cell r="D1122" t="str">
            <v>BARRIO EL BOSQUE</v>
          </cell>
          <cell r="E1122"/>
          <cell r="F1122"/>
          <cell r="G1122" t="str">
            <v>ML</v>
          </cell>
          <cell r="H1122">
            <v>1</v>
          </cell>
          <cell r="I1122">
            <v>106</v>
          </cell>
          <cell r="L1122">
            <v>106</v>
          </cell>
        </row>
        <row r="1123">
          <cell r="B1123" t="str">
            <v>T1 JM C18" CLL 110 ENTRE CRA 15 Y 16</v>
          </cell>
          <cell r="C1123" t="str">
            <v>DV_TOTALE</v>
          </cell>
          <cell r="D1123" t="str">
            <v>BARRIO JESUS MORA CALLE 110</v>
          </cell>
          <cell r="E1123"/>
          <cell r="F1123"/>
          <cell r="G1123" t="str">
            <v>ML</v>
          </cell>
          <cell r="H1123">
            <v>1</v>
          </cell>
          <cell r="I1123">
            <v>126</v>
          </cell>
          <cell r="L1123">
            <v>126</v>
          </cell>
        </row>
        <row r="1124">
          <cell r="B1124" t="str">
            <v>T1 JM C18" CLL 110 ENTRE CRA 15 Y 17</v>
          </cell>
          <cell r="C1124" t="str">
            <v>DV_TOTALE</v>
          </cell>
          <cell r="D1124" t="str">
            <v>BARRIO JESUS MORA CALLE 110</v>
          </cell>
          <cell r="E1124"/>
          <cell r="F1124"/>
          <cell r="G1124" t="str">
            <v>ML</v>
          </cell>
          <cell r="H1124">
            <v>1</v>
          </cell>
          <cell r="I1124">
            <v>89</v>
          </cell>
          <cell r="L1124">
            <v>89</v>
          </cell>
        </row>
        <row r="1125">
          <cell r="B1125" t="str">
            <v>T1 JM C18" CLL 110 ENTRE CRA 17 Y 18</v>
          </cell>
          <cell r="C1125" t="str">
            <v>DV_TOTALE</v>
          </cell>
          <cell r="D1125" t="str">
            <v>BARRIO JESUS MORA CALLE 110</v>
          </cell>
          <cell r="E1125"/>
          <cell r="F1125"/>
          <cell r="G1125" t="str">
            <v>ML</v>
          </cell>
          <cell r="H1125">
            <v>1</v>
          </cell>
          <cell r="I1125">
            <v>120.85</v>
          </cell>
          <cell r="L1125">
            <v>120.85</v>
          </cell>
        </row>
        <row r="1126">
          <cell r="B1126" t="str">
            <v>T1 JM C18" CLL 110 ENTRE CRA 19 Y 20</v>
          </cell>
          <cell r="C1126" t="str">
            <v>DV_TOTALE</v>
          </cell>
          <cell r="D1126" t="str">
            <v>BARRIO JESUS MORA CALLE 110</v>
          </cell>
          <cell r="E1126"/>
          <cell r="F1126"/>
          <cell r="G1126" t="str">
            <v>ML</v>
          </cell>
          <cell r="H1126">
            <v>1</v>
          </cell>
          <cell r="I1126">
            <v>82</v>
          </cell>
          <cell r="L1126">
            <v>82</v>
          </cell>
        </row>
        <row r="1127">
          <cell r="B1127" t="str">
            <v>T1 JM C18" CLL 110 ENTRE CRA 20 Y 21</v>
          </cell>
          <cell r="C1127" t="str">
            <v>DV_TOTALE</v>
          </cell>
          <cell r="D1127" t="str">
            <v>BARRIO JESUS MORA CALLE 110</v>
          </cell>
          <cell r="E1127"/>
          <cell r="F1127"/>
          <cell r="G1127" t="str">
            <v>ML</v>
          </cell>
          <cell r="H1127">
            <v>1</v>
          </cell>
          <cell r="I1127">
            <v>90</v>
          </cell>
          <cell r="L1127">
            <v>90</v>
          </cell>
        </row>
        <row r="1128">
          <cell r="B1128" t="str">
            <v>T1 JM C18" CLL 110 ENTRE CRA 21 Y 22</v>
          </cell>
          <cell r="C1128" t="str">
            <v>DV_TOTALE</v>
          </cell>
          <cell r="D1128" t="str">
            <v>BARRIO JESUS MORA CALLE 110</v>
          </cell>
          <cell r="E1128"/>
          <cell r="F1128"/>
          <cell r="G1128" t="str">
            <v>ML</v>
          </cell>
          <cell r="H1128">
            <v>1</v>
          </cell>
          <cell r="I1128">
            <v>70</v>
          </cell>
          <cell r="L1128">
            <v>70</v>
          </cell>
        </row>
        <row r="1129">
          <cell r="B1129"/>
          <cell r="C1129"/>
          <cell r="D1129"/>
          <cell r="E1129"/>
          <cell r="F1129"/>
          <cell r="H1129"/>
          <cell r="J1129" t="str">
            <v>VALOR TOTAL</v>
          </cell>
          <cell r="K1129"/>
          <cell r="L1129">
            <v>1228.6500000000001</v>
          </cell>
        </row>
        <row r="1130">
          <cell r="B1130"/>
          <cell r="C1130"/>
          <cell r="D1130"/>
          <cell r="E1130"/>
          <cell r="F1130"/>
          <cell r="H1130"/>
        </row>
        <row r="1131">
          <cell r="B1131" t="str">
            <v>2.10</v>
          </cell>
          <cell r="C1131" t="str">
            <v>DESCRIPCION</v>
          </cell>
          <cell r="D1131"/>
          <cell r="E1131" t="str">
            <v>Mano de obra para instalación de tubería Novafort 600mm  para red aguas lluvias</v>
          </cell>
          <cell r="F1131"/>
          <cell r="G1131"/>
          <cell r="H1131"/>
          <cell r="I1131" t="str">
            <v>UN</v>
          </cell>
          <cell r="J1131" t="str">
            <v>ML</v>
          </cell>
          <cell r="K1131" t="str">
            <v>CANTIDAD</v>
          </cell>
          <cell r="L1131">
            <v>560</v>
          </cell>
        </row>
        <row r="1133">
          <cell r="B1133" t="str">
            <v>COD EP</v>
          </cell>
          <cell r="C1133" t="str">
            <v>COD EP</v>
          </cell>
          <cell r="D1133" t="str">
            <v>DESCRIPCION /LOCALIZACION</v>
          </cell>
          <cell r="E1133"/>
          <cell r="F1133"/>
          <cell r="G1133" t="str">
            <v>UNIDAD</v>
          </cell>
          <cell r="H1133" t="str">
            <v>CAN/UN</v>
          </cell>
          <cell r="I1133" t="str">
            <v>LARGO</v>
          </cell>
          <cell r="J1133" t="str">
            <v>ANCHO</v>
          </cell>
          <cell r="K1133" t="str">
            <v>ALTURA</v>
          </cell>
          <cell r="L1133" t="str">
            <v>CAN MED</v>
          </cell>
        </row>
        <row r="1134">
          <cell r="B1134" t="str">
            <v>T2 BB C24" CRA 19 ENTRE CALLE 94 Y 93</v>
          </cell>
          <cell r="C1134" t="str">
            <v>DV_TOTALD</v>
          </cell>
          <cell r="D1134" t="str">
            <v>BARRIO EL BOSQUE</v>
          </cell>
          <cell r="E1134"/>
          <cell r="F1134"/>
          <cell r="G1134" t="str">
            <v>ML</v>
          </cell>
          <cell r="H1134">
            <v>1</v>
          </cell>
          <cell r="I1134">
            <v>48</v>
          </cell>
          <cell r="J1134">
            <v>0</v>
          </cell>
          <cell r="K1134">
            <v>0</v>
          </cell>
          <cell r="L1134">
            <v>48</v>
          </cell>
        </row>
        <row r="1135">
          <cell r="B1135" t="str">
            <v>T2 BB C24" CRA 19 ENTRE CALLE 93 Y 92</v>
          </cell>
          <cell r="C1135" t="str">
            <v>DV_TOTALD</v>
          </cell>
          <cell r="D1135" t="str">
            <v>BARRIO EL BOSQUE</v>
          </cell>
          <cell r="E1135"/>
          <cell r="F1135"/>
          <cell r="G1135" t="str">
            <v>ML</v>
          </cell>
          <cell r="H1135">
            <v>1</v>
          </cell>
          <cell r="I1135">
            <v>51</v>
          </cell>
          <cell r="J1135">
            <v>0</v>
          </cell>
          <cell r="K1135">
            <v>0</v>
          </cell>
          <cell r="L1135">
            <v>51</v>
          </cell>
        </row>
        <row r="1136">
          <cell r="B1136" t="str">
            <v>T2 BB C24" CRA 19 ENTRE CALLE 92 Y 91</v>
          </cell>
          <cell r="C1136" t="str">
            <v>DV_TOTALD</v>
          </cell>
          <cell r="D1136" t="str">
            <v>BARRIO EL BOSQUE</v>
          </cell>
          <cell r="E1136"/>
          <cell r="F1136"/>
          <cell r="G1136" t="str">
            <v>ML</v>
          </cell>
          <cell r="H1136">
            <v>1</v>
          </cell>
          <cell r="I1136">
            <v>50</v>
          </cell>
          <cell r="J1136">
            <v>0</v>
          </cell>
          <cell r="K1136">
            <v>0</v>
          </cell>
          <cell r="L1136">
            <v>50</v>
          </cell>
        </row>
        <row r="1137">
          <cell r="B1137" t="str">
            <v xml:space="preserve">T2 BB C24" CRA 19 ENTRE CALLE 91 Y canal </v>
          </cell>
          <cell r="C1137" t="str">
            <v>DV_TOTALD</v>
          </cell>
          <cell r="D1137" t="str">
            <v>BARRIO EL BOSQUE</v>
          </cell>
          <cell r="E1137"/>
          <cell r="F1137"/>
          <cell r="G1137" t="str">
            <v>ML</v>
          </cell>
          <cell r="H1137">
            <v>1</v>
          </cell>
          <cell r="I1137">
            <v>110</v>
          </cell>
          <cell r="J1137">
            <v>0</v>
          </cell>
          <cell r="K1137">
            <v>0</v>
          </cell>
          <cell r="L1137">
            <v>110</v>
          </cell>
        </row>
        <row r="1138">
          <cell r="B1138" t="str">
            <v>T1 JM C24" CRA 17 ENTRE CLL110 Y 111</v>
          </cell>
          <cell r="C1138" t="str">
            <v>DV_TOTALE</v>
          </cell>
          <cell r="D1138" t="str">
            <v>BARRIO JESUS MORA CALLE 110</v>
          </cell>
          <cell r="E1138"/>
          <cell r="F1138"/>
          <cell r="G1138" t="str">
            <v>ML</v>
          </cell>
          <cell r="H1138">
            <v>1</v>
          </cell>
          <cell r="I1138">
            <v>42</v>
          </cell>
          <cell r="J1138">
            <v>0</v>
          </cell>
          <cell r="K1138">
            <v>0</v>
          </cell>
          <cell r="L1138">
            <v>42</v>
          </cell>
        </row>
        <row r="1139">
          <cell r="B1139" t="str">
            <v>T1 JM C24" CRA 17 ENTRE CLL111 Y 112</v>
          </cell>
          <cell r="C1139" t="str">
            <v>DV_TOTALE</v>
          </cell>
          <cell r="D1139" t="str">
            <v>BARRIO JESUS MORA CALLE 110</v>
          </cell>
          <cell r="E1139"/>
          <cell r="F1139"/>
          <cell r="G1139" t="str">
            <v>ML</v>
          </cell>
          <cell r="H1139">
            <v>1</v>
          </cell>
          <cell r="I1139">
            <v>68</v>
          </cell>
          <cell r="J1139">
            <v>0</v>
          </cell>
          <cell r="K1139">
            <v>0</v>
          </cell>
          <cell r="L1139">
            <v>68</v>
          </cell>
        </row>
        <row r="1140">
          <cell r="B1140" t="str">
            <v>T1 JM C24" CRA 17 ENTRE CLL112 Y 113</v>
          </cell>
          <cell r="C1140" t="str">
            <v>DV_TOTALE</v>
          </cell>
          <cell r="D1140" t="str">
            <v>BARRIO JESUS MORA CALLE 110</v>
          </cell>
          <cell r="E1140"/>
          <cell r="F1140"/>
          <cell r="G1140" t="str">
            <v>ML</v>
          </cell>
          <cell r="H1140">
            <v>1</v>
          </cell>
          <cell r="I1140">
            <v>55</v>
          </cell>
          <cell r="J1140">
            <v>0</v>
          </cell>
          <cell r="K1140">
            <v>0</v>
          </cell>
          <cell r="L1140">
            <v>55</v>
          </cell>
        </row>
        <row r="1141">
          <cell r="B1141" t="str">
            <v>T1 JM C24" CRA 17 ENTRE CLL113 Y 114</v>
          </cell>
          <cell r="C1141" t="str">
            <v>DV_TOTALE</v>
          </cell>
          <cell r="D1141" t="str">
            <v>BARRIO JESUS MORA CALLE 110</v>
          </cell>
          <cell r="E1141"/>
          <cell r="F1141"/>
          <cell r="G1141" t="str">
            <v>ML</v>
          </cell>
          <cell r="H1141">
            <v>1</v>
          </cell>
          <cell r="I1141">
            <v>56</v>
          </cell>
          <cell r="J1141">
            <v>0</v>
          </cell>
          <cell r="K1141">
            <v>0</v>
          </cell>
          <cell r="L1141">
            <v>56</v>
          </cell>
        </row>
        <row r="1142">
          <cell r="B1142" t="str">
            <v>T1 JM C24" CRA 17 ENTRE CLL114 Y 115</v>
          </cell>
          <cell r="C1142" t="str">
            <v>DV_TOTALE</v>
          </cell>
          <cell r="D1142" t="str">
            <v>BARRIO JESUS MORA CALLE 110</v>
          </cell>
          <cell r="E1142"/>
          <cell r="F1142"/>
          <cell r="G1142" t="str">
            <v>ML</v>
          </cell>
          <cell r="H1142">
            <v>1</v>
          </cell>
          <cell r="I1142">
            <v>79.510000000000005</v>
          </cell>
          <cell r="J1142">
            <v>0</v>
          </cell>
          <cell r="K1142">
            <v>0</v>
          </cell>
          <cell r="L1142">
            <v>79.510000000000005</v>
          </cell>
        </row>
        <row r="1143">
          <cell r="B1143"/>
          <cell r="C1143"/>
          <cell r="D1143"/>
          <cell r="E1143"/>
          <cell r="F1143"/>
          <cell r="J1143" t="str">
            <v>VALOR TOTAL</v>
          </cell>
          <cell r="K1143"/>
          <cell r="L1143">
            <v>559.51</v>
          </cell>
        </row>
        <row r="1145">
          <cell r="B1145" t="str">
            <v>2.11</v>
          </cell>
          <cell r="C1145" t="str">
            <v>DESCRIPCION</v>
          </cell>
          <cell r="D1145"/>
          <cell r="E1145" t="str">
            <v xml:space="preserve">Construcción de caja colectora zona verde,  medida interna 1*1 h=1.2m espesores de 0,2m </v>
          </cell>
          <cell r="F1145"/>
          <cell r="G1145"/>
          <cell r="H1145"/>
          <cell r="I1145" t="str">
            <v>UN</v>
          </cell>
          <cell r="J1145" t="str">
            <v>UNIDAD</v>
          </cell>
          <cell r="K1145" t="str">
            <v>CANTIDAD</v>
          </cell>
          <cell r="L1145">
            <v>36</v>
          </cell>
        </row>
        <row r="1147">
          <cell r="B1147" t="str">
            <v>COD EP</v>
          </cell>
          <cell r="C1147" t="str">
            <v>COD EP</v>
          </cell>
          <cell r="D1147" t="str">
            <v>DESCRIPCION /LOCALIZACION</v>
          </cell>
          <cell r="E1147"/>
          <cell r="F1147"/>
          <cell r="G1147" t="str">
            <v>UNIDAD</v>
          </cell>
          <cell r="H1147" t="str">
            <v>CAN/UN</v>
          </cell>
          <cell r="I1147" t="str">
            <v>LARGO</v>
          </cell>
          <cell r="J1147" t="str">
            <v>ANCHO</v>
          </cell>
          <cell r="K1147" t="str">
            <v>ALTURA</v>
          </cell>
          <cell r="L1147" t="str">
            <v>CAN MED</v>
          </cell>
        </row>
        <row r="1148">
          <cell r="B1148" t="str">
            <v>T2 BB C24" CRA 19 ENTRE CALLE 94 Y 93</v>
          </cell>
          <cell r="C1148" t="str">
            <v>DV_TOTALD</v>
          </cell>
          <cell r="D1148" t="str">
            <v>BARRIO EL BOSQUE</v>
          </cell>
          <cell r="E1148"/>
          <cell r="F1148"/>
          <cell r="G1148" t="str">
            <v>UNIDAD</v>
          </cell>
          <cell r="H1148">
            <v>1</v>
          </cell>
          <cell r="L1148">
            <v>1</v>
          </cell>
        </row>
        <row r="1149">
          <cell r="B1149" t="str">
            <v>T2 BB C24" CRA 19 ENTRE CALLE 93 Y 92</v>
          </cell>
          <cell r="C1149" t="str">
            <v>DV_TOTALD</v>
          </cell>
          <cell r="D1149" t="str">
            <v>BARRIO EL BOSQUE</v>
          </cell>
          <cell r="E1149"/>
          <cell r="F1149"/>
          <cell r="G1149" t="str">
            <v>UNIDAD</v>
          </cell>
          <cell r="H1149">
            <v>1</v>
          </cell>
          <cell r="L1149">
            <v>1</v>
          </cell>
        </row>
        <row r="1150">
          <cell r="B1150" t="str">
            <v>T2 BB C24" CRA 19 ENTRE CALLE 92 Y 91</v>
          </cell>
          <cell r="C1150" t="str">
            <v>DV_TOTALD</v>
          </cell>
          <cell r="D1150" t="str">
            <v>BARRIO EL BOSQUE</v>
          </cell>
          <cell r="E1150"/>
          <cell r="F1150"/>
          <cell r="G1150" t="str">
            <v>UNIDAD</v>
          </cell>
          <cell r="H1150">
            <v>1</v>
          </cell>
          <cell r="L1150">
            <v>1</v>
          </cell>
        </row>
        <row r="1151">
          <cell r="B1151" t="str">
            <v xml:space="preserve">T2 BB C24" CRA 19 ENTRE CALLE 91 Y canal </v>
          </cell>
          <cell r="C1151" t="str">
            <v>DV_TOTALD</v>
          </cell>
          <cell r="D1151" t="str">
            <v>BARRIO EL BOSQUE</v>
          </cell>
          <cell r="E1151"/>
          <cell r="F1151"/>
          <cell r="G1151" t="str">
            <v>UNIDAD</v>
          </cell>
          <cell r="H1151">
            <v>1</v>
          </cell>
          <cell r="L1151">
            <v>1</v>
          </cell>
        </row>
        <row r="1152">
          <cell r="B1152" t="str">
            <v>T2 BB C18" CLL94 ENTRE CRA 19 Y 20</v>
          </cell>
          <cell r="C1152" t="str">
            <v>DV_TOTALD</v>
          </cell>
          <cell r="D1152" t="str">
            <v>BARRIO EL BOSQUE</v>
          </cell>
          <cell r="E1152"/>
          <cell r="F1152"/>
          <cell r="G1152" t="str">
            <v>UNIDAD</v>
          </cell>
          <cell r="H1152">
            <v>2</v>
          </cell>
          <cell r="L1152">
            <v>2</v>
          </cell>
        </row>
        <row r="1153">
          <cell r="B1153" t="str">
            <v>T2 BB C18" CLL94 ENTRE CRA 20 Y 21</v>
          </cell>
          <cell r="C1153" t="str">
            <v>DV_TOTALD</v>
          </cell>
          <cell r="D1153" t="str">
            <v>BARRIO EL BOSQUE</v>
          </cell>
          <cell r="E1153"/>
          <cell r="F1153"/>
          <cell r="G1153" t="str">
            <v>UNIDAD</v>
          </cell>
          <cell r="H1153">
            <v>1</v>
          </cell>
          <cell r="L1153">
            <v>1</v>
          </cell>
        </row>
        <row r="1154">
          <cell r="B1154" t="str">
            <v>T2 BB C18" CLL96 ENTRE CRA 19 Y 20</v>
          </cell>
          <cell r="C1154" t="str">
            <v>DV_TOTALD</v>
          </cell>
          <cell r="D1154" t="str">
            <v>BARRIO EL BOSQUE</v>
          </cell>
          <cell r="E1154"/>
          <cell r="F1154"/>
          <cell r="G1154" t="str">
            <v>UNIDAD</v>
          </cell>
          <cell r="H1154">
            <v>1</v>
          </cell>
          <cell r="L1154">
            <v>1</v>
          </cell>
        </row>
        <row r="1155">
          <cell r="B1155" t="str">
            <v>T2 BB C18" CLL96 ENTRE CRA 20 Y 21</v>
          </cell>
          <cell r="C1155" t="str">
            <v>DV_TOTALD</v>
          </cell>
          <cell r="D1155" t="str">
            <v>BARRIO EL BOSQUE</v>
          </cell>
          <cell r="E1155"/>
          <cell r="F1155"/>
          <cell r="G1155" t="str">
            <v>UNIDAD</v>
          </cell>
          <cell r="H1155">
            <v>1</v>
          </cell>
          <cell r="L1155">
            <v>1</v>
          </cell>
        </row>
        <row r="1156">
          <cell r="B1156" t="str">
            <v>T2 BB C18" CLL97A ENTRE CRA 19 Y 20</v>
          </cell>
          <cell r="C1156" t="str">
            <v>DV_TOTALD</v>
          </cell>
          <cell r="D1156" t="str">
            <v>BARRIO EL BOSQUE</v>
          </cell>
          <cell r="E1156"/>
          <cell r="F1156"/>
          <cell r="G1156" t="str">
            <v>UNIDAD</v>
          </cell>
          <cell r="H1156">
            <v>1</v>
          </cell>
          <cell r="L1156">
            <v>1</v>
          </cell>
        </row>
        <row r="1157">
          <cell r="B1157" t="str">
            <v>T2 BB C18" CLL97A ENTRE CRA 20 Y 21</v>
          </cell>
          <cell r="C1157" t="str">
            <v>DV_TOTALD</v>
          </cell>
          <cell r="D1157" t="str">
            <v>BARRIO EL BOSQUE</v>
          </cell>
          <cell r="E1157"/>
          <cell r="F1157"/>
          <cell r="G1157" t="str">
            <v>UNIDAD</v>
          </cell>
          <cell r="H1157">
            <v>1</v>
          </cell>
          <cell r="L1157">
            <v>1</v>
          </cell>
        </row>
        <row r="1158">
          <cell r="B1158" t="str">
            <v>T2 BB C16" CLL94 ENTRE CRA 21 Y 22</v>
          </cell>
          <cell r="C1158" t="str">
            <v>DV_TOTALD</v>
          </cell>
          <cell r="D1158" t="str">
            <v>BARRIO EL BOSQUE</v>
          </cell>
          <cell r="E1158"/>
          <cell r="F1158"/>
          <cell r="G1158" t="str">
            <v>UNIDAD</v>
          </cell>
          <cell r="H1158">
            <v>1</v>
          </cell>
          <cell r="L1158">
            <v>1</v>
          </cell>
        </row>
        <row r="1159">
          <cell r="B1159" t="str">
            <v>T2 BB C16" CLL96 ENTRE CRA 21 Y 22</v>
          </cell>
          <cell r="C1159" t="str">
            <v>DV_TOTALD</v>
          </cell>
          <cell r="D1159" t="str">
            <v>BARRIO EL BOSQUE</v>
          </cell>
          <cell r="E1159"/>
          <cell r="F1159"/>
          <cell r="G1159" t="str">
            <v>UNIDAD</v>
          </cell>
          <cell r="H1159">
            <v>1</v>
          </cell>
          <cell r="L1159">
            <v>1</v>
          </cell>
        </row>
        <row r="1160">
          <cell r="B1160" t="str">
            <v>T2 BB C16" CLL97A ENTRE CRA 21 Y 22</v>
          </cell>
          <cell r="C1160" t="str">
            <v>DV_TOTALD</v>
          </cell>
          <cell r="D1160" t="str">
            <v>BARRIO EL BOSQUE</v>
          </cell>
          <cell r="E1160"/>
          <cell r="F1160"/>
          <cell r="G1160" t="str">
            <v>UNIDAD</v>
          </cell>
          <cell r="H1160">
            <v>1</v>
          </cell>
          <cell r="L1160">
            <v>1</v>
          </cell>
        </row>
        <row r="1161">
          <cell r="B1161" t="str">
            <v>T2 BB C16" CRA22 ENTRE CLL 97 Y 97A</v>
          </cell>
          <cell r="C1161" t="str">
            <v>DV_TOTALD</v>
          </cell>
          <cell r="D1161" t="str">
            <v>BARRIO EL BOSQUE</v>
          </cell>
          <cell r="E1161"/>
          <cell r="F1161"/>
          <cell r="G1161" t="str">
            <v>UNIDAD</v>
          </cell>
          <cell r="H1161">
            <v>1</v>
          </cell>
          <cell r="L1161">
            <v>1</v>
          </cell>
        </row>
        <row r="1162">
          <cell r="B1162" t="str">
            <v>T2 BB C16" CRA22 ENTRE CLL 97 Y 97A</v>
          </cell>
          <cell r="C1162" t="str">
            <v>DV_TOTALD</v>
          </cell>
          <cell r="D1162" t="str">
            <v>BARRIO EL BOSQUE</v>
          </cell>
          <cell r="E1162"/>
          <cell r="F1162"/>
          <cell r="G1162" t="str">
            <v>UNIDAD</v>
          </cell>
          <cell r="H1162">
            <v>1</v>
          </cell>
          <cell r="L1162">
            <v>1</v>
          </cell>
        </row>
        <row r="1163">
          <cell r="B1163" t="str">
            <v>T2 BB C16" CRA22 ENTRE CLL 94 Y 95</v>
          </cell>
          <cell r="C1163" t="str">
            <v>DV_TOTALD</v>
          </cell>
          <cell r="D1163" t="str">
            <v>BARRIO EL BOSQUE</v>
          </cell>
          <cell r="E1163"/>
          <cell r="F1163"/>
          <cell r="G1163" t="str">
            <v>UNIDAD</v>
          </cell>
          <cell r="H1163">
            <v>1</v>
          </cell>
          <cell r="L1163">
            <v>1</v>
          </cell>
        </row>
        <row r="1164">
          <cell r="B1164" t="str">
            <v>T2 BB C16" CRA22 ENTRE CLL 94 Y 93</v>
          </cell>
          <cell r="C1164" t="str">
            <v>DV_TOTALD</v>
          </cell>
          <cell r="D1164" t="str">
            <v>BARRIO EL BOSQUE</v>
          </cell>
          <cell r="E1164"/>
          <cell r="F1164"/>
          <cell r="G1164" t="str">
            <v>UNIDAD</v>
          </cell>
          <cell r="H1164">
            <v>1</v>
          </cell>
          <cell r="L1164">
            <v>1</v>
          </cell>
        </row>
        <row r="1165">
          <cell r="B1165" t="str">
            <v>T2 BB C16" CRA21 ENTRE CLL 94 Y 91</v>
          </cell>
          <cell r="C1165" t="str">
            <v>DV_TOTALD</v>
          </cell>
          <cell r="D1165" t="str">
            <v>BARRIO EL BOSQUE</v>
          </cell>
          <cell r="E1165"/>
          <cell r="F1165"/>
          <cell r="G1165" t="str">
            <v>UNIDAD</v>
          </cell>
          <cell r="H1165">
            <v>1</v>
          </cell>
          <cell r="L1165">
            <v>1</v>
          </cell>
        </row>
        <row r="1166">
          <cell r="B1166" t="str">
            <v>T2 BB C16" CRA21 ENTRE CLL 94 Y 89</v>
          </cell>
          <cell r="C1166" t="str">
            <v>DV_TOTALD</v>
          </cell>
          <cell r="D1166" t="str">
            <v>BARRIO EL BOSQUE</v>
          </cell>
          <cell r="E1166"/>
          <cell r="F1166"/>
          <cell r="G1166" t="str">
            <v>UNIDAD</v>
          </cell>
          <cell r="H1166">
            <v>1</v>
          </cell>
          <cell r="L1166">
            <v>1</v>
          </cell>
        </row>
        <row r="1167">
          <cell r="B1167" t="str">
            <v>T2 BB C16" CRA21 ENTRE CLL 97 Y 97A</v>
          </cell>
          <cell r="C1167" t="str">
            <v>DV_TOTALD</v>
          </cell>
          <cell r="D1167" t="str">
            <v>BARRIO EL BOSQUE</v>
          </cell>
          <cell r="E1167"/>
          <cell r="F1167"/>
          <cell r="G1167" t="str">
            <v>UNIDAD</v>
          </cell>
          <cell r="H1167">
            <v>1</v>
          </cell>
          <cell r="L1167">
            <v>1</v>
          </cell>
        </row>
        <row r="1168">
          <cell r="B1168" t="str">
            <v>T2 BB C16" CRA21 ENTRE CLL 94 Y 95</v>
          </cell>
          <cell r="C1168" t="str">
            <v>DV_TOTALD</v>
          </cell>
          <cell r="D1168" t="str">
            <v>BARRIO EL BOSQUE</v>
          </cell>
          <cell r="E1168"/>
          <cell r="F1168"/>
          <cell r="G1168" t="str">
            <v>UNIDAD</v>
          </cell>
          <cell r="H1168">
            <v>1</v>
          </cell>
          <cell r="L1168">
            <v>1</v>
          </cell>
        </row>
        <row r="1169">
          <cell r="B1169" t="str">
            <v>T2 BB C16" CRA20 ENTRE CLL 94 Y 87</v>
          </cell>
          <cell r="C1169" t="str">
            <v>DV_TOTALD</v>
          </cell>
          <cell r="D1169" t="str">
            <v>BARRIO EL BOSQUE</v>
          </cell>
          <cell r="E1169"/>
          <cell r="F1169"/>
          <cell r="G1169" t="str">
            <v>UNIDAD</v>
          </cell>
          <cell r="H1169">
            <v>1</v>
          </cell>
          <cell r="L1169">
            <v>1</v>
          </cell>
        </row>
        <row r="1170">
          <cell r="B1170" t="str">
            <v>T2 BB C16" CRA20 ENTRE CLL 94 Y 85</v>
          </cell>
          <cell r="C1170" t="str">
            <v>DV_TOTALD</v>
          </cell>
          <cell r="D1170" t="str">
            <v>BARRIO EL BOSQUE</v>
          </cell>
          <cell r="E1170"/>
          <cell r="F1170"/>
          <cell r="G1170" t="str">
            <v>UNIDAD</v>
          </cell>
          <cell r="H1170">
            <v>1</v>
          </cell>
          <cell r="L1170">
            <v>1</v>
          </cell>
        </row>
        <row r="1171">
          <cell r="B1171" t="str">
            <v>T2 BB C16" CRA20 ENTRE CLL 97 Y 97A</v>
          </cell>
          <cell r="C1171" t="str">
            <v>DV_TOTALD</v>
          </cell>
          <cell r="D1171" t="str">
            <v>BARRIO EL BOSQUE</v>
          </cell>
          <cell r="E1171"/>
          <cell r="F1171"/>
          <cell r="G1171" t="str">
            <v>UNIDAD</v>
          </cell>
          <cell r="H1171">
            <v>1</v>
          </cell>
          <cell r="L1171">
            <v>1</v>
          </cell>
        </row>
        <row r="1172">
          <cell r="B1172" t="str">
            <v>T2 BB C16" CRA20 ENTRE CLL 94 Y 95</v>
          </cell>
          <cell r="C1172" t="str">
            <v>DV_TOTALD</v>
          </cell>
          <cell r="D1172" t="str">
            <v>BARRIO EL BOSQUE</v>
          </cell>
          <cell r="E1172"/>
          <cell r="F1172"/>
          <cell r="G1172" t="str">
            <v>UNIDAD</v>
          </cell>
          <cell r="H1172">
            <v>1</v>
          </cell>
          <cell r="L1172">
            <v>1</v>
          </cell>
        </row>
        <row r="1173">
          <cell r="B1173" t="str">
            <v>T4 BD C16" CRA17 ENTRE CLL 100 Y 99F</v>
          </cell>
          <cell r="C1173" t="str">
            <v>DV_TOTALB</v>
          </cell>
          <cell r="D1173" t="str">
            <v>BARRIO JUAN XXIII</v>
          </cell>
          <cell r="E1173"/>
          <cell r="F1173"/>
          <cell r="G1173" t="str">
            <v>UNIDAD</v>
          </cell>
          <cell r="H1173">
            <v>1</v>
          </cell>
          <cell r="L1173">
            <v>1</v>
          </cell>
        </row>
        <row r="1174">
          <cell r="B1174" t="str">
            <v>T4 BD C16" CRA17 ENTRE CLL 99F Y 99E</v>
          </cell>
          <cell r="C1174" t="str">
            <v>DV_TOTALB</v>
          </cell>
          <cell r="D1174" t="str">
            <v>BARRIO JUAN XXIII</v>
          </cell>
          <cell r="E1174"/>
          <cell r="F1174"/>
          <cell r="G1174" t="str">
            <v>UNIDAD</v>
          </cell>
          <cell r="H1174">
            <v>1</v>
          </cell>
          <cell r="L1174">
            <v>1</v>
          </cell>
        </row>
        <row r="1175">
          <cell r="B1175" t="str">
            <v>T4 BD C16" CRA17 ENTRE CLL 99D Y 99E</v>
          </cell>
          <cell r="C1175" t="str">
            <v>DV_TOTALB</v>
          </cell>
          <cell r="D1175" t="str">
            <v>BARRIO JUAN XXIII</v>
          </cell>
          <cell r="E1175"/>
          <cell r="F1175"/>
          <cell r="G1175" t="str">
            <v>UNIDAD</v>
          </cell>
          <cell r="H1175">
            <v>1</v>
          </cell>
          <cell r="L1175">
            <v>1</v>
          </cell>
        </row>
        <row r="1176">
          <cell r="B1176" t="str">
            <v>T4 BD C16" CRA17 ENTRE CLL 99D Y 99B</v>
          </cell>
          <cell r="C1176" t="str">
            <v>DV_TOTALB</v>
          </cell>
          <cell r="D1176" t="str">
            <v>BARRIO JUAN XXIII</v>
          </cell>
          <cell r="E1176"/>
          <cell r="F1176"/>
          <cell r="G1176" t="str">
            <v>UNIDAD</v>
          </cell>
          <cell r="H1176">
            <v>1</v>
          </cell>
          <cell r="L1176">
            <v>1</v>
          </cell>
        </row>
        <row r="1177">
          <cell r="B1177" t="str">
            <v>T4 BD C16" CRA17 ENTRE CLL 99B Y 99A</v>
          </cell>
          <cell r="C1177" t="str">
            <v>DV_TOTALB</v>
          </cell>
          <cell r="D1177" t="str">
            <v>BARRIO JUAN XXIII</v>
          </cell>
          <cell r="E1177"/>
          <cell r="F1177"/>
          <cell r="G1177" t="str">
            <v>UNIDAD</v>
          </cell>
          <cell r="H1177">
            <v>1</v>
          </cell>
          <cell r="L1177">
            <v>1</v>
          </cell>
        </row>
        <row r="1178">
          <cell r="B1178" t="str">
            <v>T4 BD C16" CLL 99E</v>
          </cell>
          <cell r="C1178" t="str">
            <v>DV_TOTALB</v>
          </cell>
          <cell r="D1178" t="str">
            <v>BARRIO JUAN XXIII</v>
          </cell>
          <cell r="E1178"/>
          <cell r="F1178"/>
          <cell r="G1178" t="str">
            <v>UNIDAD</v>
          </cell>
          <cell r="H1178">
            <v>1</v>
          </cell>
          <cell r="L1178">
            <v>1</v>
          </cell>
        </row>
        <row r="1179">
          <cell r="B1179" t="str">
            <v>T4 BD C16" CRA17 ENTRE CLL 99B Y 99A</v>
          </cell>
          <cell r="C1179" t="str">
            <v>DV_TOTALB</v>
          </cell>
          <cell r="D1179" t="str">
            <v>BARRIO JUAN XXIII</v>
          </cell>
          <cell r="E1179"/>
          <cell r="F1179"/>
          <cell r="G1179" t="str">
            <v>UNIDAD</v>
          </cell>
          <cell r="H1179">
            <v>1</v>
          </cell>
          <cell r="L1179">
            <v>1</v>
          </cell>
        </row>
        <row r="1180">
          <cell r="B1180" t="str">
            <v>T5 BD C16" CRA20 ENTRE 102B Y 102D</v>
          </cell>
          <cell r="C1180" t="str">
            <v>DV_TOTALB</v>
          </cell>
          <cell r="D1180" t="str">
            <v>BARRIO JUAN XXIII</v>
          </cell>
          <cell r="E1180"/>
          <cell r="F1180"/>
          <cell r="G1180" t="str">
            <v>UNIDAD</v>
          </cell>
          <cell r="H1180">
            <v>1</v>
          </cell>
          <cell r="L1180">
            <v>1</v>
          </cell>
        </row>
        <row r="1181">
          <cell r="B1181" t="str">
            <v>T5 BD C16" CLL102B ENTRE CRA 20 Y 21</v>
          </cell>
          <cell r="C1181" t="str">
            <v>DV_TOTALB</v>
          </cell>
          <cell r="D1181" t="str">
            <v>BARRIO JUAN XXIII</v>
          </cell>
          <cell r="E1181"/>
          <cell r="F1181"/>
          <cell r="G1181" t="str">
            <v>UNIDAD</v>
          </cell>
          <cell r="H1181">
            <v>1</v>
          </cell>
          <cell r="L1181">
            <v>1</v>
          </cell>
        </row>
        <row r="1182">
          <cell r="B1182" t="str">
            <v>T5 BD C16" CLL102D ENTRE CRA 20 Y 21</v>
          </cell>
          <cell r="C1182" t="str">
            <v>DV_TOTALB</v>
          </cell>
          <cell r="D1182" t="str">
            <v>BARRIO JUAN XXIII</v>
          </cell>
          <cell r="E1182"/>
          <cell r="F1182"/>
          <cell r="G1182" t="str">
            <v>UNIDAD</v>
          </cell>
          <cell r="H1182">
            <v>1</v>
          </cell>
          <cell r="L1182">
            <v>1</v>
          </cell>
        </row>
        <row r="1183">
          <cell r="J1183" t="str">
            <v>VALOR TOTAL</v>
          </cell>
          <cell r="K1183"/>
          <cell r="L1183">
            <v>36</v>
          </cell>
        </row>
        <row r="1185">
          <cell r="B1185" t="str">
            <v>2.12</v>
          </cell>
          <cell r="C1185" t="str">
            <v>DESCRIPCION</v>
          </cell>
          <cell r="D1185"/>
          <cell r="E1185" t="str">
            <v>Lleno de material granular rio para cimiento de la tubería de la red de aguas lluvias</v>
          </cell>
          <cell r="F1185"/>
          <cell r="G1185"/>
          <cell r="H1185"/>
          <cell r="I1185" t="str">
            <v>UN</v>
          </cell>
          <cell r="J1185" t="str">
            <v>M3</v>
          </cell>
          <cell r="K1185" t="str">
            <v>CANTIDAD</v>
          </cell>
          <cell r="L1185">
            <v>1890</v>
          </cell>
        </row>
        <row r="1187">
          <cell r="B1187" t="str">
            <v>COD EP</v>
          </cell>
          <cell r="C1187" t="str">
            <v>COD EP</v>
          </cell>
          <cell r="D1187" t="str">
            <v>DESCRIPCION /LOCALIZACION</v>
          </cell>
          <cell r="E1187"/>
          <cell r="F1187"/>
          <cell r="G1187" t="str">
            <v>UNIDAD</v>
          </cell>
          <cell r="H1187" t="str">
            <v>CAN/UN</v>
          </cell>
          <cell r="I1187" t="str">
            <v>LARGO</v>
          </cell>
          <cell r="J1187" t="str">
            <v>ANCHO</v>
          </cell>
          <cell r="K1187" t="str">
            <v>ALTURA</v>
          </cell>
          <cell r="L1187" t="str">
            <v>CAN MED</v>
          </cell>
        </row>
        <row r="1188">
          <cell r="B1188" t="str">
            <v xml:space="preserve">TUBERIA 300MM </v>
          </cell>
          <cell r="C1188"/>
          <cell r="D1188" t="str">
            <v>TODAS LAS VIAS</v>
          </cell>
          <cell r="E1188"/>
          <cell r="F1188"/>
          <cell r="G1188" t="str">
            <v>M3</v>
          </cell>
          <cell r="H1188">
            <v>1</v>
          </cell>
          <cell r="I1188">
            <v>1797</v>
          </cell>
          <cell r="J1188">
            <v>0.6</v>
          </cell>
          <cell r="K1188">
            <v>0.5</v>
          </cell>
          <cell r="L1188">
            <v>539.1</v>
          </cell>
        </row>
        <row r="1189">
          <cell r="B1189" t="str">
            <v xml:space="preserve">TUBERIA 400MM </v>
          </cell>
          <cell r="C1189"/>
          <cell r="D1189" t="str">
            <v>TODAS LAS VIAS</v>
          </cell>
          <cell r="E1189"/>
          <cell r="F1189"/>
          <cell r="G1189" t="str">
            <v>M3</v>
          </cell>
          <cell r="H1189">
            <v>1</v>
          </cell>
          <cell r="I1189">
            <v>1428.02</v>
          </cell>
          <cell r="J1189">
            <v>0.6</v>
          </cell>
          <cell r="K1189">
            <v>0.6</v>
          </cell>
          <cell r="L1189">
            <v>514.08719999999994</v>
          </cell>
        </row>
        <row r="1190">
          <cell r="B1190" t="str">
            <v xml:space="preserve">TUBERIA 450MM </v>
          </cell>
          <cell r="C1190"/>
          <cell r="D1190" t="str">
            <v>TODAS LAS VIAS</v>
          </cell>
          <cell r="E1190"/>
          <cell r="F1190"/>
          <cell r="G1190" t="str">
            <v>M3</v>
          </cell>
          <cell r="H1190">
            <v>1</v>
          </cell>
          <cell r="I1190">
            <v>1228.6500000000001</v>
          </cell>
          <cell r="J1190">
            <v>0.6</v>
          </cell>
          <cell r="K1190">
            <v>0.65</v>
          </cell>
          <cell r="L1190">
            <v>479.17350000000005</v>
          </cell>
        </row>
        <row r="1191">
          <cell r="B1191" t="str">
            <v xml:space="preserve">TUBERIA 600MM </v>
          </cell>
          <cell r="C1191"/>
          <cell r="D1191" t="str">
            <v>TODAS LAS VIAS</v>
          </cell>
          <cell r="E1191"/>
          <cell r="F1191"/>
          <cell r="G1191" t="str">
            <v>M3</v>
          </cell>
          <cell r="H1191">
            <v>1</v>
          </cell>
          <cell r="I1191">
            <v>559.51</v>
          </cell>
          <cell r="J1191">
            <v>0.8</v>
          </cell>
          <cell r="K1191">
            <v>0.8</v>
          </cell>
          <cell r="L1191">
            <v>358.08640000000003</v>
          </cell>
        </row>
        <row r="1192">
          <cell r="J1192" t="str">
            <v>VALOR TOTAL</v>
          </cell>
          <cell r="K1192"/>
          <cell r="L1192">
            <v>1890.4470999999999</v>
          </cell>
        </row>
        <row r="1194">
          <cell r="B1194" t="str">
            <v>2.13</v>
          </cell>
          <cell r="C1194" t="str">
            <v>DESCRIPCION</v>
          </cell>
          <cell r="D1194"/>
          <cell r="E1194" t="str">
            <v xml:space="preserve">Lleno con material de préstamo tipo limo </v>
          </cell>
          <cell r="F1194"/>
          <cell r="G1194"/>
          <cell r="H1194"/>
          <cell r="I1194" t="str">
            <v>UN</v>
          </cell>
          <cell r="J1194" t="str">
            <v>M3</v>
          </cell>
          <cell r="K1194" t="str">
            <v>CANTIDAD</v>
          </cell>
          <cell r="L1194">
            <v>1527</v>
          </cell>
        </row>
        <row r="1196">
          <cell r="B1196" t="str">
            <v>COD EP</v>
          </cell>
          <cell r="C1196" t="str">
            <v>COD EP</v>
          </cell>
          <cell r="D1196" t="str">
            <v>DESCRIPCION /LOCALIZACION</v>
          </cell>
          <cell r="E1196"/>
          <cell r="F1196"/>
          <cell r="G1196" t="str">
            <v>UNIDAD</v>
          </cell>
          <cell r="H1196" t="str">
            <v>CAN/UN</v>
          </cell>
          <cell r="I1196" t="str">
            <v>LARGO</v>
          </cell>
          <cell r="J1196" t="str">
            <v>ANCHO</v>
          </cell>
          <cell r="K1196" t="str">
            <v>ALTURA</v>
          </cell>
          <cell r="L1196" t="str">
            <v>CAN MED</v>
          </cell>
        </row>
        <row r="1197">
          <cell r="B1197" t="str">
            <v xml:space="preserve">TUBERIA 300MM </v>
          </cell>
          <cell r="C1197"/>
          <cell r="D1197" t="str">
            <v>TODAS LAS VIAS</v>
          </cell>
          <cell r="E1197"/>
          <cell r="F1197"/>
          <cell r="G1197" t="str">
            <v>M3</v>
          </cell>
          <cell r="H1197">
            <v>1</v>
          </cell>
          <cell r="I1197">
            <v>1797</v>
          </cell>
          <cell r="J1197">
            <v>0.6</v>
          </cell>
          <cell r="K1197">
            <v>0.5</v>
          </cell>
          <cell r="L1197">
            <v>539.1</v>
          </cell>
        </row>
        <row r="1198">
          <cell r="B1198" t="str">
            <v xml:space="preserve">TUBERIA 400MM </v>
          </cell>
          <cell r="C1198"/>
          <cell r="D1198" t="str">
            <v>TODAS LAS VIAS</v>
          </cell>
          <cell r="E1198"/>
          <cell r="F1198"/>
          <cell r="G1198" t="str">
            <v>M3</v>
          </cell>
          <cell r="H1198">
            <v>1</v>
          </cell>
          <cell r="I1198">
            <v>1428.02</v>
          </cell>
          <cell r="J1198">
            <v>0.6</v>
          </cell>
          <cell r="K1198">
            <v>0.6</v>
          </cell>
          <cell r="L1198">
            <v>514.08719999999994</v>
          </cell>
        </row>
        <row r="1199">
          <cell r="B1199" t="str">
            <v xml:space="preserve">TUBERIA 450MM </v>
          </cell>
          <cell r="C1199"/>
          <cell r="D1199" t="str">
            <v>TODAS LAS VIAS</v>
          </cell>
          <cell r="E1199"/>
          <cell r="F1199"/>
          <cell r="G1199" t="str">
            <v>M3</v>
          </cell>
          <cell r="H1199">
            <v>1</v>
          </cell>
          <cell r="I1199">
            <v>1228.6500000000001</v>
          </cell>
          <cell r="J1199">
            <v>0.6</v>
          </cell>
          <cell r="K1199">
            <v>0.4</v>
          </cell>
          <cell r="L1199">
            <v>294.87600000000003</v>
          </cell>
        </row>
        <row r="1200">
          <cell r="B1200" t="str">
            <v xml:space="preserve">TUBERIA 600MM </v>
          </cell>
          <cell r="C1200"/>
          <cell r="D1200" t="str">
            <v>TODAS LAS VIAS</v>
          </cell>
          <cell r="E1200"/>
          <cell r="F1200"/>
          <cell r="G1200" t="str">
            <v>M3</v>
          </cell>
          <cell r="H1200">
            <v>1</v>
          </cell>
          <cell r="I1200">
            <v>559.51</v>
          </cell>
          <cell r="J1200">
            <v>0.8</v>
          </cell>
          <cell r="K1200">
            <v>0.4</v>
          </cell>
          <cell r="L1200">
            <v>179.04320000000001</v>
          </cell>
        </row>
        <row r="1201">
          <cell r="J1201" t="str">
            <v>VALOR TOTAL</v>
          </cell>
          <cell r="K1201"/>
          <cell r="L1201">
            <v>1527.1063999999999</v>
          </cell>
        </row>
        <row r="1203">
          <cell r="B1203" t="str">
            <v>2.14</v>
          </cell>
          <cell r="C1203" t="str">
            <v>DESCRIPCION</v>
          </cell>
          <cell r="D1203"/>
          <cell r="E1203" t="str">
            <v>Construcción de sumidero tipo b norma EPM</v>
          </cell>
          <cell r="F1203"/>
          <cell r="G1203"/>
          <cell r="H1203"/>
          <cell r="I1203" t="str">
            <v>UN</v>
          </cell>
          <cell r="J1203" t="str">
            <v>UNIDAD</v>
          </cell>
          <cell r="K1203" t="str">
            <v>CANTIDAD</v>
          </cell>
          <cell r="L1203">
            <v>426</v>
          </cell>
        </row>
        <row r="1205">
          <cell r="B1205" t="str">
            <v>COD EP</v>
          </cell>
          <cell r="C1205"/>
          <cell r="D1205" t="str">
            <v>DESCRIPCION /LOCALIZACION</v>
          </cell>
          <cell r="E1205"/>
          <cell r="F1205"/>
          <cell r="G1205" t="str">
            <v>UNIDAD</v>
          </cell>
          <cell r="H1205" t="str">
            <v>CAN/UN</v>
          </cell>
          <cell r="I1205" t="str">
            <v>LARGO</v>
          </cell>
          <cell r="J1205" t="str">
            <v>ANCHO</v>
          </cell>
          <cell r="K1205" t="str">
            <v>ALTURA</v>
          </cell>
          <cell r="L1205" t="str">
            <v>CAN MED</v>
          </cell>
        </row>
        <row r="1206">
          <cell r="B1206" t="str">
            <v>CRA 19 * 102C</v>
          </cell>
          <cell r="C1206" t="str">
            <v>DV_TOTALA</v>
          </cell>
          <cell r="D1206" t="str">
            <v>BARRIO CIUDADELA INDUSTRIAL</v>
          </cell>
          <cell r="E1206"/>
          <cell r="F1206"/>
          <cell r="G1206" t="str">
            <v>UNIDAD</v>
          </cell>
          <cell r="H1206">
            <v>2</v>
          </cell>
          <cell r="L1206">
            <v>2</v>
          </cell>
        </row>
        <row r="1207">
          <cell r="B1207" t="str">
            <v>CRA 20 * 102C</v>
          </cell>
          <cell r="C1207" t="str">
            <v>DV_TOTALA</v>
          </cell>
          <cell r="D1207" t="str">
            <v>BARRIO CIUDADELA INDUSTRIAL</v>
          </cell>
          <cell r="E1207"/>
          <cell r="F1207"/>
          <cell r="G1207" t="str">
            <v>UNIDAD</v>
          </cell>
          <cell r="H1207">
            <v>4</v>
          </cell>
          <cell r="L1207">
            <v>4</v>
          </cell>
        </row>
        <row r="1208">
          <cell r="B1208" t="str">
            <v xml:space="preserve">CRA 21 * 102C </v>
          </cell>
          <cell r="C1208" t="str">
            <v>DV_TOTALA</v>
          </cell>
          <cell r="D1208" t="str">
            <v>BARRIO CIUDADELA INDUSTRIAL</v>
          </cell>
          <cell r="E1208"/>
          <cell r="F1208"/>
          <cell r="G1208" t="str">
            <v>UNIDAD</v>
          </cell>
          <cell r="H1208">
            <v>2</v>
          </cell>
          <cell r="L1208">
            <v>2</v>
          </cell>
        </row>
        <row r="1209">
          <cell r="B1209" t="str">
            <v>CRA 19 * 102B</v>
          </cell>
          <cell r="C1209" t="str">
            <v>DV_TOTALA</v>
          </cell>
          <cell r="D1209" t="str">
            <v>BARRIO CIUDADELA INDUSTRIAL</v>
          </cell>
          <cell r="E1209"/>
          <cell r="F1209"/>
          <cell r="G1209" t="str">
            <v>UNIDAD</v>
          </cell>
          <cell r="H1209">
            <v>2</v>
          </cell>
          <cell r="L1209">
            <v>2</v>
          </cell>
        </row>
        <row r="1210">
          <cell r="B1210" t="str">
            <v>CRA 20 * 102B</v>
          </cell>
          <cell r="C1210" t="str">
            <v>DV_TOTALA</v>
          </cell>
          <cell r="D1210" t="str">
            <v>BARRIO CIUDADELA INDUSTRIAL</v>
          </cell>
          <cell r="E1210"/>
          <cell r="F1210"/>
          <cell r="G1210" t="str">
            <v>UNIDAD</v>
          </cell>
          <cell r="H1210">
            <v>4</v>
          </cell>
          <cell r="L1210">
            <v>4</v>
          </cell>
        </row>
        <row r="1211">
          <cell r="B1211" t="str">
            <v>CRA 21 * 102B</v>
          </cell>
          <cell r="C1211" t="str">
            <v>DV_TOTALA</v>
          </cell>
          <cell r="D1211" t="str">
            <v>BARRIO CIUDADELA INDUSTRIAL</v>
          </cell>
          <cell r="E1211"/>
          <cell r="F1211"/>
          <cell r="G1211" t="str">
            <v>UNIDAD</v>
          </cell>
          <cell r="H1211">
            <v>4</v>
          </cell>
          <cell r="L1211">
            <v>4</v>
          </cell>
        </row>
        <row r="1212">
          <cell r="B1212" t="str">
            <v>CRA 21A * 102B</v>
          </cell>
          <cell r="C1212" t="str">
            <v>DV_TOTALA</v>
          </cell>
          <cell r="D1212" t="str">
            <v>BARRIO CIUDADELA INDUSTRIAL</v>
          </cell>
          <cell r="E1212"/>
          <cell r="F1212"/>
          <cell r="G1212" t="str">
            <v>UNIDAD</v>
          </cell>
          <cell r="H1212">
            <v>2</v>
          </cell>
          <cell r="L1212">
            <v>2</v>
          </cell>
        </row>
        <row r="1213">
          <cell r="B1213" t="str">
            <v>CLL 102B * CRA 20</v>
          </cell>
          <cell r="C1213" t="str">
            <v>DV_TOTALA</v>
          </cell>
          <cell r="D1213" t="str">
            <v>BARRIO CIUDADELA INDUSTRIAL</v>
          </cell>
          <cell r="E1213"/>
          <cell r="F1213"/>
          <cell r="G1213" t="str">
            <v>UNIDAD</v>
          </cell>
          <cell r="H1213">
            <v>2</v>
          </cell>
          <cell r="L1213">
            <v>2</v>
          </cell>
        </row>
        <row r="1214">
          <cell r="B1214" t="str">
            <v>CLL 102C * CRA 20</v>
          </cell>
          <cell r="C1214" t="str">
            <v>DV_TOTALA</v>
          </cell>
          <cell r="D1214" t="str">
            <v>BARRIO CIUDADELA INDUSTRIAL</v>
          </cell>
          <cell r="E1214"/>
          <cell r="F1214"/>
          <cell r="G1214" t="str">
            <v>UNIDAD</v>
          </cell>
          <cell r="H1214">
            <v>4</v>
          </cell>
          <cell r="L1214">
            <v>4</v>
          </cell>
        </row>
        <row r="1215">
          <cell r="B1215" t="str">
            <v>CLL 102D * CRA 20</v>
          </cell>
          <cell r="C1215" t="str">
            <v>DV_TOTALA</v>
          </cell>
          <cell r="D1215" t="str">
            <v>BARRIO CIUDADELA INDUSTRIAL</v>
          </cell>
          <cell r="E1215"/>
          <cell r="F1215"/>
          <cell r="G1215" t="str">
            <v>UNIDAD</v>
          </cell>
          <cell r="H1215">
            <v>2</v>
          </cell>
          <cell r="L1215">
            <v>2</v>
          </cell>
        </row>
        <row r="1216">
          <cell r="B1216" t="str">
            <v>CLL 102B * CRA 21</v>
          </cell>
          <cell r="C1216" t="str">
            <v>DV_TOTALA</v>
          </cell>
          <cell r="D1216" t="str">
            <v>BARRIO CIUDADELA INDUSTRIAL</v>
          </cell>
          <cell r="E1216"/>
          <cell r="F1216"/>
          <cell r="G1216" t="str">
            <v>UNIDAD</v>
          </cell>
          <cell r="H1216">
            <v>2</v>
          </cell>
          <cell r="L1216">
            <v>2</v>
          </cell>
        </row>
        <row r="1217">
          <cell r="B1217" t="str">
            <v>CLL 102C * CRA 21</v>
          </cell>
          <cell r="C1217" t="str">
            <v>DV_TOTALA</v>
          </cell>
          <cell r="D1217" t="str">
            <v>BARRIO CIUDADELA INDUSTRIAL</v>
          </cell>
          <cell r="E1217"/>
          <cell r="F1217"/>
          <cell r="G1217" t="str">
            <v>UNIDAD</v>
          </cell>
          <cell r="H1217">
            <v>4</v>
          </cell>
          <cell r="L1217">
            <v>4</v>
          </cell>
        </row>
        <row r="1218">
          <cell r="B1218" t="str">
            <v>CLL 102D * CRA 21</v>
          </cell>
          <cell r="C1218" t="str">
            <v>DV_TOTALA</v>
          </cell>
          <cell r="D1218" t="str">
            <v>BARRIO CIUDADELA INDUSTRIAL</v>
          </cell>
          <cell r="E1218"/>
          <cell r="F1218"/>
          <cell r="G1218" t="str">
            <v>UNIDAD</v>
          </cell>
          <cell r="H1218">
            <v>2</v>
          </cell>
          <cell r="L1218">
            <v>2</v>
          </cell>
        </row>
        <row r="1219">
          <cell r="B1219" t="str">
            <v>CRA 20 * CALLE 102C</v>
          </cell>
          <cell r="C1219" t="str">
            <v>DV_TOTALA</v>
          </cell>
          <cell r="D1219" t="str">
            <v>BARRIO CIUDADELA INDUSTRIAL</v>
          </cell>
          <cell r="E1219"/>
          <cell r="F1219"/>
          <cell r="G1219" t="str">
            <v>UNIDAD</v>
          </cell>
          <cell r="H1219">
            <v>2</v>
          </cell>
          <cell r="L1219">
            <v>2</v>
          </cell>
        </row>
        <row r="1220">
          <cell r="B1220" t="str">
            <v>CRA 21* CALLE 102C</v>
          </cell>
          <cell r="C1220" t="str">
            <v>DV_TOTALA</v>
          </cell>
          <cell r="D1220" t="str">
            <v>BARRIO CIUDADELA INDUSTRIAL</v>
          </cell>
          <cell r="E1220"/>
          <cell r="F1220"/>
          <cell r="G1220" t="str">
            <v>UNIDAD</v>
          </cell>
          <cell r="H1220">
            <v>2</v>
          </cell>
          <cell r="L1220">
            <v>2</v>
          </cell>
        </row>
        <row r="1221">
          <cell r="B1221" t="str">
            <v>CRA 17 * CLL  102A</v>
          </cell>
          <cell r="C1221" t="str">
            <v>DV_TOTALB</v>
          </cell>
          <cell r="D1221" t="str">
            <v>BARRIO JUAN XXIII</v>
          </cell>
          <cell r="E1221"/>
          <cell r="F1221"/>
          <cell r="G1221" t="str">
            <v>UNIDAD</v>
          </cell>
          <cell r="H1221">
            <v>2</v>
          </cell>
          <cell r="L1221">
            <v>2</v>
          </cell>
        </row>
        <row r="1222">
          <cell r="B1222" t="str">
            <v>CRA 19 * CLL  102A</v>
          </cell>
          <cell r="C1222" t="str">
            <v>DV_TOTALB</v>
          </cell>
          <cell r="D1222" t="str">
            <v>BARRIO JUAN XXIII</v>
          </cell>
          <cell r="E1222"/>
          <cell r="F1222"/>
          <cell r="G1222" t="str">
            <v>UNIDAD</v>
          </cell>
          <cell r="H1222">
            <v>2</v>
          </cell>
          <cell r="L1222">
            <v>2</v>
          </cell>
        </row>
        <row r="1223">
          <cell r="B1223" t="str">
            <v>CRA 17 * CALLE 102B</v>
          </cell>
          <cell r="C1223" t="str">
            <v>DV_TOTALB</v>
          </cell>
          <cell r="D1223" t="str">
            <v>BARRIO JUAN XXIII</v>
          </cell>
          <cell r="E1223"/>
          <cell r="F1223"/>
          <cell r="G1223" t="str">
            <v>UNIDAD</v>
          </cell>
          <cell r="H1223">
            <v>2</v>
          </cell>
          <cell r="L1223">
            <v>2</v>
          </cell>
        </row>
        <row r="1224">
          <cell r="B1224" t="str">
            <v>CRA 19 * CALLE 102B</v>
          </cell>
          <cell r="C1224" t="str">
            <v>DV_TOTALB</v>
          </cell>
          <cell r="D1224" t="str">
            <v>BARRIO JUAN XXIII</v>
          </cell>
          <cell r="E1224"/>
          <cell r="F1224"/>
          <cell r="G1224" t="str">
            <v>UNIDAD</v>
          </cell>
          <cell r="H1224">
            <v>2</v>
          </cell>
          <cell r="L1224">
            <v>2</v>
          </cell>
        </row>
        <row r="1225">
          <cell r="B1225" t="str">
            <v>CRA 17 * CALLE 102</v>
          </cell>
          <cell r="C1225" t="str">
            <v>DV_TOTALB</v>
          </cell>
          <cell r="D1225" t="str">
            <v>BARRIO JUAN XXIII</v>
          </cell>
          <cell r="E1225"/>
          <cell r="F1225"/>
          <cell r="G1225" t="str">
            <v>UNIDAD</v>
          </cell>
          <cell r="H1225">
            <v>2</v>
          </cell>
          <cell r="L1225">
            <v>2</v>
          </cell>
        </row>
        <row r="1226">
          <cell r="B1226" t="str">
            <v>CRA 17A * CALLE 102</v>
          </cell>
          <cell r="C1226" t="str">
            <v>DV_TOTALB</v>
          </cell>
          <cell r="D1226" t="str">
            <v>BARRIO JUAN XXIII</v>
          </cell>
          <cell r="E1226"/>
          <cell r="F1226"/>
          <cell r="G1226" t="str">
            <v>UNIDAD</v>
          </cell>
          <cell r="H1226">
            <v>4</v>
          </cell>
          <cell r="L1226">
            <v>4</v>
          </cell>
        </row>
        <row r="1227">
          <cell r="B1227" t="str">
            <v>CRA 19 * CALLE 102</v>
          </cell>
          <cell r="C1227" t="str">
            <v>DV_TOTALB</v>
          </cell>
          <cell r="D1227" t="str">
            <v>BARRIO JUAN XXIII</v>
          </cell>
          <cell r="E1227"/>
          <cell r="F1227"/>
          <cell r="G1227" t="str">
            <v>UNIDAD</v>
          </cell>
          <cell r="H1227">
            <v>2</v>
          </cell>
          <cell r="L1227">
            <v>2</v>
          </cell>
        </row>
        <row r="1228">
          <cell r="B1228" t="str">
            <v>CRA 17 * CALLE 101</v>
          </cell>
          <cell r="C1228" t="str">
            <v>DV_TOTALB</v>
          </cell>
          <cell r="D1228" t="str">
            <v>BARRIO JUAN XXIII</v>
          </cell>
          <cell r="E1228"/>
          <cell r="F1228"/>
          <cell r="G1228" t="str">
            <v>UNIDAD</v>
          </cell>
          <cell r="H1228">
            <v>2</v>
          </cell>
          <cell r="L1228">
            <v>2</v>
          </cell>
        </row>
        <row r="1229">
          <cell r="B1229" t="str">
            <v>CRA 17A * CALLE 101</v>
          </cell>
          <cell r="C1229" t="str">
            <v>DV_TOTALB</v>
          </cell>
          <cell r="D1229" t="str">
            <v>BARRIO JUAN XXIII</v>
          </cell>
          <cell r="E1229"/>
          <cell r="F1229"/>
          <cell r="G1229" t="str">
            <v>UNIDAD</v>
          </cell>
          <cell r="H1229">
            <v>2</v>
          </cell>
          <cell r="L1229">
            <v>2</v>
          </cell>
        </row>
        <row r="1230">
          <cell r="B1230" t="str">
            <v>CLL 101 * CRA 17A</v>
          </cell>
          <cell r="C1230" t="str">
            <v>DV_TOTALB</v>
          </cell>
          <cell r="D1230" t="str">
            <v>BARRIO JUAN XXIII</v>
          </cell>
          <cell r="E1230"/>
          <cell r="F1230"/>
          <cell r="G1230" t="str">
            <v>UNIDAD</v>
          </cell>
          <cell r="H1230">
            <v>2</v>
          </cell>
          <cell r="L1230">
            <v>2</v>
          </cell>
        </row>
        <row r="1231">
          <cell r="B1231" t="str">
            <v>CLL 102 * CRA 17A</v>
          </cell>
          <cell r="C1231" t="str">
            <v>DV_TOTALB</v>
          </cell>
          <cell r="D1231" t="str">
            <v>BARRIO JUAN XXIII</v>
          </cell>
          <cell r="E1231"/>
          <cell r="F1231"/>
          <cell r="G1231" t="str">
            <v>UNIDAD</v>
          </cell>
          <cell r="H1231">
            <v>2</v>
          </cell>
          <cell r="L1231">
            <v>2</v>
          </cell>
        </row>
        <row r="1232">
          <cell r="B1232" t="str">
            <v>CLL 100 * CRA 17</v>
          </cell>
          <cell r="C1232" t="str">
            <v>DV_TOTALB</v>
          </cell>
          <cell r="D1232" t="str">
            <v>BARRIO JUAN XXIII</v>
          </cell>
          <cell r="E1232"/>
          <cell r="F1232"/>
          <cell r="G1232" t="str">
            <v>UNIDAD</v>
          </cell>
          <cell r="H1232">
            <v>2</v>
          </cell>
          <cell r="L1232">
            <v>2</v>
          </cell>
        </row>
        <row r="1233">
          <cell r="B1233" t="str">
            <v>CLL 101 * CRA 17</v>
          </cell>
          <cell r="C1233" t="str">
            <v>DV_TOTALB</v>
          </cell>
          <cell r="D1233" t="str">
            <v>BARRIO JUAN XXIII</v>
          </cell>
          <cell r="E1233"/>
          <cell r="F1233"/>
          <cell r="G1233" t="str">
            <v>UNIDAD</v>
          </cell>
          <cell r="H1233">
            <v>4</v>
          </cell>
          <cell r="L1233">
            <v>4</v>
          </cell>
        </row>
        <row r="1234">
          <cell r="B1234" t="str">
            <v>CLL 102 * CRA 17</v>
          </cell>
          <cell r="C1234" t="str">
            <v>DV_TOTALB</v>
          </cell>
          <cell r="D1234" t="str">
            <v>BARRIO JUAN XXIII</v>
          </cell>
          <cell r="E1234"/>
          <cell r="F1234"/>
          <cell r="G1234" t="str">
            <v>UNIDAD</v>
          </cell>
          <cell r="H1234">
            <v>4</v>
          </cell>
          <cell r="L1234">
            <v>4</v>
          </cell>
        </row>
        <row r="1235">
          <cell r="B1235" t="str">
            <v>CLL 102A * CRA 17</v>
          </cell>
          <cell r="C1235" t="str">
            <v>DV_TOTALB</v>
          </cell>
          <cell r="D1235" t="str">
            <v>BARRIO JUAN XXIII</v>
          </cell>
          <cell r="E1235"/>
          <cell r="F1235"/>
          <cell r="G1235" t="str">
            <v>UNIDAD</v>
          </cell>
          <cell r="H1235">
            <v>4</v>
          </cell>
          <cell r="L1235">
            <v>4</v>
          </cell>
        </row>
        <row r="1236">
          <cell r="B1236" t="str">
            <v>CLL 102B * CRA 17</v>
          </cell>
          <cell r="C1236" t="str">
            <v>DV_TOTALB</v>
          </cell>
          <cell r="D1236" t="str">
            <v>BARRIO JUAN XXIII</v>
          </cell>
          <cell r="E1236"/>
          <cell r="F1236"/>
          <cell r="G1236" t="str">
            <v>UNIDAD</v>
          </cell>
          <cell r="H1236">
            <v>2</v>
          </cell>
          <cell r="L1236">
            <v>2</v>
          </cell>
        </row>
        <row r="1237">
          <cell r="B1237" t="str">
            <v>LOTE *CLL99E</v>
          </cell>
          <cell r="C1237" t="str">
            <v>DV_TOTALC</v>
          </cell>
          <cell r="D1237" t="str">
            <v>BARRIO LAS DELICIAS</v>
          </cell>
          <cell r="E1237"/>
          <cell r="F1237"/>
          <cell r="G1237" t="str">
            <v>UNIDAD</v>
          </cell>
          <cell r="H1237">
            <v>2</v>
          </cell>
          <cell r="L1237">
            <v>2</v>
          </cell>
        </row>
        <row r="1238">
          <cell r="B1238" t="str">
            <v>CRA 16A * CLL 99E</v>
          </cell>
          <cell r="C1238" t="str">
            <v>DV_TOTALC</v>
          </cell>
          <cell r="D1238" t="str">
            <v>BARRIO LAS DELICIAS</v>
          </cell>
          <cell r="E1238"/>
          <cell r="F1238"/>
          <cell r="G1238" t="str">
            <v>UNIDAD</v>
          </cell>
          <cell r="H1238">
            <v>4</v>
          </cell>
          <cell r="L1238">
            <v>4</v>
          </cell>
        </row>
        <row r="1239">
          <cell r="B1239" t="str">
            <v>CRA 17 * CLL 99E</v>
          </cell>
          <cell r="C1239" t="str">
            <v>DV_TOTALC</v>
          </cell>
          <cell r="D1239" t="str">
            <v>BARRIO LAS DELICIAS</v>
          </cell>
          <cell r="E1239"/>
          <cell r="F1239"/>
          <cell r="G1239" t="str">
            <v>UNIDAD</v>
          </cell>
          <cell r="H1239">
            <v>2</v>
          </cell>
          <cell r="L1239">
            <v>2</v>
          </cell>
        </row>
        <row r="1240">
          <cell r="B1240" t="str">
            <v>CRA 16A * CLL 99D</v>
          </cell>
          <cell r="C1240" t="str">
            <v>DV_TOTALC</v>
          </cell>
          <cell r="D1240" t="str">
            <v>BARRIO LAS DELICIAS</v>
          </cell>
          <cell r="E1240"/>
          <cell r="F1240"/>
          <cell r="G1240" t="str">
            <v>UNIDAD</v>
          </cell>
          <cell r="H1240">
            <v>2</v>
          </cell>
          <cell r="L1240">
            <v>2</v>
          </cell>
        </row>
        <row r="1241">
          <cell r="B1241" t="str">
            <v>CRA 17 * CLL 99D</v>
          </cell>
          <cell r="C1241" t="str">
            <v>DV_TOTALC</v>
          </cell>
          <cell r="D1241" t="str">
            <v>BARRIO LAS DELICIAS</v>
          </cell>
          <cell r="E1241"/>
          <cell r="F1241"/>
          <cell r="G1241" t="str">
            <v>UNIDAD</v>
          </cell>
          <cell r="H1241">
            <v>2</v>
          </cell>
          <cell r="L1241">
            <v>2</v>
          </cell>
        </row>
        <row r="1242">
          <cell r="B1242" t="str">
            <v>CRA 16A * CLL 99C</v>
          </cell>
          <cell r="C1242" t="str">
            <v>DV_TOTALC</v>
          </cell>
          <cell r="D1242" t="str">
            <v>BARRIO LAS DELICIAS</v>
          </cell>
          <cell r="E1242"/>
          <cell r="F1242"/>
          <cell r="G1242" t="str">
            <v>UNIDAD</v>
          </cell>
          <cell r="H1242">
            <v>2</v>
          </cell>
          <cell r="L1242">
            <v>2</v>
          </cell>
        </row>
        <row r="1243">
          <cell r="B1243" t="str">
            <v>CRA 17 * CLL 99C</v>
          </cell>
          <cell r="C1243" t="str">
            <v>DV_TOTALC</v>
          </cell>
          <cell r="D1243" t="str">
            <v>BARRIO LAS DELICIAS</v>
          </cell>
          <cell r="E1243"/>
          <cell r="F1243"/>
          <cell r="G1243" t="str">
            <v>UNIDAD</v>
          </cell>
          <cell r="H1243">
            <v>2</v>
          </cell>
          <cell r="L1243">
            <v>2</v>
          </cell>
        </row>
        <row r="1244">
          <cell r="B1244" t="str">
            <v>CRA 16A</v>
          </cell>
          <cell r="C1244" t="str">
            <v>DV_TOTALC</v>
          </cell>
          <cell r="D1244" t="str">
            <v>BARRIO LAS DELICIAS</v>
          </cell>
          <cell r="E1244"/>
          <cell r="F1244"/>
          <cell r="G1244" t="str">
            <v>UNIDAD</v>
          </cell>
          <cell r="H1244">
            <v>2</v>
          </cell>
          <cell r="L1244">
            <v>2</v>
          </cell>
        </row>
        <row r="1245">
          <cell r="B1245" t="str">
            <v>CRA 17 * CALLE 99B</v>
          </cell>
          <cell r="C1245" t="str">
            <v>DV_TOTALC</v>
          </cell>
          <cell r="D1245" t="str">
            <v>BARRIO LAS DELICIAS</v>
          </cell>
          <cell r="E1245"/>
          <cell r="F1245"/>
          <cell r="G1245" t="str">
            <v>UNIDAD</v>
          </cell>
          <cell r="H1245">
            <v>2</v>
          </cell>
          <cell r="L1245">
            <v>2</v>
          </cell>
        </row>
        <row r="1246">
          <cell r="B1246" t="str">
            <v>CRA 16 * CALLE 99A</v>
          </cell>
          <cell r="C1246" t="str">
            <v>DV_TOTALC</v>
          </cell>
          <cell r="D1246" t="str">
            <v>BARRIO LAS DELICIAS</v>
          </cell>
          <cell r="E1246"/>
          <cell r="F1246"/>
          <cell r="G1246" t="str">
            <v>UNIDAD</v>
          </cell>
          <cell r="H1246">
            <v>2</v>
          </cell>
          <cell r="L1246">
            <v>2</v>
          </cell>
        </row>
        <row r="1247">
          <cell r="B1247" t="str">
            <v>CRA 16A * CALLE 99A</v>
          </cell>
          <cell r="C1247" t="str">
            <v>DV_TOTALC</v>
          </cell>
          <cell r="D1247" t="str">
            <v>BARRIO LAS DELICIAS</v>
          </cell>
          <cell r="E1247"/>
          <cell r="F1247"/>
          <cell r="G1247" t="str">
            <v>UNIDAD</v>
          </cell>
          <cell r="H1247">
            <v>4</v>
          </cell>
          <cell r="L1247">
            <v>4</v>
          </cell>
        </row>
        <row r="1248">
          <cell r="B1248" t="str">
            <v xml:space="preserve">CRA 17 * CALLE 99A  </v>
          </cell>
          <cell r="C1248" t="str">
            <v>DV_TOTALC</v>
          </cell>
          <cell r="D1248" t="str">
            <v>BARRIO LAS DELICIAS</v>
          </cell>
          <cell r="E1248"/>
          <cell r="F1248"/>
          <cell r="G1248" t="str">
            <v>UNIDAD</v>
          </cell>
          <cell r="H1248">
            <v>4</v>
          </cell>
          <cell r="L1248">
            <v>4</v>
          </cell>
        </row>
        <row r="1249">
          <cell r="B1249" t="str">
            <v>CRA 19 * CALLE 99A</v>
          </cell>
          <cell r="C1249" t="str">
            <v>DV_TOTALC</v>
          </cell>
          <cell r="D1249" t="str">
            <v>BARRIO LAS DELICIAS</v>
          </cell>
          <cell r="E1249"/>
          <cell r="F1249"/>
          <cell r="G1249" t="str">
            <v>UNIDAD</v>
          </cell>
          <cell r="H1249">
            <v>2</v>
          </cell>
          <cell r="L1249">
            <v>2</v>
          </cell>
        </row>
        <row r="1250">
          <cell r="B1250" t="str">
            <v>CRA 17 * CALLE 99C</v>
          </cell>
          <cell r="C1250" t="str">
            <v>DV_TOTALC</v>
          </cell>
          <cell r="D1250" t="str">
            <v>BARRIO LAS DELICIAS</v>
          </cell>
          <cell r="E1250"/>
          <cell r="F1250"/>
          <cell r="G1250" t="str">
            <v>UNIDAD</v>
          </cell>
          <cell r="H1250">
            <v>2</v>
          </cell>
          <cell r="L1250">
            <v>2</v>
          </cell>
        </row>
        <row r="1251">
          <cell r="B1251" t="str">
            <v>CRA 19 * CALLE 99C</v>
          </cell>
          <cell r="C1251" t="str">
            <v>DV_TOTALC</v>
          </cell>
          <cell r="D1251" t="str">
            <v>BARRIO LAS DELICIAS</v>
          </cell>
          <cell r="E1251"/>
          <cell r="F1251"/>
          <cell r="G1251" t="str">
            <v>UNIDAD</v>
          </cell>
          <cell r="H1251">
            <v>2</v>
          </cell>
          <cell r="L1251">
            <v>2</v>
          </cell>
        </row>
        <row r="1252">
          <cell r="B1252" t="str">
            <v>CLL99 * CRA 17</v>
          </cell>
          <cell r="C1252" t="str">
            <v>DV_TOTALC</v>
          </cell>
          <cell r="D1252" t="str">
            <v>BARRIO LAS DELICIAS</v>
          </cell>
          <cell r="E1252"/>
          <cell r="F1252"/>
          <cell r="G1252" t="str">
            <v>UNIDAD</v>
          </cell>
          <cell r="H1252">
            <v>2</v>
          </cell>
          <cell r="L1252">
            <v>2</v>
          </cell>
        </row>
        <row r="1253">
          <cell r="B1253" t="str">
            <v>CLL99AA * CRA 17</v>
          </cell>
          <cell r="C1253" t="str">
            <v>DV_TOTALC</v>
          </cell>
          <cell r="D1253" t="str">
            <v>BARRIO LAS DELICIAS</v>
          </cell>
          <cell r="E1253"/>
          <cell r="F1253"/>
          <cell r="G1253" t="str">
            <v>UNIDAD</v>
          </cell>
          <cell r="H1253">
            <v>4</v>
          </cell>
          <cell r="L1253">
            <v>4</v>
          </cell>
        </row>
        <row r="1254">
          <cell r="B1254" t="str">
            <v>CLL99A * CRA 17</v>
          </cell>
          <cell r="C1254" t="str">
            <v>DV_TOTALC</v>
          </cell>
          <cell r="D1254" t="str">
            <v>BARRIO LAS DELICIAS</v>
          </cell>
          <cell r="E1254"/>
          <cell r="F1254"/>
          <cell r="G1254" t="str">
            <v>UNIDAD</v>
          </cell>
          <cell r="H1254">
            <v>4</v>
          </cell>
          <cell r="L1254">
            <v>4</v>
          </cell>
        </row>
        <row r="1255">
          <cell r="B1255" t="str">
            <v>CLL99B * CRA 17</v>
          </cell>
          <cell r="C1255" t="str">
            <v>DV_TOTALC</v>
          </cell>
          <cell r="D1255" t="str">
            <v>BARRIO LAS DELICIAS</v>
          </cell>
          <cell r="E1255"/>
          <cell r="F1255"/>
          <cell r="G1255" t="str">
            <v>UNIDAD</v>
          </cell>
          <cell r="H1255">
            <v>4</v>
          </cell>
          <cell r="L1255">
            <v>4</v>
          </cell>
        </row>
        <row r="1256">
          <cell r="B1256" t="str">
            <v>CLL99E * CRA 17</v>
          </cell>
          <cell r="C1256" t="str">
            <v>DV_TOTALC</v>
          </cell>
          <cell r="D1256" t="str">
            <v>BARRIO LAS DELICIAS</v>
          </cell>
          <cell r="E1256"/>
          <cell r="F1256"/>
          <cell r="G1256" t="str">
            <v>UNIDAD</v>
          </cell>
          <cell r="H1256">
            <v>4</v>
          </cell>
          <cell r="L1256">
            <v>4</v>
          </cell>
        </row>
        <row r="1257">
          <cell r="B1257" t="str">
            <v>CLL99F * CRA 17</v>
          </cell>
          <cell r="C1257" t="str">
            <v>DV_TOTALC</v>
          </cell>
          <cell r="D1257" t="str">
            <v>BARRIO LAS DELICIAS</v>
          </cell>
          <cell r="E1257"/>
          <cell r="F1257"/>
          <cell r="G1257" t="str">
            <v>UNIDAD</v>
          </cell>
          <cell r="H1257">
            <v>4</v>
          </cell>
          <cell r="L1257">
            <v>4</v>
          </cell>
        </row>
        <row r="1258">
          <cell r="B1258" t="str">
            <v>CLL100 * CRA 17</v>
          </cell>
          <cell r="C1258" t="str">
            <v>DV_TOTALC</v>
          </cell>
          <cell r="D1258" t="str">
            <v>BARRIO LAS DELICIAS</v>
          </cell>
          <cell r="E1258"/>
          <cell r="F1258"/>
          <cell r="G1258" t="str">
            <v>UNIDAD</v>
          </cell>
          <cell r="H1258">
            <v>2</v>
          </cell>
          <cell r="L1258">
            <v>2</v>
          </cell>
        </row>
        <row r="1259">
          <cell r="B1259" t="str">
            <v>CLL99  * CRA 17A</v>
          </cell>
          <cell r="C1259" t="str">
            <v>DV_TOTALC</v>
          </cell>
          <cell r="D1259" t="str">
            <v>BARRIO LAS DELICIAS</v>
          </cell>
          <cell r="E1259"/>
          <cell r="F1259"/>
          <cell r="G1259" t="str">
            <v>UNIDAD</v>
          </cell>
          <cell r="H1259">
            <v>2</v>
          </cell>
          <cell r="L1259">
            <v>2</v>
          </cell>
        </row>
        <row r="1260">
          <cell r="B1260" t="str">
            <v>CLL99AA * CRA 17A</v>
          </cell>
          <cell r="C1260" t="str">
            <v>DV_TOTALC</v>
          </cell>
          <cell r="D1260" t="str">
            <v>BARRIO LAS DELICIAS</v>
          </cell>
          <cell r="E1260"/>
          <cell r="F1260"/>
          <cell r="G1260" t="str">
            <v>UNIDAD</v>
          </cell>
          <cell r="H1260">
            <v>4</v>
          </cell>
          <cell r="L1260">
            <v>4</v>
          </cell>
        </row>
        <row r="1261">
          <cell r="B1261" t="str">
            <v>CLL99A * CRA 17A</v>
          </cell>
          <cell r="C1261" t="str">
            <v>DV_TOTALC</v>
          </cell>
          <cell r="D1261" t="str">
            <v>BARRIO LAS DELICIAS</v>
          </cell>
          <cell r="E1261"/>
          <cell r="F1261"/>
          <cell r="G1261" t="str">
            <v>UNIDAD</v>
          </cell>
          <cell r="H1261">
            <v>4</v>
          </cell>
          <cell r="L1261">
            <v>4</v>
          </cell>
        </row>
        <row r="1262">
          <cell r="B1262" t="str">
            <v>CLL99B * CRA 17A</v>
          </cell>
          <cell r="C1262" t="str">
            <v>DV_TOTALC</v>
          </cell>
          <cell r="D1262" t="str">
            <v>BARRIO LAS DELICIAS</v>
          </cell>
          <cell r="E1262"/>
          <cell r="F1262"/>
          <cell r="G1262" t="str">
            <v>UNIDAD</v>
          </cell>
          <cell r="H1262">
            <v>2</v>
          </cell>
          <cell r="L1262">
            <v>2</v>
          </cell>
        </row>
        <row r="1263">
          <cell r="B1263" t="str">
            <v>CRA 19 * CLL97A</v>
          </cell>
          <cell r="C1263" t="str">
            <v>DV_TOTALD</v>
          </cell>
          <cell r="D1263" t="str">
            <v>BARRIO EL BOSQUE</v>
          </cell>
          <cell r="E1263"/>
          <cell r="F1263"/>
          <cell r="G1263" t="str">
            <v>UNIDAD</v>
          </cell>
          <cell r="H1263">
            <v>2</v>
          </cell>
          <cell r="L1263">
            <v>2</v>
          </cell>
        </row>
        <row r="1264">
          <cell r="B1264" t="str">
            <v xml:space="preserve">CRA 20 * CLL97A  </v>
          </cell>
          <cell r="C1264" t="str">
            <v>DV_TOTALD</v>
          </cell>
          <cell r="D1264" t="str">
            <v>BARRIO EL BOSQUE</v>
          </cell>
          <cell r="E1264"/>
          <cell r="F1264"/>
          <cell r="G1264" t="str">
            <v>UNIDAD</v>
          </cell>
          <cell r="H1264">
            <v>4</v>
          </cell>
          <cell r="L1264">
            <v>4</v>
          </cell>
        </row>
        <row r="1265">
          <cell r="B1265" t="str">
            <v>CRA 21 * CLL97A</v>
          </cell>
          <cell r="C1265" t="str">
            <v>DV_TOTALD</v>
          </cell>
          <cell r="D1265" t="str">
            <v>BARRIO EL BOSQUE</v>
          </cell>
          <cell r="E1265"/>
          <cell r="F1265"/>
          <cell r="G1265" t="str">
            <v>UNIDAD</v>
          </cell>
          <cell r="H1265">
            <v>4</v>
          </cell>
          <cell r="L1265">
            <v>4</v>
          </cell>
        </row>
        <row r="1266">
          <cell r="B1266" t="str">
            <v>CRA 22 * CLL97A</v>
          </cell>
          <cell r="C1266" t="str">
            <v>DV_TOTALD</v>
          </cell>
          <cell r="D1266" t="str">
            <v>BARRIO EL BOSQUE</v>
          </cell>
          <cell r="E1266"/>
          <cell r="F1266"/>
          <cell r="G1266" t="str">
            <v>UNIDAD</v>
          </cell>
          <cell r="H1266">
            <v>4</v>
          </cell>
          <cell r="L1266">
            <v>4</v>
          </cell>
        </row>
        <row r="1267">
          <cell r="B1267" t="str">
            <v>CRA 15 * CLL97</v>
          </cell>
          <cell r="C1267" t="str">
            <v>DV_TOTALD</v>
          </cell>
          <cell r="D1267" t="str">
            <v>BARRIO EL BOSQUE</v>
          </cell>
          <cell r="E1267"/>
          <cell r="F1267"/>
          <cell r="G1267" t="str">
            <v>UNIDAD</v>
          </cell>
          <cell r="H1267">
            <v>2</v>
          </cell>
          <cell r="L1267">
            <v>2</v>
          </cell>
        </row>
        <row r="1268">
          <cell r="B1268" t="str">
            <v>CRA 16 * CLL97</v>
          </cell>
          <cell r="C1268" t="str">
            <v>DV_TOTALD</v>
          </cell>
          <cell r="D1268" t="str">
            <v>BARRIO EL BOSQUE</v>
          </cell>
          <cell r="E1268"/>
          <cell r="F1268"/>
          <cell r="G1268" t="str">
            <v>UNIDAD</v>
          </cell>
          <cell r="H1268">
            <v>4</v>
          </cell>
          <cell r="L1268">
            <v>4</v>
          </cell>
        </row>
        <row r="1269">
          <cell r="B1269" t="str">
            <v>CRA 17 * CLL97</v>
          </cell>
          <cell r="C1269" t="str">
            <v>DV_TOTALD</v>
          </cell>
          <cell r="D1269" t="str">
            <v>BARRIO EL BOSQUE</v>
          </cell>
          <cell r="E1269"/>
          <cell r="F1269"/>
          <cell r="G1269" t="str">
            <v>UNIDAD</v>
          </cell>
          <cell r="H1269">
            <v>4</v>
          </cell>
          <cell r="L1269">
            <v>4</v>
          </cell>
        </row>
        <row r="1270">
          <cell r="B1270" t="str">
            <v>CRA 19 * CLL97</v>
          </cell>
          <cell r="C1270" t="str">
            <v>DV_TOTALD</v>
          </cell>
          <cell r="D1270" t="str">
            <v>BARRIO EL BOSQUE</v>
          </cell>
          <cell r="E1270"/>
          <cell r="F1270"/>
          <cell r="G1270" t="str">
            <v>UNIDAD</v>
          </cell>
          <cell r="H1270">
            <v>4</v>
          </cell>
          <cell r="L1270">
            <v>4</v>
          </cell>
        </row>
        <row r="1271">
          <cell r="B1271" t="str">
            <v>CRA 20 * CLL97</v>
          </cell>
          <cell r="C1271" t="str">
            <v>DV_TOTALD</v>
          </cell>
          <cell r="D1271" t="str">
            <v>BARRIO EL BOSQUE</v>
          </cell>
          <cell r="E1271"/>
          <cell r="F1271"/>
          <cell r="G1271" t="str">
            <v>UNIDAD</v>
          </cell>
          <cell r="H1271">
            <v>4</v>
          </cell>
          <cell r="L1271">
            <v>4</v>
          </cell>
        </row>
        <row r="1272">
          <cell r="B1272" t="str">
            <v>CRA 21 * CLL97</v>
          </cell>
          <cell r="C1272" t="str">
            <v>DV_TOTALD</v>
          </cell>
          <cell r="D1272" t="str">
            <v>BARRIO EL BOSQUE</v>
          </cell>
          <cell r="E1272"/>
          <cell r="F1272"/>
          <cell r="G1272" t="str">
            <v>UNIDAD</v>
          </cell>
          <cell r="H1272">
            <v>4</v>
          </cell>
          <cell r="L1272">
            <v>4</v>
          </cell>
        </row>
        <row r="1273">
          <cell r="B1273" t="str">
            <v>CRA 21 * CLL97</v>
          </cell>
          <cell r="C1273" t="str">
            <v>DV_TOTALD</v>
          </cell>
          <cell r="D1273" t="str">
            <v>BARRIO EL BOSQUE</v>
          </cell>
          <cell r="E1273"/>
          <cell r="F1273"/>
          <cell r="G1273" t="str">
            <v>UNIDAD</v>
          </cell>
          <cell r="H1273">
            <v>4</v>
          </cell>
          <cell r="L1273">
            <v>4</v>
          </cell>
        </row>
        <row r="1274">
          <cell r="B1274" t="str">
            <v>CRA 22 * CLL97</v>
          </cell>
          <cell r="C1274" t="str">
            <v>DV_TOTALD</v>
          </cell>
          <cell r="D1274" t="str">
            <v>BARRIO EL BOSQUE</v>
          </cell>
          <cell r="E1274"/>
          <cell r="F1274"/>
          <cell r="G1274" t="str">
            <v>UNIDAD</v>
          </cell>
          <cell r="H1274">
            <v>4</v>
          </cell>
          <cell r="L1274">
            <v>4</v>
          </cell>
        </row>
        <row r="1275">
          <cell r="B1275" t="str">
            <v>CRA 15 * CLL96A</v>
          </cell>
          <cell r="C1275" t="str">
            <v>DV_TOTALD</v>
          </cell>
          <cell r="D1275" t="str">
            <v>BARRIO EL BOSQUE</v>
          </cell>
          <cell r="E1275"/>
          <cell r="F1275"/>
          <cell r="G1275" t="str">
            <v>UNIDAD</v>
          </cell>
          <cell r="H1275">
            <v>2</v>
          </cell>
          <cell r="L1275">
            <v>2</v>
          </cell>
        </row>
        <row r="1276">
          <cell r="B1276" t="str">
            <v>CRA 17 * CLL96A</v>
          </cell>
          <cell r="C1276" t="str">
            <v>DV_TOTALD</v>
          </cell>
          <cell r="D1276" t="str">
            <v>BARRIO EL BOSQUE</v>
          </cell>
          <cell r="E1276"/>
          <cell r="F1276"/>
          <cell r="G1276" t="str">
            <v>UNIDAD</v>
          </cell>
          <cell r="H1276">
            <v>4</v>
          </cell>
          <cell r="L1276">
            <v>4</v>
          </cell>
        </row>
        <row r="1277">
          <cell r="B1277" t="str">
            <v>CRA 19 * CLL96A</v>
          </cell>
          <cell r="C1277" t="str">
            <v>DV_TOTALD</v>
          </cell>
          <cell r="D1277" t="str">
            <v>BARRIO EL BOSQUE</v>
          </cell>
          <cell r="E1277"/>
          <cell r="F1277"/>
          <cell r="G1277" t="str">
            <v>UNIDAD</v>
          </cell>
          <cell r="H1277">
            <v>4</v>
          </cell>
          <cell r="L1277">
            <v>4</v>
          </cell>
        </row>
        <row r="1278">
          <cell r="B1278" t="str">
            <v>CRA 20 * CLL96A</v>
          </cell>
          <cell r="C1278" t="str">
            <v>DV_TOTALD</v>
          </cell>
          <cell r="D1278" t="str">
            <v>BARRIO EL BOSQUE</v>
          </cell>
          <cell r="E1278"/>
          <cell r="F1278"/>
          <cell r="G1278" t="str">
            <v>UNIDAD</v>
          </cell>
          <cell r="H1278">
            <v>4</v>
          </cell>
          <cell r="L1278">
            <v>4</v>
          </cell>
        </row>
        <row r="1279">
          <cell r="B1279" t="str">
            <v>CRA 21 * CLL96A</v>
          </cell>
          <cell r="C1279" t="str">
            <v>DV_TOTALD</v>
          </cell>
          <cell r="D1279" t="str">
            <v>BARRIO EL BOSQUE</v>
          </cell>
          <cell r="E1279"/>
          <cell r="F1279"/>
          <cell r="G1279" t="str">
            <v>UNIDAD</v>
          </cell>
          <cell r="H1279">
            <v>4</v>
          </cell>
          <cell r="L1279">
            <v>4</v>
          </cell>
        </row>
        <row r="1280">
          <cell r="B1280" t="str">
            <v>CRA 22 * CLL96A</v>
          </cell>
          <cell r="C1280" t="str">
            <v>DV_TOTALD</v>
          </cell>
          <cell r="D1280" t="str">
            <v>BARRIO EL BOSQUE</v>
          </cell>
          <cell r="E1280"/>
          <cell r="F1280"/>
          <cell r="G1280" t="str">
            <v>UNIDAD</v>
          </cell>
          <cell r="H1280">
            <v>4</v>
          </cell>
          <cell r="L1280">
            <v>4</v>
          </cell>
        </row>
        <row r="1281">
          <cell r="B1281" t="str">
            <v>CRA 15 * CLL96</v>
          </cell>
          <cell r="C1281" t="str">
            <v>DV_TOTALD</v>
          </cell>
          <cell r="D1281" t="str">
            <v>BARRIO EL BOSQUE</v>
          </cell>
          <cell r="E1281"/>
          <cell r="F1281"/>
          <cell r="G1281" t="str">
            <v>UNIDAD</v>
          </cell>
          <cell r="H1281">
            <v>2</v>
          </cell>
          <cell r="L1281">
            <v>2</v>
          </cell>
        </row>
        <row r="1282">
          <cell r="B1282" t="str">
            <v>CRA 17 * CLL96</v>
          </cell>
          <cell r="C1282" t="str">
            <v>DV_TOTALD</v>
          </cell>
          <cell r="D1282" t="str">
            <v>BARRIO EL BOSQUE</v>
          </cell>
          <cell r="E1282"/>
          <cell r="F1282"/>
          <cell r="G1282" t="str">
            <v>UNIDAD</v>
          </cell>
          <cell r="H1282">
            <v>4</v>
          </cell>
          <cell r="L1282">
            <v>4</v>
          </cell>
        </row>
        <row r="1283">
          <cell r="B1283" t="str">
            <v>CRA 19 * CLL96</v>
          </cell>
          <cell r="C1283" t="str">
            <v>DV_TOTALD</v>
          </cell>
          <cell r="D1283" t="str">
            <v>BARRIO EL BOSQUE</v>
          </cell>
          <cell r="E1283"/>
          <cell r="F1283"/>
          <cell r="G1283" t="str">
            <v>UNIDAD</v>
          </cell>
          <cell r="H1283">
            <v>4</v>
          </cell>
          <cell r="L1283">
            <v>4</v>
          </cell>
        </row>
        <row r="1284">
          <cell r="B1284" t="str">
            <v>CRA 20 * CLL96</v>
          </cell>
          <cell r="C1284" t="str">
            <v>DV_TOTALD</v>
          </cell>
          <cell r="D1284" t="str">
            <v>BARRIO EL BOSQUE</v>
          </cell>
          <cell r="E1284"/>
          <cell r="F1284"/>
          <cell r="G1284" t="str">
            <v>UNIDAD</v>
          </cell>
          <cell r="H1284">
            <v>4</v>
          </cell>
          <cell r="L1284">
            <v>4</v>
          </cell>
        </row>
        <row r="1285">
          <cell r="B1285" t="str">
            <v>CRA 21 * CLL96</v>
          </cell>
          <cell r="C1285" t="str">
            <v>DV_TOTALD</v>
          </cell>
          <cell r="D1285" t="str">
            <v>BARRIO EL BOSQUE</v>
          </cell>
          <cell r="E1285"/>
          <cell r="F1285"/>
          <cell r="G1285" t="str">
            <v>UNIDAD</v>
          </cell>
          <cell r="H1285">
            <v>4</v>
          </cell>
          <cell r="L1285">
            <v>4</v>
          </cell>
        </row>
        <row r="1286">
          <cell r="B1286" t="str">
            <v>CRA 22 * CLL96</v>
          </cell>
          <cell r="C1286" t="str">
            <v>DV_TOTALD</v>
          </cell>
          <cell r="D1286" t="str">
            <v>BARRIO EL BOSQUE</v>
          </cell>
          <cell r="E1286"/>
          <cell r="F1286"/>
          <cell r="G1286" t="str">
            <v>UNIDAD</v>
          </cell>
          <cell r="H1286">
            <v>4</v>
          </cell>
          <cell r="L1286">
            <v>4</v>
          </cell>
        </row>
        <row r="1287">
          <cell r="B1287" t="str">
            <v>CRA 19 * CLL95</v>
          </cell>
          <cell r="C1287" t="str">
            <v>DV_TOTALD</v>
          </cell>
          <cell r="D1287" t="str">
            <v>BARRIO EL BOSQUE</v>
          </cell>
          <cell r="E1287"/>
          <cell r="F1287"/>
          <cell r="G1287" t="str">
            <v>UNIDAD</v>
          </cell>
          <cell r="H1287">
            <v>2</v>
          </cell>
          <cell r="L1287">
            <v>2</v>
          </cell>
        </row>
        <row r="1288">
          <cell r="B1288" t="str">
            <v>CRA 20 * CLL95</v>
          </cell>
          <cell r="C1288" t="str">
            <v>DV_TOTALD</v>
          </cell>
          <cell r="D1288" t="str">
            <v>BARRIO EL BOSQUE</v>
          </cell>
          <cell r="E1288"/>
          <cell r="F1288"/>
          <cell r="G1288" t="str">
            <v>UNIDAD</v>
          </cell>
          <cell r="H1288">
            <v>4</v>
          </cell>
          <cell r="L1288">
            <v>4</v>
          </cell>
        </row>
        <row r="1289">
          <cell r="B1289" t="str">
            <v>CRA 21 * CLL95</v>
          </cell>
          <cell r="C1289" t="str">
            <v>DV_TOTALD</v>
          </cell>
          <cell r="D1289" t="str">
            <v>BARRIO EL BOSQUE</v>
          </cell>
          <cell r="E1289"/>
          <cell r="F1289"/>
          <cell r="G1289" t="str">
            <v>UNIDAD</v>
          </cell>
          <cell r="H1289">
            <v>4</v>
          </cell>
          <cell r="L1289">
            <v>4</v>
          </cell>
        </row>
        <row r="1290">
          <cell r="B1290" t="str">
            <v>CRA 22 * CLL95</v>
          </cell>
          <cell r="C1290" t="str">
            <v>DV_TOTALD</v>
          </cell>
          <cell r="D1290" t="str">
            <v>BARRIO EL BOSQUE</v>
          </cell>
          <cell r="E1290"/>
          <cell r="F1290"/>
          <cell r="G1290" t="str">
            <v>UNIDAD</v>
          </cell>
          <cell r="H1290">
            <v>4</v>
          </cell>
          <cell r="L1290">
            <v>4</v>
          </cell>
        </row>
        <row r="1291">
          <cell r="B1291" t="str">
            <v>CRA 19 * CLL94</v>
          </cell>
          <cell r="C1291" t="str">
            <v>DV_TOTALD</v>
          </cell>
          <cell r="D1291" t="str">
            <v>BARRIO EL BOSQUE</v>
          </cell>
          <cell r="E1291"/>
          <cell r="F1291"/>
          <cell r="G1291" t="str">
            <v>UNIDAD</v>
          </cell>
          <cell r="H1291">
            <v>2</v>
          </cell>
          <cell r="L1291">
            <v>2</v>
          </cell>
        </row>
        <row r="1292">
          <cell r="B1292" t="str">
            <v>CRA 20 * CLL94</v>
          </cell>
          <cell r="C1292" t="str">
            <v>DV_TOTALD</v>
          </cell>
          <cell r="D1292" t="str">
            <v>BARRIO EL BOSQUE</v>
          </cell>
          <cell r="E1292"/>
          <cell r="F1292"/>
          <cell r="G1292" t="str">
            <v>UNIDAD</v>
          </cell>
          <cell r="H1292">
            <v>4</v>
          </cell>
          <cell r="L1292">
            <v>4</v>
          </cell>
        </row>
        <row r="1293">
          <cell r="B1293" t="str">
            <v>CRA 21 * CLL94</v>
          </cell>
          <cell r="C1293" t="str">
            <v>DV_TOTALD</v>
          </cell>
          <cell r="D1293" t="str">
            <v>BARRIO EL BOSQUE</v>
          </cell>
          <cell r="E1293"/>
          <cell r="F1293"/>
          <cell r="G1293" t="str">
            <v>UNIDAD</v>
          </cell>
          <cell r="H1293">
            <v>4</v>
          </cell>
          <cell r="L1293">
            <v>4</v>
          </cell>
        </row>
        <row r="1294">
          <cell r="B1294" t="str">
            <v>CRA 22 * CLL94</v>
          </cell>
          <cell r="C1294" t="str">
            <v>DV_TOTALD</v>
          </cell>
          <cell r="D1294" t="str">
            <v>BARRIO EL BOSQUE</v>
          </cell>
          <cell r="E1294"/>
          <cell r="F1294"/>
          <cell r="G1294" t="str">
            <v>UNIDAD</v>
          </cell>
          <cell r="H1294">
            <v>4</v>
          </cell>
          <cell r="L1294">
            <v>4</v>
          </cell>
        </row>
        <row r="1295">
          <cell r="B1295" t="str">
            <v>CRA 15 * CLL93</v>
          </cell>
          <cell r="C1295" t="str">
            <v>DV_TOTALD</v>
          </cell>
          <cell r="D1295" t="str">
            <v>BARRIO EL BOSQUE</v>
          </cell>
          <cell r="E1295"/>
          <cell r="F1295"/>
          <cell r="G1295" t="str">
            <v>UNIDAD</v>
          </cell>
          <cell r="H1295">
            <v>2</v>
          </cell>
          <cell r="L1295">
            <v>2</v>
          </cell>
        </row>
        <row r="1296">
          <cell r="B1296" t="str">
            <v>CRA 17A * CLL93</v>
          </cell>
          <cell r="C1296" t="str">
            <v>DV_TOTALD</v>
          </cell>
          <cell r="D1296" t="str">
            <v>BARRIO EL BOSQUE</v>
          </cell>
          <cell r="E1296"/>
          <cell r="F1296"/>
          <cell r="G1296" t="str">
            <v>UNIDAD</v>
          </cell>
          <cell r="H1296">
            <v>4</v>
          </cell>
          <cell r="L1296">
            <v>4</v>
          </cell>
        </row>
        <row r="1297">
          <cell r="B1297" t="str">
            <v>CRA 19 * CLL93</v>
          </cell>
          <cell r="C1297" t="str">
            <v>DV_TOTALD</v>
          </cell>
          <cell r="D1297" t="str">
            <v>BARRIO EL BOSQUE</v>
          </cell>
          <cell r="E1297"/>
          <cell r="F1297"/>
          <cell r="G1297" t="str">
            <v>UNIDAD</v>
          </cell>
          <cell r="H1297">
            <v>4</v>
          </cell>
          <cell r="L1297">
            <v>4</v>
          </cell>
        </row>
        <row r="1298">
          <cell r="B1298" t="str">
            <v>CRA 20 * CLL93</v>
          </cell>
          <cell r="C1298" t="str">
            <v>DV_TOTALD</v>
          </cell>
          <cell r="D1298" t="str">
            <v>BARRIO EL BOSQUE</v>
          </cell>
          <cell r="E1298"/>
          <cell r="F1298"/>
          <cell r="G1298" t="str">
            <v>UNIDAD</v>
          </cell>
          <cell r="H1298">
            <v>4</v>
          </cell>
          <cell r="L1298">
            <v>4</v>
          </cell>
        </row>
        <row r="1299">
          <cell r="B1299" t="str">
            <v>CRA 21 * CLL93</v>
          </cell>
          <cell r="C1299" t="str">
            <v>DV_TOTALD</v>
          </cell>
          <cell r="D1299" t="str">
            <v>BARRIO EL BOSQUE</v>
          </cell>
          <cell r="E1299"/>
          <cell r="F1299"/>
          <cell r="G1299" t="str">
            <v>UNIDAD</v>
          </cell>
          <cell r="H1299">
            <v>4</v>
          </cell>
          <cell r="L1299">
            <v>4</v>
          </cell>
        </row>
        <row r="1300">
          <cell r="B1300" t="str">
            <v>CRA 22 * CLL93</v>
          </cell>
          <cell r="C1300" t="str">
            <v>DV_TOTALD</v>
          </cell>
          <cell r="D1300" t="str">
            <v>BARRIO EL BOSQUE</v>
          </cell>
          <cell r="E1300"/>
          <cell r="F1300"/>
          <cell r="G1300" t="str">
            <v>UNIDAD</v>
          </cell>
          <cell r="H1300">
            <v>4</v>
          </cell>
          <cell r="L1300">
            <v>4</v>
          </cell>
        </row>
        <row r="1301">
          <cell r="B1301" t="str">
            <v>CLL 94 * CRA 17</v>
          </cell>
          <cell r="C1301" t="str">
            <v>DV_TOTALD</v>
          </cell>
          <cell r="D1301" t="str">
            <v>BARRIO EL BOSQUE</v>
          </cell>
          <cell r="E1301"/>
          <cell r="F1301"/>
          <cell r="G1301" t="str">
            <v>UNIDAD</v>
          </cell>
          <cell r="H1301">
            <v>2</v>
          </cell>
          <cell r="L1301">
            <v>2</v>
          </cell>
        </row>
        <row r="1302">
          <cell r="B1302" t="str">
            <v>CLL 95 * CRA 17</v>
          </cell>
          <cell r="C1302" t="str">
            <v>DV_TOTALD</v>
          </cell>
          <cell r="D1302" t="str">
            <v>BARRIO EL BOSQUE</v>
          </cell>
          <cell r="E1302"/>
          <cell r="F1302"/>
          <cell r="G1302" t="str">
            <v>UNIDAD</v>
          </cell>
          <cell r="H1302">
            <v>4</v>
          </cell>
          <cell r="L1302">
            <v>4</v>
          </cell>
        </row>
        <row r="1303">
          <cell r="B1303" t="str">
            <v>CLL 96 * CRA 17</v>
          </cell>
          <cell r="C1303" t="str">
            <v>DV_TOTALD</v>
          </cell>
          <cell r="D1303" t="str">
            <v>BARRIO EL BOSQUE</v>
          </cell>
          <cell r="E1303"/>
          <cell r="F1303"/>
          <cell r="G1303" t="str">
            <v>UNIDAD</v>
          </cell>
          <cell r="H1303">
            <v>4</v>
          </cell>
          <cell r="L1303">
            <v>4</v>
          </cell>
        </row>
        <row r="1304">
          <cell r="B1304" t="str">
            <v>CLL 96A * CRA 17</v>
          </cell>
          <cell r="C1304" t="str">
            <v>DV_TOTALD</v>
          </cell>
          <cell r="D1304" t="str">
            <v>BARRIO EL BOSQUE</v>
          </cell>
          <cell r="E1304"/>
          <cell r="F1304"/>
          <cell r="G1304" t="str">
            <v>UNIDAD</v>
          </cell>
          <cell r="H1304">
            <v>4</v>
          </cell>
          <cell r="L1304">
            <v>4</v>
          </cell>
        </row>
        <row r="1305">
          <cell r="B1305" t="str">
            <v>CLL 97 * CRA 17</v>
          </cell>
          <cell r="C1305" t="str">
            <v>DV_TOTALD</v>
          </cell>
          <cell r="D1305" t="str">
            <v>BARRIO EL BOSQUE</v>
          </cell>
          <cell r="E1305"/>
          <cell r="F1305"/>
          <cell r="G1305" t="str">
            <v>UNIDAD</v>
          </cell>
          <cell r="H1305">
            <v>4</v>
          </cell>
          <cell r="L1305">
            <v>4</v>
          </cell>
        </row>
        <row r="1306">
          <cell r="B1306" t="str">
            <v>CLL 97A * CRA 17</v>
          </cell>
          <cell r="C1306" t="str">
            <v>DV_TOTALD</v>
          </cell>
          <cell r="D1306" t="str">
            <v>BARRIO EL BOSQUE</v>
          </cell>
          <cell r="E1306"/>
          <cell r="F1306"/>
          <cell r="G1306" t="str">
            <v>UNIDAD</v>
          </cell>
          <cell r="H1306">
            <v>2</v>
          </cell>
          <cell r="L1306">
            <v>2</v>
          </cell>
        </row>
        <row r="1307">
          <cell r="B1307" t="str">
            <v>CLL 93 * CRA 20</v>
          </cell>
          <cell r="C1307" t="str">
            <v>DV_TOTALD</v>
          </cell>
          <cell r="D1307" t="str">
            <v>BARRIO EL BOSQUE</v>
          </cell>
          <cell r="E1307"/>
          <cell r="F1307"/>
          <cell r="G1307" t="str">
            <v>UNIDAD</v>
          </cell>
          <cell r="H1307">
            <v>2</v>
          </cell>
          <cell r="L1307">
            <v>2</v>
          </cell>
        </row>
        <row r="1308">
          <cell r="B1308" t="str">
            <v>CLL 94 * CRA 20</v>
          </cell>
          <cell r="C1308" t="str">
            <v>DV_TOTALD</v>
          </cell>
          <cell r="D1308" t="str">
            <v>BARRIO EL BOSQUE</v>
          </cell>
          <cell r="E1308"/>
          <cell r="F1308"/>
          <cell r="G1308" t="str">
            <v>UNIDAD</v>
          </cell>
          <cell r="H1308">
            <v>4</v>
          </cell>
          <cell r="L1308">
            <v>4</v>
          </cell>
        </row>
        <row r="1309">
          <cell r="B1309" t="str">
            <v>CLL 95 * CRA 20</v>
          </cell>
          <cell r="C1309" t="str">
            <v>DV_TOTALD</v>
          </cell>
          <cell r="D1309" t="str">
            <v>BARRIO EL BOSQUE</v>
          </cell>
          <cell r="E1309"/>
          <cell r="F1309"/>
          <cell r="G1309" t="str">
            <v>UNIDAD</v>
          </cell>
          <cell r="H1309">
            <v>4</v>
          </cell>
          <cell r="L1309">
            <v>4</v>
          </cell>
        </row>
        <row r="1310">
          <cell r="B1310" t="str">
            <v>CLL 96 * CRA 20</v>
          </cell>
          <cell r="C1310" t="str">
            <v>DV_TOTALD</v>
          </cell>
          <cell r="D1310" t="str">
            <v>BARRIO EL BOSQUE</v>
          </cell>
          <cell r="E1310"/>
          <cell r="F1310"/>
          <cell r="G1310" t="str">
            <v>UNIDAD</v>
          </cell>
          <cell r="H1310">
            <v>4</v>
          </cell>
          <cell r="L1310">
            <v>4</v>
          </cell>
        </row>
        <row r="1311">
          <cell r="B1311" t="str">
            <v>CLL 96A * CRA 20</v>
          </cell>
          <cell r="C1311" t="str">
            <v>DV_TOTALD</v>
          </cell>
          <cell r="D1311" t="str">
            <v>BARRIO EL BOSQUE</v>
          </cell>
          <cell r="E1311"/>
          <cell r="F1311"/>
          <cell r="G1311" t="str">
            <v>UNIDAD</v>
          </cell>
          <cell r="H1311">
            <v>4</v>
          </cell>
          <cell r="L1311">
            <v>4</v>
          </cell>
        </row>
        <row r="1312">
          <cell r="B1312" t="str">
            <v>CLL 97 * CRA 20</v>
          </cell>
          <cell r="C1312" t="str">
            <v>DV_TOTALD</v>
          </cell>
          <cell r="D1312" t="str">
            <v>BARRIO EL BOSQUE</v>
          </cell>
          <cell r="E1312"/>
          <cell r="F1312"/>
          <cell r="G1312" t="str">
            <v>UNIDAD</v>
          </cell>
          <cell r="H1312">
            <v>4</v>
          </cell>
          <cell r="L1312">
            <v>4</v>
          </cell>
        </row>
        <row r="1313">
          <cell r="B1313" t="str">
            <v>CLL 97A * CRA 20</v>
          </cell>
          <cell r="C1313" t="str">
            <v>DV_TOTALD</v>
          </cell>
          <cell r="D1313" t="str">
            <v>BARRIO EL BOSQUE</v>
          </cell>
          <cell r="E1313"/>
          <cell r="F1313"/>
          <cell r="G1313" t="str">
            <v>UNIDAD</v>
          </cell>
          <cell r="H1313">
            <v>2</v>
          </cell>
          <cell r="L1313">
            <v>2</v>
          </cell>
        </row>
        <row r="1314">
          <cell r="B1314" t="str">
            <v>CLL 93 * CRA 21</v>
          </cell>
          <cell r="C1314" t="str">
            <v>DV_TOTALD</v>
          </cell>
          <cell r="D1314" t="str">
            <v>BARRIO EL BOSQUE</v>
          </cell>
          <cell r="E1314"/>
          <cell r="F1314"/>
          <cell r="G1314" t="str">
            <v>UNIDAD</v>
          </cell>
          <cell r="H1314">
            <v>2</v>
          </cell>
          <cell r="L1314">
            <v>2</v>
          </cell>
        </row>
        <row r="1315">
          <cell r="B1315" t="str">
            <v>CLL 94 * CRA 21</v>
          </cell>
          <cell r="C1315" t="str">
            <v>DV_TOTALD</v>
          </cell>
          <cell r="D1315" t="str">
            <v>BARRIO EL BOSQUE</v>
          </cell>
          <cell r="E1315"/>
          <cell r="F1315"/>
          <cell r="G1315" t="str">
            <v>UNIDAD</v>
          </cell>
          <cell r="H1315">
            <v>4</v>
          </cell>
          <cell r="L1315">
            <v>4</v>
          </cell>
        </row>
        <row r="1316">
          <cell r="B1316" t="str">
            <v>CLL 95 * CRA 21</v>
          </cell>
          <cell r="C1316" t="str">
            <v>DV_TOTALD</v>
          </cell>
          <cell r="D1316" t="str">
            <v>BARRIO EL BOSQUE</v>
          </cell>
          <cell r="E1316"/>
          <cell r="F1316"/>
          <cell r="G1316" t="str">
            <v>UNIDAD</v>
          </cell>
          <cell r="H1316">
            <v>4</v>
          </cell>
          <cell r="L1316">
            <v>4</v>
          </cell>
        </row>
        <row r="1317">
          <cell r="B1317" t="str">
            <v>CLL 96 * CRA 21</v>
          </cell>
          <cell r="C1317" t="str">
            <v>DV_TOTALD</v>
          </cell>
          <cell r="D1317" t="str">
            <v>BARRIO EL BOSQUE</v>
          </cell>
          <cell r="E1317"/>
          <cell r="F1317"/>
          <cell r="G1317" t="str">
            <v>UNIDAD</v>
          </cell>
          <cell r="H1317">
            <v>4</v>
          </cell>
          <cell r="L1317">
            <v>4</v>
          </cell>
        </row>
        <row r="1318">
          <cell r="B1318" t="str">
            <v>CLL 96A * CRA 21</v>
          </cell>
          <cell r="C1318" t="str">
            <v>DV_TOTALD</v>
          </cell>
          <cell r="D1318" t="str">
            <v>BARRIO EL BOSQUE</v>
          </cell>
          <cell r="E1318"/>
          <cell r="F1318"/>
          <cell r="G1318" t="str">
            <v>UNIDAD</v>
          </cell>
          <cell r="H1318">
            <v>4</v>
          </cell>
          <cell r="L1318">
            <v>4</v>
          </cell>
        </row>
        <row r="1319">
          <cell r="B1319" t="str">
            <v>CLL 97 * CRA 21</v>
          </cell>
          <cell r="C1319" t="str">
            <v>DV_TOTALD</v>
          </cell>
          <cell r="D1319" t="str">
            <v>BARRIO EL BOSQUE</v>
          </cell>
          <cell r="E1319"/>
          <cell r="F1319"/>
          <cell r="G1319" t="str">
            <v>UNIDAD</v>
          </cell>
          <cell r="H1319">
            <v>4</v>
          </cell>
          <cell r="L1319">
            <v>4</v>
          </cell>
        </row>
        <row r="1320">
          <cell r="B1320" t="str">
            <v>CLL 97A * CRA 21</v>
          </cell>
          <cell r="C1320" t="str">
            <v>DV_TOTALD</v>
          </cell>
          <cell r="D1320" t="str">
            <v>BARRIO EL BOSQUE</v>
          </cell>
          <cell r="E1320"/>
          <cell r="F1320"/>
          <cell r="G1320" t="str">
            <v>UNIDAD</v>
          </cell>
          <cell r="H1320">
            <v>2</v>
          </cell>
          <cell r="L1320">
            <v>2</v>
          </cell>
        </row>
        <row r="1321">
          <cell r="B1321" t="str">
            <v>CRA 14 * CLL 110</v>
          </cell>
          <cell r="C1321" t="str">
            <v>DV_TOTALE</v>
          </cell>
          <cell r="D1321" t="str">
            <v>BARRIO JESUS MORA CALLE 110</v>
          </cell>
          <cell r="E1321"/>
          <cell r="F1321"/>
          <cell r="G1321" t="str">
            <v>UNIDAD</v>
          </cell>
          <cell r="H1321">
            <v>4</v>
          </cell>
          <cell r="L1321">
            <v>4</v>
          </cell>
        </row>
        <row r="1322">
          <cell r="B1322" t="str">
            <v>CRA 14A * CLL 110</v>
          </cell>
          <cell r="C1322" t="str">
            <v>DV_TOTALE</v>
          </cell>
          <cell r="D1322" t="str">
            <v>BARRIO JESUS MORA CALLE 110</v>
          </cell>
          <cell r="E1322"/>
          <cell r="F1322"/>
          <cell r="G1322" t="str">
            <v>UNIDAD</v>
          </cell>
          <cell r="H1322">
            <v>4</v>
          </cell>
          <cell r="L1322">
            <v>4</v>
          </cell>
        </row>
        <row r="1323">
          <cell r="B1323" t="str">
            <v>CRA 15 * CLL 110</v>
          </cell>
          <cell r="C1323" t="str">
            <v>DV_TOTALE</v>
          </cell>
          <cell r="D1323" t="str">
            <v>BARRIO JESUS MORA CALLE 110</v>
          </cell>
          <cell r="E1323"/>
          <cell r="F1323"/>
          <cell r="G1323" t="str">
            <v>UNIDAD</v>
          </cell>
          <cell r="H1323">
            <v>4</v>
          </cell>
          <cell r="L1323">
            <v>4</v>
          </cell>
        </row>
        <row r="1324">
          <cell r="B1324" t="str">
            <v>CRA 16 * CLL 110</v>
          </cell>
          <cell r="C1324" t="str">
            <v>DV_TOTALE</v>
          </cell>
          <cell r="D1324" t="str">
            <v>BARRIO JESUS MORA CALLE 110</v>
          </cell>
          <cell r="E1324"/>
          <cell r="F1324"/>
          <cell r="G1324" t="str">
            <v>UNIDAD</v>
          </cell>
          <cell r="H1324">
            <v>4</v>
          </cell>
          <cell r="L1324">
            <v>4</v>
          </cell>
        </row>
        <row r="1325">
          <cell r="B1325" t="str">
            <v>CRA 17 * CLL 110</v>
          </cell>
          <cell r="C1325" t="str">
            <v>DV_TOTALE</v>
          </cell>
          <cell r="D1325" t="str">
            <v>BARRIO JESUS MORA CALLE 110</v>
          </cell>
          <cell r="E1325"/>
          <cell r="F1325"/>
          <cell r="G1325" t="str">
            <v>UNIDAD</v>
          </cell>
          <cell r="H1325">
            <v>4</v>
          </cell>
          <cell r="L1325">
            <v>4</v>
          </cell>
        </row>
        <row r="1326">
          <cell r="B1326" t="str">
            <v>CRA 18 * CLL 110</v>
          </cell>
          <cell r="C1326" t="str">
            <v>DV_TOTALE</v>
          </cell>
          <cell r="D1326" t="str">
            <v>BARRIO JESUS MORA CALLE 110</v>
          </cell>
          <cell r="E1326"/>
          <cell r="F1326"/>
          <cell r="G1326" t="str">
            <v>UNIDAD</v>
          </cell>
          <cell r="H1326">
            <v>4</v>
          </cell>
          <cell r="L1326">
            <v>4</v>
          </cell>
        </row>
        <row r="1327">
          <cell r="B1327" t="str">
            <v>CRA 19 * CLL 110</v>
          </cell>
          <cell r="C1327" t="str">
            <v>DV_TOTALE</v>
          </cell>
          <cell r="D1327" t="str">
            <v>BARRIO JESUS MORA CALLE 110</v>
          </cell>
          <cell r="E1327"/>
          <cell r="F1327"/>
          <cell r="G1327" t="str">
            <v>UNIDAD</v>
          </cell>
          <cell r="H1327">
            <v>4</v>
          </cell>
          <cell r="L1327">
            <v>4</v>
          </cell>
        </row>
        <row r="1328">
          <cell r="B1328" t="str">
            <v>CRA 19A * CLL 110</v>
          </cell>
          <cell r="C1328" t="str">
            <v>DV_TOTALE</v>
          </cell>
          <cell r="D1328" t="str">
            <v>BARRIO JESUS MORA CALLE 110</v>
          </cell>
          <cell r="E1328"/>
          <cell r="F1328"/>
          <cell r="G1328" t="str">
            <v>UNIDAD</v>
          </cell>
          <cell r="H1328">
            <v>4</v>
          </cell>
          <cell r="L1328">
            <v>4</v>
          </cell>
        </row>
        <row r="1329">
          <cell r="B1329" t="str">
            <v>CRA 20 * CLL 110</v>
          </cell>
          <cell r="C1329" t="str">
            <v>DV_TOTALE</v>
          </cell>
          <cell r="D1329" t="str">
            <v>BARRIO JESUS MORA CALLE 110</v>
          </cell>
          <cell r="E1329"/>
          <cell r="F1329"/>
          <cell r="G1329" t="str">
            <v>UNIDAD</v>
          </cell>
          <cell r="H1329">
            <v>4</v>
          </cell>
          <cell r="L1329">
            <v>4</v>
          </cell>
        </row>
        <row r="1330">
          <cell r="B1330" t="str">
            <v>CRA 20A * CLL 110</v>
          </cell>
          <cell r="C1330" t="str">
            <v>DV_TOTALE</v>
          </cell>
          <cell r="D1330" t="str">
            <v>BARRIO JESUS MORA CALLE 110</v>
          </cell>
          <cell r="E1330"/>
          <cell r="F1330"/>
          <cell r="G1330" t="str">
            <v>UNIDAD</v>
          </cell>
          <cell r="H1330">
            <v>4</v>
          </cell>
          <cell r="L1330">
            <v>4</v>
          </cell>
        </row>
        <row r="1331">
          <cell r="B1331" t="str">
            <v>CRA 21 * CLL 110</v>
          </cell>
          <cell r="C1331" t="str">
            <v>DV_TOTALE</v>
          </cell>
          <cell r="D1331" t="str">
            <v>BARRIO JESUS MORA CALLE 110</v>
          </cell>
          <cell r="E1331"/>
          <cell r="F1331"/>
          <cell r="G1331" t="str">
            <v>UNIDAD</v>
          </cell>
          <cell r="H1331">
            <v>4</v>
          </cell>
          <cell r="L1331">
            <v>4</v>
          </cell>
        </row>
        <row r="1332">
          <cell r="B1332" t="str">
            <v>CRA 22 * CLL 110</v>
          </cell>
          <cell r="C1332" t="str">
            <v>DV_TOTALE</v>
          </cell>
          <cell r="D1332" t="str">
            <v>BARRIO JESUS MORA CALLE 110</v>
          </cell>
          <cell r="E1332"/>
          <cell r="F1332"/>
          <cell r="G1332" t="str">
            <v>UNIDAD</v>
          </cell>
          <cell r="H1332">
            <v>4</v>
          </cell>
          <cell r="L1332">
            <v>4</v>
          </cell>
        </row>
        <row r="1333">
          <cell r="B1333" t="str">
            <v>CRA 23 * CLL 110</v>
          </cell>
          <cell r="C1333" t="str">
            <v>DV_TOTALE</v>
          </cell>
          <cell r="D1333" t="str">
            <v>BARRIO JESUS MORA CALLE 110</v>
          </cell>
          <cell r="E1333"/>
          <cell r="F1333"/>
          <cell r="G1333" t="str">
            <v>UNIDAD</v>
          </cell>
          <cell r="H1333">
            <v>4</v>
          </cell>
          <cell r="L1333">
            <v>4</v>
          </cell>
        </row>
        <row r="1334">
          <cell r="B1334" t="str">
            <v>CRA 24 * CLL 110</v>
          </cell>
          <cell r="C1334" t="str">
            <v>DV_TOTALE</v>
          </cell>
          <cell r="D1334" t="str">
            <v>BARRIO JESUS MORA CALLE 110</v>
          </cell>
          <cell r="E1334"/>
          <cell r="F1334"/>
          <cell r="G1334" t="str">
            <v>UNIDAD</v>
          </cell>
          <cell r="H1334">
            <v>4</v>
          </cell>
          <cell r="L1334">
            <v>4</v>
          </cell>
        </row>
        <row r="1335">
          <cell r="B1335" t="str">
            <v>CRA 25 * CLL 110</v>
          </cell>
          <cell r="C1335" t="str">
            <v>DV_TOTALE</v>
          </cell>
          <cell r="D1335" t="str">
            <v>BARRIO JESUS MORA CALLE 110</v>
          </cell>
          <cell r="E1335"/>
          <cell r="F1335"/>
          <cell r="G1335" t="str">
            <v>UNIDAD</v>
          </cell>
          <cell r="H1335">
            <v>4</v>
          </cell>
          <cell r="L1335">
            <v>4</v>
          </cell>
        </row>
        <row r="1336">
          <cell r="B1336" t="str">
            <v>CRA 26 * CLL 110</v>
          </cell>
          <cell r="C1336" t="str">
            <v>DV_TOTALE</v>
          </cell>
          <cell r="D1336" t="str">
            <v>BARRIO JESUS MORA CALLE 110</v>
          </cell>
          <cell r="E1336"/>
          <cell r="F1336"/>
          <cell r="G1336" t="str">
            <v>UNIDAD</v>
          </cell>
          <cell r="H1336">
            <v>4</v>
          </cell>
          <cell r="L1336">
            <v>4</v>
          </cell>
        </row>
        <row r="1337">
          <cell r="B1337" t="str">
            <v>CRA 27 * CLL 110</v>
          </cell>
          <cell r="C1337" t="str">
            <v>DV_TOTALE</v>
          </cell>
          <cell r="D1337" t="str">
            <v>BARRIO JESUS MORA CALLE 110</v>
          </cell>
          <cell r="E1337"/>
          <cell r="F1337"/>
          <cell r="G1337" t="str">
            <v>UNIDAD</v>
          </cell>
          <cell r="H1337">
            <v>4</v>
          </cell>
          <cell r="L1337">
            <v>4</v>
          </cell>
        </row>
        <row r="1338">
          <cell r="J1338" t="str">
            <v>VALOR TOTAL</v>
          </cell>
          <cell r="K1338"/>
          <cell r="L1338">
            <v>426</v>
          </cell>
        </row>
        <row r="1340">
          <cell r="B1340" t="str">
            <v>3.1</v>
          </cell>
          <cell r="C1340" t="str">
            <v>DESCRIPCION</v>
          </cell>
          <cell r="D1340"/>
          <cell r="E1340" t="str">
            <v>Excavaciones mecánica para cajeos y fallos de subrasante incluye Re compactación de la subrasante</v>
          </cell>
          <cell r="F1340"/>
          <cell r="G1340"/>
          <cell r="H1340"/>
          <cell r="I1340" t="str">
            <v>UN</v>
          </cell>
          <cell r="J1340" t="str">
            <v>M3</v>
          </cell>
          <cell r="K1340" t="str">
            <v>CANTIDAD</v>
          </cell>
          <cell r="L1340">
            <v>2205</v>
          </cell>
        </row>
        <row r="1342">
          <cell r="B1342" t="str">
            <v>COD EP</v>
          </cell>
          <cell r="C1342" t="str">
            <v>COD EP</v>
          </cell>
          <cell r="D1342" t="str">
            <v>DESCRIPCION /LOCALIZACION</v>
          </cell>
          <cell r="E1342"/>
          <cell r="F1342"/>
          <cell r="G1342" t="str">
            <v>UNIDAD</v>
          </cell>
          <cell r="H1342" t="str">
            <v>CAN/UN</v>
          </cell>
          <cell r="I1342" t="str">
            <v>LARGO</v>
          </cell>
          <cell r="J1342" t="str">
            <v>ANCHO</v>
          </cell>
          <cell r="K1342" t="str">
            <v>ALTURA</v>
          </cell>
          <cell r="L1342" t="str">
            <v>CAN MED</v>
          </cell>
        </row>
        <row r="1343">
          <cell r="B1343" t="str">
            <v>CALLE 102C ENTRE CARRERA 19 Y 21</v>
          </cell>
          <cell r="C1343" t="str">
            <v>DV_TOTALA</v>
          </cell>
          <cell r="D1343" t="str">
            <v>BARRIO CIUDADELA INDUSTRIAL</v>
          </cell>
          <cell r="E1343"/>
          <cell r="F1343"/>
          <cell r="G1343" t="str">
            <v>M3</v>
          </cell>
          <cell r="H1343">
            <v>1</v>
          </cell>
          <cell r="I1343">
            <v>158.80940000000001</v>
          </cell>
          <cell r="J1343">
            <v>2</v>
          </cell>
          <cell r="K1343">
            <v>0.15</v>
          </cell>
          <cell r="L1343">
            <v>47.64282</v>
          </cell>
        </row>
        <row r="1344">
          <cell r="B1344" t="str">
            <v>CALLE 102B ENTRE CARRERA 19 Y 21</v>
          </cell>
          <cell r="C1344" t="str">
            <v>DV_TOTALA</v>
          </cell>
          <cell r="D1344" t="str">
            <v>BARRIO CIUDADELA INDUSTRIAL</v>
          </cell>
          <cell r="E1344"/>
          <cell r="F1344"/>
          <cell r="G1344" t="str">
            <v>M3</v>
          </cell>
          <cell r="H1344">
            <v>1</v>
          </cell>
          <cell r="I1344">
            <v>196.35719999999998</v>
          </cell>
          <cell r="J1344">
            <v>2</v>
          </cell>
          <cell r="K1344">
            <v>0.15</v>
          </cell>
          <cell r="L1344">
            <v>58.90715999999999</v>
          </cell>
        </row>
        <row r="1345">
          <cell r="B1345" t="str">
            <v>CARRERA 20 ENTRE CALLE 102 B Y 102 D</v>
          </cell>
          <cell r="C1345" t="str">
            <v>DV_TOTALA</v>
          </cell>
          <cell r="D1345" t="str">
            <v>BARRIO CIUDADELA INDUSTRIAL</v>
          </cell>
          <cell r="E1345"/>
          <cell r="F1345"/>
          <cell r="G1345" t="str">
            <v>M3</v>
          </cell>
          <cell r="H1345">
            <v>1</v>
          </cell>
          <cell r="I1345">
            <v>76.858599999999981</v>
          </cell>
          <cell r="J1345">
            <v>2</v>
          </cell>
          <cell r="K1345">
            <v>0.15</v>
          </cell>
          <cell r="L1345">
            <v>23.057579999999994</v>
          </cell>
        </row>
        <row r="1346">
          <cell r="B1346" t="str">
            <v>CARRERA 21 ENTRE CALLE 102 B Y 102 D</v>
          </cell>
          <cell r="C1346" t="str">
            <v>DV_TOTALA</v>
          </cell>
          <cell r="D1346" t="str">
            <v>BARRIO CIUDADELA INDUSTRIAL</v>
          </cell>
          <cell r="E1346"/>
          <cell r="F1346"/>
          <cell r="G1346" t="str">
            <v>M3</v>
          </cell>
          <cell r="H1346">
            <v>1</v>
          </cell>
          <cell r="I1346">
            <v>80.00739999999999</v>
          </cell>
          <cell r="J1346">
            <v>2</v>
          </cell>
          <cell r="K1346">
            <v>0.15</v>
          </cell>
          <cell r="L1346">
            <v>24.002219999999998</v>
          </cell>
        </row>
        <row r="1347">
          <cell r="B1347" t="str">
            <v>CALLE 102D ENTRE CARRERA 20 Y 21A</v>
          </cell>
          <cell r="C1347" t="str">
            <v>DV_TOTALA</v>
          </cell>
          <cell r="D1347" t="str">
            <v>BARRIO CIUDADELA INDUSTRIAL</v>
          </cell>
          <cell r="E1347"/>
          <cell r="F1347"/>
          <cell r="G1347" t="str">
            <v>M3</v>
          </cell>
          <cell r="H1347">
            <v>1</v>
          </cell>
          <cell r="I1347">
            <v>89.174999999999997</v>
          </cell>
          <cell r="J1347">
            <v>2</v>
          </cell>
          <cell r="K1347">
            <v>0.15</v>
          </cell>
          <cell r="L1347">
            <v>26.752499999999998</v>
          </cell>
        </row>
        <row r="1348">
          <cell r="B1348" t="str">
            <v>CALLE 102A ENTRE CARRERA 17 Y 19</v>
          </cell>
          <cell r="C1348" t="str">
            <v>DV_TOTALB</v>
          </cell>
          <cell r="D1348" t="str">
            <v>BARRIO JUAN XXIII</v>
          </cell>
          <cell r="E1348"/>
          <cell r="F1348"/>
          <cell r="G1348" t="str">
            <v>M3</v>
          </cell>
          <cell r="H1348">
            <v>1</v>
          </cell>
          <cell r="I1348">
            <v>153.2088</v>
          </cell>
          <cell r="J1348">
            <v>2</v>
          </cell>
          <cell r="K1348">
            <v>0.15</v>
          </cell>
          <cell r="L1348">
            <v>45.96264</v>
          </cell>
        </row>
        <row r="1349">
          <cell r="B1349" t="str">
            <v>CALLE 102B ENTRE CARRERA 17 Y 19</v>
          </cell>
          <cell r="C1349" t="str">
            <v>DV_TOTALB</v>
          </cell>
          <cell r="D1349" t="str">
            <v>BARRIO JUAN XXIII</v>
          </cell>
          <cell r="E1349"/>
          <cell r="F1349"/>
          <cell r="G1349" t="str">
            <v>M3</v>
          </cell>
          <cell r="H1349">
            <v>1</v>
          </cell>
          <cell r="I1349">
            <v>111.4708</v>
          </cell>
          <cell r="J1349">
            <v>2</v>
          </cell>
          <cell r="K1349">
            <v>0.15</v>
          </cell>
          <cell r="L1349">
            <v>33.441240000000001</v>
          </cell>
        </row>
        <row r="1350">
          <cell r="B1350" t="str">
            <v>CALLE 102 ENTRE CARRERA 17 Y 19</v>
          </cell>
          <cell r="C1350" t="str">
            <v>DV_TOTALB</v>
          </cell>
          <cell r="D1350" t="str">
            <v>BARRIO JUAN XXIII</v>
          </cell>
          <cell r="E1350"/>
          <cell r="F1350"/>
          <cell r="G1350" t="str">
            <v>M3</v>
          </cell>
          <cell r="H1350">
            <v>1</v>
          </cell>
          <cell r="I1350">
            <v>202.81059999999997</v>
          </cell>
          <cell r="J1350">
            <v>2</v>
          </cell>
          <cell r="K1350">
            <v>0.15</v>
          </cell>
          <cell r="L1350">
            <v>60.84317999999999</v>
          </cell>
        </row>
        <row r="1351">
          <cell r="B1351" t="str">
            <v>CALLE 101 ENTRE CARRERA 17 Y 17A</v>
          </cell>
          <cell r="C1351" t="str">
            <v>DV_TOTALB</v>
          </cell>
          <cell r="D1351" t="str">
            <v>BARRIO JUAN XXIII</v>
          </cell>
          <cell r="E1351"/>
          <cell r="F1351"/>
          <cell r="G1351" t="str">
            <v>M3</v>
          </cell>
          <cell r="H1351">
            <v>1</v>
          </cell>
          <cell r="I1351">
            <v>132.79899999999998</v>
          </cell>
          <cell r="J1351">
            <v>2</v>
          </cell>
          <cell r="K1351">
            <v>0.15</v>
          </cell>
          <cell r="L1351">
            <v>39.839699999999993</v>
          </cell>
        </row>
        <row r="1352">
          <cell r="B1352" t="str">
            <v>CARRERA 17A ENTRE CALLE 101 Y 102</v>
          </cell>
          <cell r="C1352" t="str">
            <v>DV_TOTALB</v>
          </cell>
          <cell r="D1352" t="str">
            <v>BARRIO JUAN XXIII</v>
          </cell>
          <cell r="E1352"/>
          <cell r="F1352"/>
          <cell r="G1352" t="str">
            <v>M3</v>
          </cell>
          <cell r="H1352">
            <v>1</v>
          </cell>
          <cell r="I1352">
            <v>41.196799999999996</v>
          </cell>
          <cell r="J1352">
            <v>2</v>
          </cell>
          <cell r="K1352">
            <v>0.15</v>
          </cell>
          <cell r="L1352">
            <v>12.359039999999998</v>
          </cell>
        </row>
        <row r="1353">
          <cell r="B1353" t="str">
            <v>CARRERA 17 ENTRE CALLE 100 102B</v>
          </cell>
          <cell r="C1353" t="str">
            <v>DV_TOTALB</v>
          </cell>
          <cell r="D1353" t="str">
            <v>BARRIO JUAN XXIII</v>
          </cell>
          <cell r="E1353"/>
          <cell r="F1353"/>
          <cell r="G1353" t="str">
            <v>M3</v>
          </cell>
          <cell r="H1353">
            <v>1</v>
          </cell>
          <cell r="I1353">
            <v>278.72619999999995</v>
          </cell>
          <cell r="J1353">
            <v>2</v>
          </cell>
          <cell r="K1353">
            <v>0.15</v>
          </cell>
          <cell r="L1353">
            <v>83.617859999999979</v>
          </cell>
        </row>
        <row r="1354">
          <cell r="B1354" t="str">
            <v>CALLE 99E ENTRE LOTE Y CRA 17</v>
          </cell>
          <cell r="C1354" t="str">
            <v>DV_TOTALC</v>
          </cell>
          <cell r="D1354" t="str">
            <v>BARRIO LAS DELICIAS</v>
          </cell>
          <cell r="E1354"/>
          <cell r="F1354"/>
          <cell r="G1354" t="str">
            <v>M3</v>
          </cell>
          <cell r="H1354">
            <v>1</v>
          </cell>
          <cell r="I1354">
            <v>134.53739999999999</v>
          </cell>
          <cell r="J1354">
            <v>2</v>
          </cell>
          <cell r="K1354">
            <v>0.15</v>
          </cell>
          <cell r="L1354">
            <v>40.361219999999996</v>
          </cell>
        </row>
        <row r="1355">
          <cell r="B1355" t="str">
            <v>CALLE 99D ENTRE LOTE Y CRA 17</v>
          </cell>
          <cell r="C1355" t="str">
            <v>DV_TOTALC</v>
          </cell>
          <cell r="D1355" t="str">
            <v>BARRIO LAS DELICIAS</v>
          </cell>
          <cell r="E1355"/>
          <cell r="F1355"/>
          <cell r="G1355" t="str">
            <v>M3</v>
          </cell>
          <cell r="H1355">
            <v>1</v>
          </cell>
          <cell r="I1355">
            <v>62.01659999999999</v>
          </cell>
          <cell r="J1355">
            <v>2</v>
          </cell>
          <cell r="K1355">
            <v>0.15</v>
          </cell>
          <cell r="L1355">
            <v>18.604979999999998</v>
          </cell>
        </row>
        <row r="1356">
          <cell r="B1356" t="str">
            <v>CALLE 99C ENTRE LOTE Y CRA 17</v>
          </cell>
          <cell r="C1356" t="str">
            <v>DV_TOTALC</v>
          </cell>
          <cell r="D1356" t="str">
            <v>BARRIO LAS DELICIAS</v>
          </cell>
          <cell r="E1356"/>
          <cell r="F1356"/>
          <cell r="G1356" t="str">
            <v>M3</v>
          </cell>
          <cell r="H1356">
            <v>1</v>
          </cell>
          <cell r="I1356">
            <v>57.104799999999997</v>
          </cell>
          <cell r="J1356">
            <v>1</v>
          </cell>
          <cell r="K1356">
            <v>0.15</v>
          </cell>
          <cell r="L1356">
            <v>8.5657199999999989</v>
          </cell>
        </row>
        <row r="1357">
          <cell r="B1357" t="str">
            <v>CALLE 99B ENTRE LOTE Y CRA 17</v>
          </cell>
          <cell r="C1357" t="str">
            <v>DV_TOTALC</v>
          </cell>
          <cell r="D1357" t="str">
            <v>BARRIO LAS DELICIAS</v>
          </cell>
          <cell r="E1357"/>
          <cell r="F1357"/>
          <cell r="G1357" t="str">
            <v>M3</v>
          </cell>
          <cell r="H1357">
            <v>1</v>
          </cell>
          <cell r="I1357">
            <v>49.749400000000001</v>
          </cell>
          <cell r="J1357">
            <v>1</v>
          </cell>
          <cell r="K1357">
            <v>0.15</v>
          </cell>
          <cell r="L1357">
            <v>7.4624100000000002</v>
          </cell>
        </row>
        <row r="1358">
          <cell r="B1358" t="str">
            <v>CALLE 99A ENTRE LOTE Y CRA 17</v>
          </cell>
          <cell r="C1358" t="str">
            <v>DV_TOTALC</v>
          </cell>
          <cell r="D1358" t="str">
            <v>BARRIO LAS DELICIAS</v>
          </cell>
          <cell r="E1358"/>
          <cell r="F1358"/>
          <cell r="G1358" t="str">
            <v>M3</v>
          </cell>
          <cell r="H1358">
            <v>1</v>
          </cell>
          <cell r="I1358">
            <v>245.5736</v>
          </cell>
          <cell r="J1358">
            <v>2</v>
          </cell>
          <cell r="K1358">
            <v>0.15</v>
          </cell>
          <cell r="L1358">
            <v>73.672079999999994</v>
          </cell>
        </row>
        <row r="1359">
          <cell r="B1359" t="str">
            <v>CALLE 99AA ENTRE LOTE Y CRA 17</v>
          </cell>
          <cell r="C1359" t="str">
            <v>DV_TOTALC</v>
          </cell>
          <cell r="D1359" t="str">
            <v>BARRIO LAS DELICIAS</v>
          </cell>
          <cell r="E1359"/>
          <cell r="F1359"/>
          <cell r="G1359" t="str">
            <v>M3</v>
          </cell>
          <cell r="H1359">
            <v>1</v>
          </cell>
          <cell r="I1359">
            <v>127.91999999999999</v>
          </cell>
          <cell r="J1359">
            <v>2</v>
          </cell>
          <cell r="K1359">
            <v>0.15</v>
          </cell>
          <cell r="L1359">
            <v>38.375999999999998</v>
          </cell>
        </row>
        <row r="1360">
          <cell r="B1360" t="str">
            <v>CARRERA 17 ENTRE CALL 99 Y 100</v>
          </cell>
          <cell r="C1360" t="str">
            <v>DV_TOTALC</v>
          </cell>
          <cell r="D1360" t="str">
            <v>BARRIO LAS DELICIAS</v>
          </cell>
          <cell r="E1360"/>
          <cell r="F1360"/>
          <cell r="G1360" t="str">
            <v>M3</v>
          </cell>
          <cell r="H1360">
            <v>1</v>
          </cell>
          <cell r="I1360">
            <v>343.31760000000003</v>
          </cell>
          <cell r="J1360">
            <v>2</v>
          </cell>
          <cell r="K1360">
            <v>0.15</v>
          </cell>
          <cell r="L1360">
            <v>102.99528000000001</v>
          </cell>
        </row>
        <row r="1361">
          <cell r="B1361" t="str">
            <v>CARRERA 17A ENTRE CALL 99 Y 100</v>
          </cell>
          <cell r="C1361" t="str">
            <v>DV_TOTALC</v>
          </cell>
          <cell r="D1361" t="str">
            <v>BARRIO LAS DELICIAS</v>
          </cell>
          <cell r="E1361"/>
          <cell r="F1361"/>
          <cell r="G1361" t="str">
            <v>M3</v>
          </cell>
          <cell r="H1361">
            <v>1</v>
          </cell>
          <cell r="I1361">
            <v>248.36979999999997</v>
          </cell>
          <cell r="J1361">
            <v>2</v>
          </cell>
          <cell r="K1361">
            <v>0.15</v>
          </cell>
          <cell r="L1361">
            <v>74.510939999999991</v>
          </cell>
        </row>
        <row r="1362">
          <cell r="B1362" t="str">
            <v>CALLE 97A ENTRE 19 Y 23</v>
          </cell>
          <cell r="C1362" t="str">
            <v>DV_TOTALD</v>
          </cell>
          <cell r="D1362" t="str">
            <v>BARRIO EL BOSQUE</v>
          </cell>
          <cell r="E1362"/>
          <cell r="F1362"/>
          <cell r="G1362" t="str">
            <v>M3</v>
          </cell>
          <cell r="H1362">
            <v>1</v>
          </cell>
          <cell r="I1362">
            <v>278.04560000000004</v>
          </cell>
          <cell r="J1362">
            <v>2</v>
          </cell>
          <cell r="K1362">
            <v>0.15</v>
          </cell>
          <cell r="L1362">
            <v>83.413680000000014</v>
          </cell>
        </row>
        <row r="1363">
          <cell r="B1363" t="str">
            <v>CALLE 97 ENTRE 19 Y 23</v>
          </cell>
          <cell r="C1363" t="str">
            <v>DV_TOTALD</v>
          </cell>
          <cell r="D1363" t="str">
            <v>BARRIO EL BOSQUE</v>
          </cell>
          <cell r="E1363"/>
          <cell r="F1363"/>
          <cell r="G1363" t="str">
            <v>M3</v>
          </cell>
          <cell r="H1363">
            <v>1</v>
          </cell>
          <cell r="I1363">
            <v>489.41699999999997</v>
          </cell>
          <cell r="J1363">
            <v>2</v>
          </cell>
          <cell r="K1363">
            <v>0.15</v>
          </cell>
          <cell r="L1363">
            <v>146.82509999999999</v>
          </cell>
        </row>
        <row r="1364">
          <cell r="B1364" t="str">
            <v>CALLE 96A ENTRE 19 Y 23</v>
          </cell>
          <cell r="C1364" t="str">
            <v>DV_TOTALD</v>
          </cell>
          <cell r="D1364" t="str">
            <v>BARRIO EL BOSQUE</v>
          </cell>
          <cell r="E1364"/>
          <cell r="F1364"/>
          <cell r="G1364" t="str">
            <v>M3</v>
          </cell>
          <cell r="H1364">
            <v>1</v>
          </cell>
          <cell r="I1364">
            <v>477.60899999999992</v>
          </cell>
          <cell r="J1364">
            <v>2</v>
          </cell>
          <cell r="K1364">
            <v>0.15</v>
          </cell>
          <cell r="L1364">
            <v>143.28269999999998</v>
          </cell>
        </row>
        <row r="1365">
          <cell r="B1365" t="str">
            <v>CALLE 96 ENTRE 19 Y 23</v>
          </cell>
          <cell r="C1365" t="str">
            <v>DV_TOTALD</v>
          </cell>
          <cell r="D1365" t="str">
            <v>BARRIO EL BOSQUE</v>
          </cell>
          <cell r="E1365"/>
          <cell r="F1365"/>
          <cell r="G1365" t="str">
            <v>M3</v>
          </cell>
          <cell r="H1365">
            <v>1</v>
          </cell>
          <cell r="I1365">
            <v>472.45940000000002</v>
          </cell>
          <cell r="J1365">
            <v>2</v>
          </cell>
          <cell r="K1365">
            <v>0.15</v>
          </cell>
          <cell r="L1365">
            <v>141.73782</v>
          </cell>
        </row>
        <row r="1366">
          <cell r="B1366" t="str">
            <v>CALLE 95 ENTRE 19 Y 23</v>
          </cell>
          <cell r="C1366" t="str">
            <v>DV_TOTALD</v>
          </cell>
          <cell r="D1366" t="str">
            <v>BARRIO EL BOSQUE</v>
          </cell>
          <cell r="E1366"/>
          <cell r="F1366"/>
          <cell r="G1366" t="str">
            <v>M3</v>
          </cell>
          <cell r="H1366">
            <v>1</v>
          </cell>
          <cell r="I1366">
            <v>277.38139999999999</v>
          </cell>
          <cell r="J1366">
            <v>2</v>
          </cell>
          <cell r="K1366">
            <v>0.15</v>
          </cell>
          <cell r="L1366">
            <v>83.21441999999999</v>
          </cell>
        </row>
        <row r="1367">
          <cell r="B1367" t="str">
            <v>CALLE 94 ENTRE 19 Y 23</v>
          </cell>
          <cell r="C1367" t="str">
            <v>DV_TOTALD</v>
          </cell>
          <cell r="D1367" t="str">
            <v>BARRIO EL BOSQUE</v>
          </cell>
          <cell r="E1367"/>
          <cell r="F1367"/>
          <cell r="G1367" t="str">
            <v>M3</v>
          </cell>
          <cell r="H1367">
            <v>1</v>
          </cell>
          <cell r="I1367">
            <v>278.16039999999998</v>
          </cell>
          <cell r="J1367">
            <v>2</v>
          </cell>
          <cell r="K1367">
            <v>0.15</v>
          </cell>
          <cell r="L1367">
            <v>83.448119999999989</v>
          </cell>
        </row>
        <row r="1368">
          <cell r="B1368" t="str">
            <v>CALLE 93 ENTRE 15 Y 23</v>
          </cell>
          <cell r="C1368" t="str">
            <v>DV_TOTALD</v>
          </cell>
          <cell r="D1368" t="str">
            <v>BARRIO EL BOSQUE</v>
          </cell>
          <cell r="E1368"/>
          <cell r="F1368"/>
          <cell r="G1368" t="str">
            <v>M3</v>
          </cell>
          <cell r="H1368">
            <v>1</v>
          </cell>
          <cell r="I1368">
            <v>442.73439999999982</v>
          </cell>
          <cell r="J1368">
            <v>2</v>
          </cell>
          <cell r="K1368">
            <v>0.15</v>
          </cell>
          <cell r="L1368">
            <v>132.82031999999995</v>
          </cell>
        </row>
        <row r="1369">
          <cell r="B1369" t="str">
            <v>CARRERA 17 ENTRE CALLE 94 Y 97A</v>
          </cell>
          <cell r="C1369" t="str">
            <v>DV_TOTALD</v>
          </cell>
          <cell r="D1369" t="str">
            <v>BARRIO EL BOSQUE</v>
          </cell>
          <cell r="E1369"/>
          <cell r="F1369"/>
          <cell r="G1369" t="str">
            <v>M3</v>
          </cell>
          <cell r="H1369">
            <v>1</v>
          </cell>
          <cell r="I1369">
            <v>232.92919999999998</v>
          </cell>
          <cell r="J1369">
            <v>2</v>
          </cell>
          <cell r="K1369">
            <v>0.15</v>
          </cell>
          <cell r="L1369">
            <v>69.878759999999986</v>
          </cell>
        </row>
        <row r="1370">
          <cell r="B1370" t="str">
            <v>CARRERA 20 ENTRE CALLE 93 Y 97A</v>
          </cell>
          <cell r="C1370" t="str">
            <v>DV_TOTALD</v>
          </cell>
          <cell r="D1370" t="str">
            <v>BARRIO EL BOSQUE</v>
          </cell>
          <cell r="E1370"/>
          <cell r="F1370"/>
          <cell r="G1370" t="str">
            <v>M3</v>
          </cell>
          <cell r="H1370">
            <v>1</v>
          </cell>
          <cell r="I1370">
            <v>257.04539999999997</v>
          </cell>
          <cell r="J1370">
            <v>2</v>
          </cell>
          <cell r="K1370">
            <v>0.15</v>
          </cell>
          <cell r="L1370">
            <v>77.113619999999983</v>
          </cell>
        </row>
        <row r="1371">
          <cell r="B1371" t="str">
            <v>CARRERA 21 ENTRE CALLE 93 Y 97A</v>
          </cell>
          <cell r="C1371" t="str">
            <v>DV_TOTALD</v>
          </cell>
          <cell r="D1371" t="str">
            <v>BARRIO EL BOSQUE</v>
          </cell>
          <cell r="E1371"/>
          <cell r="F1371"/>
          <cell r="G1371" t="str">
            <v>M3</v>
          </cell>
          <cell r="H1371">
            <v>1</v>
          </cell>
          <cell r="I1371">
            <v>257.04540000000003</v>
          </cell>
          <cell r="J1371">
            <v>2</v>
          </cell>
          <cell r="K1371">
            <v>0.15</v>
          </cell>
          <cell r="L1371">
            <v>77.113620000000012</v>
          </cell>
        </row>
        <row r="1372">
          <cell r="B1372" t="str">
            <v>CALLE 110 ENTRE CARRERA 14 Y 27</v>
          </cell>
          <cell r="C1372" t="str">
            <v>DV_TOTALE</v>
          </cell>
          <cell r="D1372" t="str">
            <v>BARRIO JESUS MORA CALLE 110</v>
          </cell>
          <cell r="E1372"/>
          <cell r="F1372"/>
          <cell r="G1372" t="str">
            <v>M3</v>
          </cell>
          <cell r="H1372">
            <v>1</v>
          </cell>
          <cell r="I1372">
            <v>1152.2557999999997</v>
          </cell>
          <cell r="J1372">
            <v>2</v>
          </cell>
          <cell r="K1372">
            <v>0.15</v>
          </cell>
          <cell r="L1372">
            <v>345.67673999999988</v>
          </cell>
        </row>
        <row r="1373">
          <cell r="J1373" t="str">
            <v>VALOR TOTAL</v>
          </cell>
          <cell r="K1373"/>
          <cell r="L1373">
            <v>2205.4994699999997</v>
          </cell>
        </row>
        <row r="1375">
          <cell r="B1375" t="str">
            <v>3.2</v>
          </cell>
          <cell r="C1375" t="str">
            <v>DESCRIPCION</v>
          </cell>
          <cell r="D1375"/>
          <cell r="E1375" t="str">
            <v>Suministro e instalación de geotextil 2400, estabilización de subrasante, separación de materiales</v>
          </cell>
          <cell r="F1375"/>
          <cell r="G1375"/>
          <cell r="H1375"/>
          <cell r="I1375" t="str">
            <v>UN</v>
          </cell>
          <cell r="J1375" t="str">
            <v>M2</v>
          </cell>
          <cell r="K1375" t="str">
            <v>CANTIDAD</v>
          </cell>
          <cell r="L1375">
            <v>14703</v>
          </cell>
        </row>
        <row r="1377">
          <cell r="B1377" t="str">
            <v>COD EP</v>
          </cell>
          <cell r="C1377" t="str">
            <v>COD EP</v>
          </cell>
          <cell r="D1377" t="str">
            <v>DESCRIPCION /LOCALIZACION</v>
          </cell>
          <cell r="E1377"/>
          <cell r="F1377"/>
          <cell r="G1377" t="str">
            <v>UNIDAD</v>
          </cell>
          <cell r="H1377" t="str">
            <v>CAN/UN</v>
          </cell>
          <cell r="I1377" t="str">
            <v>LARGO</v>
          </cell>
          <cell r="J1377" t="str">
            <v>ANCHO</v>
          </cell>
          <cell r="K1377" t="str">
            <v>ALTURA</v>
          </cell>
          <cell r="L1377" t="str">
            <v>CAN MED</v>
          </cell>
        </row>
        <row r="1378">
          <cell r="B1378" t="str">
            <v>CALLE 102C ENTRE CARRERA 19 Y 21</v>
          </cell>
          <cell r="C1378" t="str">
            <v>DV_TOTALA</v>
          </cell>
          <cell r="D1378" t="str">
            <v>BARRIO CIUDADELA INDUSTRIAL</v>
          </cell>
          <cell r="E1378"/>
          <cell r="F1378"/>
          <cell r="G1378" t="str">
            <v>M2</v>
          </cell>
          <cell r="H1378">
            <v>1</v>
          </cell>
          <cell r="I1378">
            <v>158.80940000000001</v>
          </cell>
          <cell r="J1378">
            <v>2</v>
          </cell>
          <cell r="L1378">
            <v>317.61880000000002</v>
          </cell>
        </row>
        <row r="1379">
          <cell r="B1379" t="str">
            <v>CALLE 102B ENTRE CARRERA 19 Y 21</v>
          </cell>
          <cell r="C1379" t="str">
            <v>DV_TOTALA</v>
          </cell>
          <cell r="D1379" t="str">
            <v>BARRIO CIUDADELA INDUSTRIAL</v>
          </cell>
          <cell r="E1379"/>
          <cell r="F1379"/>
          <cell r="G1379" t="str">
            <v>M2</v>
          </cell>
          <cell r="H1379">
            <v>1</v>
          </cell>
          <cell r="I1379">
            <v>196.35719999999998</v>
          </cell>
          <cell r="J1379">
            <v>2</v>
          </cell>
          <cell r="L1379">
            <v>392.71439999999996</v>
          </cell>
        </row>
        <row r="1380">
          <cell r="B1380" t="str">
            <v>CARRERA 20 ENTRE CALLE 102 B Y 102 D</v>
          </cell>
          <cell r="C1380" t="str">
            <v>DV_TOTALA</v>
          </cell>
          <cell r="D1380" t="str">
            <v>BARRIO CIUDADELA INDUSTRIAL</v>
          </cell>
          <cell r="E1380"/>
          <cell r="F1380"/>
          <cell r="G1380" t="str">
            <v>M2</v>
          </cell>
          <cell r="H1380">
            <v>1</v>
          </cell>
          <cell r="I1380">
            <v>76.858599999999981</v>
          </cell>
          <cell r="J1380">
            <v>2</v>
          </cell>
          <cell r="L1380">
            <v>153.71719999999996</v>
          </cell>
        </row>
        <row r="1381">
          <cell r="B1381" t="str">
            <v>CARRERA 21 ENTRE CALLE 102 B Y 102 D</v>
          </cell>
          <cell r="C1381" t="str">
            <v>DV_TOTALA</v>
          </cell>
          <cell r="D1381" t="str">
            <v>BARRIO CIUDADELA INDUSTRIAL</v>
          </cell>
          <cell r="E1381"/>
          <cell r="F1381"/>
          <cell r="G1381" t="str">
            <v>M2</v>
          </cell>
          <cell r="H1381">
            <v>1</v>
          </cell>
          <cell r="I1381">
            <v>80.00739999999999</v>
          </cell>
          <cell r="J1381">
            <v>2</v>
          </cell>
          <cell r="L1381">
            <v>160.01479999999998</v>
          </cell>
        </row>
        <row r="1382">
          <cell r="B1382" t="str">
            <v>CALLE 102D ENTRE CARRERA 20 Y 21A</v>
          </cell>
          <cell r="C1382" t="str">
            <v>DV_TOTALA</v>
          </cell>
          <cell r="D1382" t="str">
            <v>BARRIO CIUDADELA INDUSTRIAL</v>
          </cell>
          <cell r="E1382"/>
          <cell r="F1382"/>
          <cell r="G1382" t="str">
            <v>M2</v>
          </cell>
          <cell r="H1382">
            <v>1</v>
          </cell>
          <cell r="I1382">
            <v>89.174999999999997</v>
          </cell>
          <cell r="J1382">
            <v>2</v>
          </cell>
          <cell r="L1382">
            <v>178.35</v>
          </cell>
        </row>
        <row r="1383">
          <cell r="B1383" t="str">
            <v>CALLE 102A ENTRE CARRERA 17 Y 19</v>
          </cell>
          <cell r="C1383" t="str">
            <v>DV_TOTALB</v>
          </cell>
          <cell r="D1383" t="str">
            <v>BARRIO JUAN XXIII</v>
          </cell>
          <cell r="E1383"/>
          <cell r="F1383"/>
          <cell r="G1383" t="str">
            <v>M2</v>
          </cell>
          <cell r="H1383">
            <v>1</v>
          </cell>
          <cell r="I1383">
            <v>153.2088</v>
          </cell>
          <cell r="J1383">
            <v>2</v>
          </cell>
          <cell r="L1383">
            <v>306.41759999999999</v>
          </cell>
        </row>
        <row r="1384">
          <cell r="B1384" t="str">
            <v>CALLE 102B ENTRE CARRERA 17 Y 19</v>
          </cell>
          <cell r="C1384" t="str">
            <v>DV_TOTALB</v>
          </cell>
          <cell r="D1384" t="str">
            <v>BARRIO JUAN XXIII</v>
          </cell>
          <cell r="E1384"/>
          <cell r="F1384"/>
          <cell r="G1384" t="str">
            <v>M2</v>
          </cell>
          <cell r="H1384">
            <v>1</v>
          </cell>
          <cell r="I1384">
            <v>111.4708</v>
          </cell>
          <cell r="J1384">
            <v>2</v>
          </cell>
          <cell r="L1384">
            <v>222.94159999999999</v>
          </cell>
        </row>
        <row r="1385">
          <cell r="B1385" t="str">
            <v>CALLE 102 ENTRE CARRERA 17 Y 19</v>
          </cell>
          <cell r="C1385" t="str">
            <v>DV_TOTALB</v>
          </cell>
          <cell r="D1385" t="str">
            <v>BARRIO JUAN XXIII</v>
          </cell>
          <cell r="E1385"/>
          <cell r="F1385"/>
          <cell r="G1385" t="str">
            <v>M2</v>
          </cell>
          <cell r="H1385">
            <v>1</v>
          </cell>
          <cell r="I1385">
            <v>202.81059999999997</v>
          </cell>
          <cell r="J1385">
            <v>2</v>
          </cell>
          <cell r="L1385">
            <v>405.62119999999993</v>
          </cell>
        </row>
        <row r="1386">
          <cell r="B1386" t="str">
            <v>CALLE 101 ENTRE CARRERA 17 Y 17A</v>
          </cell>
          <cell r="C1386" t="str">
            <v>DV_TOTALB</v>
          </cell>
          <cell r="D1386" t="str">
            <v>BARRIO JUAN XXIII</v>
          </cell>
          <cell r="E1386"/>
          <cell r="F1386"/>
          <cell r="G1386" t="str">
            <v>M2</v>
          </cell>
          <cell r="H1386">
            <v>1</v>
          </cell>
          <cell r="I1386">
            <v>132.79899999999998</v>
          </cell>
          <cell r="J1386">
            <v>2</v>
          </cell>
          <cell r="L1386">
            <v>265.59799999999996</v>
          </cell>
        </row>
        <row r="1387">
          <cell r="B1387" t="str">
            <v>CARRERA 17A ENTRE CALLE 101 Y 102</v>
          </cell>
          <cell r="C1387" t="str">
            <v>DV_TOTALB</v>
          </cell>
          <cell r="D1387" t="str">
            <v>BARRIO JUAN XXIII</v>
          </cell>
          <cell r="E1387"/>
          <cell r="F1387"/>
          <cell r="G1387" t="str">
            <v>M2</v>
          </cell>
          <cell r="H1387">
            <v>1</v>
          </cell>
          <cell r="I1387">
            <v>41.196799999999996</v>
          </cell>
          <cell r="J1387">
            <v>2</v>
          </cell>
          <cell r="L1387">
            <v>82.393599999999992</v>
          </cell>
        </row>
        <row r="1388">
          <cell r="B1388" t="str">
            <v>CARRERA 17 ENTRE CALLE 100 102B</v>
          </cell>
          <cell r="C1388" t="str">
            <v>DV_TOTALB</v>
          </cell>
          <cell r="D1388" t="str">
            <v>BARRIO JUAN XXIII</v>
          </cell>
          <cell r="E1388"/>
          <cell r="F1388"/>
          <cell r="G1388" t="str">
            <v>M2</v>
          </cell>
          <cell r="H1388">
            <v>1</v>
          </cell>
          <cell r="I1388">
            <v>278.72619999999995</v>
          </cell>
          <cell r="J1388">
            <v>2</v>
          </cell>
          <cell r="L1388">
            <v>557.4523999999999</v>
          </cell>
        </row>
        <row r="1389">
          <cell r="B1389" t="str">
            <v>CALLE 99E ENTRE LOTE Y CRA 17</v>
          </cell>
          <cell r="C1389" t="str">
            <v>DV_TOTALC</v>
          </cell>
          <cell r="D1389" t="str">
            <v>BARRIO LAS DELICIAS</v>
          </cell>
          <cell r="E1389"/>
          <cell r="F1389"/>
          <cell r="G1389" t="str">
            <v>M2</v>
          </cell>
          <cell r="H1389">
            <v>1</v>
          </cell>
          <cell r="I1389">
            <v>134.53739999999999</v>
          </cell>
          <cell r="J1389">
            <v>2</v>
          </cell>
          <cell r="L1389">
            <v>269.07479999999998</v>
          </cell>
        </row>
        <row r="1390">
          <cell r="B1390" t="str">
            <v>CALLE 99D ENTRE LOTE Y CRA 17</v>
          </cell>
          <cell r="C1390" t="str">
            <v>DV_TOTALC</v>
          </cell>
          <cell r="D1390" t="str">
            <v>BARRIO LAS DELICIAS</v>
          </cell>
          <cell r="E1390"/>
          <cell r="F1390"/>
          <cell r="G1390" t="str">
            <v>M2</v>
          </cell>
          <cell r="H1390">
            <v>1</v>
          </cell>
          <cell r="I1390">
            <v>62.01659999999999</v>
          </cell>
          <cell r="J1390">
            <v>2</v>
          </cell>
          <cell r="L1390">
            <v>124.03319999999998</v>
          </cell>
        </row>
        <row r="1391">
          <cell r="B1391" t="str">
            <v>CALLE 99C ENTRE LOTE Y CRA 17</v>
          </cell>
          <cell r="C1391" t="str">
            <v>DV_TOTALC</v>
          </cell>
          <cell r="D1391" t="str">
            <v>BARRIO LAS DELICIAS</v>
          </cell>
          <cell r="E1391"/>
          <cell r="F1391"/>
          <cell r="G1391" t="str">
            <v>M2</v>
          </cell>
          <cell r="H1391">
            <v>1</v>
          </cell>
          <cell r="I1391">
            <v>57.104799999999997</v>
          </cell>
          <cell r="J1391">
            <v>1</v>
          </cell>
          <cell r="L1391">
            <v>57.104799999999997</v>
          </cell>
        </row>
        <row r="1392">
          <cell r="B1392" t="str">
            <v>CALLE 99B ENTRE LOTE Y CRA 17</v>
          </cell>
          <cell r="C1392" t="str">
            <v>DV_TOTALC</v>
          </cell>
          <cell r="D1392" t="str">
            <v>BARRIO LAS DELICIAS</v>
          </cell>
          <cell r="E1392"/>
          <cell r="F1392"/>
          <cell r="G1392" t="str">
            <v>M2</v>
          </cell>
          <cell r="H1392">
            <v>1</v>
          </cell>
          <cell r="I1392">
            <v>49.749400000000001</v>
          </cell>
          <cell r="J1392">
            <v>1</v>
          </cell>
          <cell r="L1392">
            <v>49.749400000000001</v>
          </cell>
        </row>
        <row r="1393">
          <cell r="B1393" t="str">
            <v>CALLE 99A ENTRE LOTE Y CRA 17</v>
          </cell>
          <cell r="C1393" t="str">
            <v>DV_TOTALC</v>
          </cell>
          <cell r="D1393" t="str">
            <v>BARRIO LAS DELICIAS</v>
          </cell>
          <cell r="E1393"/>
          <cell r="F1393"/>
          <cell r="G1393" t="str">
            <v>M2</v>
          </cell>
          <cell r="H1393">
            <v>1</v>
          </cell>
          <cell r="I1393">
            <v>245.5736</v>
          </cell>
          <cell r="J1393">
            <v>2</v>
          </cell>
          <cell r="L1393">
            <v>491.1472</v>
          </cell>
        </row>
        <row r="1394">
          <cell r="B1394" t="str">
            <v>CALLE 99AA ENTRE LOTE Y CRA 17</v>
          </cell>
          <cell r="C1394" t="str">
            <v>DV_TOTALC</v>
          </cell>
          <cell r="D1394" t="str">
            <v>BARRIO LAS DELICIAS</v>
          </cell>
          <cell r="E1394"/>
          <cell r="F1394"/>
          <cell r="G1394" t="str">
            <v>M2</v>
          </cell>
          <cell r="H1394">
            <v>1</v>
          </cell>
          <cell r="I1394">
            <v>127.91999999999999</v>
          </cell>
          <cell r="J1394">
            <v>2</v>
          </cell>
          <cell r="L1394">
            <v>255.83999999999997</v>
          </cell>
        </row>
        <row r="1395">
          <cell r="B1395" t="str">
            <v>CARRERA 17 ENTRE CALL 99 Y 100</v>
          </cell>
          <cell r="C1395" t="str">
            <v>DV_TOTALC</v>
          </cell>
          <cell r="D1395" t="str">
            <v>BARRIO LAS DELICIAS</v>
          </cell>
          <cell r="E1395"/>
          <cell r="F1395"/>
          <cell r="G1395" t="str">
            <v>M2</v>
          </cell>
          <cell r="H1395">
            <v>1</v>
          </cell>
          <cell r="I1395">
            <v>343.31760000000003</v>
          </cell>
          <cell r="J1395">
            <v>2</v>
          </cell>
          <cell r="L1395">
            <v>686.63520000000005</v>
          </cell>
        </row>
        <row r="1396">
          <cell r="B1396" t="str">
            <v>CARRERA 17A ENTRE CALL 99 Y 100</v>
          </cell>
          <cell r="C1396" t="str">
            <v>DV_TOTALC</v>
          </cell>
          <cell r="D1396" t="str">
            <v>BARRIO LAS DELICIAS</v>
          </cell>
          <cell r="E1396"/>
          <cell r="F1396"/>
          <cell r="G1396" t="str">
            <v>M2</v>
          </cell>
          <cell r="H1396">
            <v>1</v>
          </cell>
          <cell r="I1396">
            <v>248.36979999999997</v>
          </cell>
          <cell r="J1396">
            <v>2</v>
          </cell>
          <cell r="L1396">
            <v>496.73959999999994</v>
          </cell>
        </row>
        <row r="1397">
          <cell r="B1397" t="str">
            <v>CALLE 97A ENTRE 19 Y 23</v>
          </cell>
          <cell r="C1397" t="str">
            <v>DV_TOTALD</v>
          </cell>
          <cell r="D1397" t="str">
            <v>BARRIO EL BOSQUE</v>
          </cell>
          <cell r="E1397"/>
          <cell r="F1397"/>
          <cell r="G1397" t="str">
            <v>M2</v>
          </cell>
          <cell r="H1397">
            <v>1</v>
          </cell>
          <cell r="I1397">
            <v>278.04560000000004</v>
          </cell>
          <cell r="J1397">
            <v>2</v>
          </cell>
          <cell r="L1397">
            <v>556.09120000000007</v>
          </cell>
        </row>
        <row r="1398">
          <cell r="B1398" t="str">
            <v>CALLE 97 ENTRE 19 Y 23</v>
          </cell>
          <cell r="C1398" t="str">
            <v>DV_TOTALD</v>
          </cell>
          <cell r="D1398" t="str">
            <v>BARRIO EL BOSQUE</v>
          </cell>
          <cell r="E1398"/>
          <cell r="F1398"/>
          <cell r="G1398" t="str">
            <v>M2</v>
          </cell>
          <cell r="H1398">
            <v>1</v>
          </cell>
          <cell r="I1398">
            <v>489.41699999999997</v>
          </cell>
          <cell r="J1398">
            <v>2</v>
          </cell>
          <cell r="L1398">
            <v>978.83399999999995</v>
          </cell>
        </row>
        <row r="1399">
          <cell r="B1399" t="str">
            <v>CALLE 96A ENTRE 19 Y 23</v>
          </cell>
          <cell r="C1399" t="str">
            <v>DV_TOTALD</v>
          </cell>
          <cell r="D1399" t="str">
            <v>BARRIO EL BOSQUE</v>
          </cell>
          <cell r="E1399"/>
          <cell r="F1399"/>
          <cell r="G1399" t="str">
            <v>M2</v>
          </cell>
          <cell r="H1399">
            <v>1</v>
          </cell>
          <cell r="I1399">
            <v>477.60899999999992</v>
          </cell>
          <cell r="J1399">
            <v>2</v>
          </cell>
          <cell r="L1399">
            <v>955.21799999999985</v>
          </cell>
        </row>
        <row r="1400">
          <cell r="B1400" t="str">
            <v>CALLE 96 ENTRE 19 Y 23</v>
          </cell>
          <cell r="C1400" t="str">
            <v>DV_TOTALD</v>
          </cell>
          <cell r="D1400" t="str">
            <v>BARRIO EL BOSQUE</v>
          </cell>
          <cell r="E1400"/>
          <cell r="F1400"/>
          <cell r="G1400" t="str">
            <v>M2</v>
          </cell>
          <cell r="H1400">
            <v>1</v>
          </cell>
          <cell r="I1400">
            <v>472.45940000000002</v>
          </cell>
          <cell r="J1400">
            <v>2</v>
          </cell>
          <cell r="L1400">
            <v>944.91880000000003</v>
          </cell>
        </row>
        <row r="1401">
          <cell r="B1401" t="str">
            <v>CALLE 95 ENTRE 19 Y 23</v>
          </cell>
          <cell r="C1401" t="str">
            <v>DV_TOTALD</v>
          </cell>
          <cell r="D1401" t="str">
            <v>BARRIO EL BOSQUE</v>
          </cell>
          <cell r="E1401"/>
          <cell r="F1401"/>
          <cell r="G1401" t="str">
            <v>M2</v>
          </cell>
          <cell r="H1401">
            <v>1</v>
          </cell>
          <cell r="I1401">
            <v>277.38139999999999</v>
          </cell>
          <cell r="J1401">
            <v>2</v>
          </cell>
          <cell r="L1401">
            <v>554.76279999999997</v>
          </cell>
        </row>
        <row r="1402">
          <cell r="B1402" t="str">
            <v>CALLE 94 ENTRE 19 Y 23</v>
          </cell>
          <cell r="C1402" t="str">
            <v>DV_TOTALD</v>
          </cell>
          <cell r="D1402" t="str">
            <v>BARRIO EL BOSQUE</v>
          </cell>
          <cell r="E1402"/>
          <cell r="F1402"/>
          <cell r="G1402" t="str">
            <v>M2</v>
          </cell>
          <cell r="H1402">
            <v>1</v>
          </cell>
          <cell r="I1402">
            <v>278.16039999999998</v>
          </cell>
          <cell r="J1402">
            <v>2</v>
          </cell>
          <cell r="L1402">
            <v>556.32079999999996</v>
          </cell>
        </row>
        <row r="1403">
          <cell r="B1403" t="str">
            <v>CALLE 93 ENTRE 15 Y 23</v>
          </cell>
          <cell r="C1403" t="str">
            <v>DV_TOTALD</v>
          </cell>
          <cell r="D1403" t="str">
            <v>BARRIO EL BOSQUE</v>
          </cell>
          <cell r="E1403"/>
          <cell r="F1403"/>
          <cell r="G1403" t="str">
            <v>M2</v>
          </cell>
          <cell r="H1403">
            <v>1</v>
          </cell>
          <cell r="I1403">
            <v>442.73439999999982</v>
          </cell>
          <cell r="J1403">
            <v>2</v>
          </cell>
          <cell r="L1403">
            <v>885.46879999999965</v>
          </cell>
        </row>
        <row r="1404">
          <cell r="B1404" t="str">
            <v>CARRERA 17 ENTRE CALLE 94 Y 97A</v>
          </cell>
          <cell r="C1404" t="str">
            <v>DV_TOTALD</v>
          </cell>
          <cell r="D1404" t="str">
            <v>BARRIO EL BOSQUE</v>
          </cell>
          <cell r="E1404"/>
          <cell r="F1404"/>
          <cell r="G1404" t="str">
            <v>M2</v>
          </cell>
          <cell r="H1404">
            <v>1</v>
          </cell>
          <cell r="I1404">
            <v>232.92919999999998</v>
          </cell>
          <cell r="J1404">
            <v>2</v>
          </cell>
          <cell r="L1404">
            <v>465.85839999999996</v>
          </cell>
        </row>
        <row r="1405">
          <cell r="B1405" t="str">
            <v>CARRERA 20 ENTRE CALLE 93 Y 97A</v>
          </cell>
          <cell r="C1405" t="str">
            <v>DV_TOTALD</v>
          </cell>
          <cell r="D1405" t="str">
            <v>BARRIO EL BOSQUE</v>
          </cell>
          <cell r="E1405"/>
          <cell r="F1405"/>
          <cell r="G1405" t="str">
            <v>M2</v>
          </cell>
          <cell r="H1405">
            <v>1</v>
          </cell>
          <cell r="I1405">
            <v>257.04539999999997</v>
          </cell>
          <cell r="J1405">
            <v>2</v>
          </cell>
          <cell r="L1405">
            <v>514.09079999999994</v>
          </cell>
        </row>
        <row r="1406">
          <cell r="B1406" t="str">
            <v>CARRERA 21 ENTRE CALLE 93 Y 97A</v>
          </cell>
          <cell r="C1406" t="str">
            <v>DV_TOTALD</v>
          </cell>
          <cell r="D1406" t="str">
            <v>BARRIO EL BOSQUE</v>
          </cell>
          <cell r="E1406"/>
          <cell r="F1406"/>
          <cell r="G1406" t="str">
            <v>M2</v>
          </cell>
          <cell r="H1406">
            <v>1</v>
          </cell>
          <cell r="I1406">
            <v>257.04540000000003</v>
          </cell>
          <cell r="J1406">
            <v>2</v>
          </cell>
          <cell r="L1406">
            <v>514.09080000000006</v>
          </cell>
        </row>
        <row r="1407">
          <cell r="B1407" t="str">
            <v>CALLE 110 ENTRE CARRERA 14 Y 27</v>
          </cell>
          <cell r="C1407" t="str">
            <v>DV_TOTALE</v>
          </cell>
          <cell r="D1407" t="str">
            <v>BARRIO JESUS MORA CALLE 110</v>
          </cell>
          <cell r="E1407"/>
          <cell r="F1407"/>
          <cell r="G1407" t="str">
            <v>M2</v>
          </cell>
          <cell r="H1407">
            <v>1</v>
          </cell>
          <cell r="I1407">
            <v>1152.2557999999997</v>
          </cell>
          <cell r="J1407">
            <v>2</v>
          </cell>
          <cell r="L1407">
            <v>2304.5115999999994</v>
          </cell>
        </row>
        <row r="1408">
          <cell r="J1408" t="str">
            <v>VALOR TOTAL</v>
          </cell>
          <cell r="K1408"/>
          <cell r="L1408">
            <v>14703.329799999996</v>
          </cell>
        </row>
        <row r="1410">
          <cell r="B1410" t="str">
            <v>3.3</v>
          </cell>
          <cell r="C1410" t="str">
            <v>DESCRIPCION</v>
          </cell>
          <cell r="D1410"/>
          <cell r="E1410" t="str">
            <v xml:space="preserve">MEJORAMIENTO DE LA SUBRASANTE CON ADICION DE MATEIRALES GRANULAR DE PRESTAMO PARA REMPLAZO </v>
          </cell>
          <cell r="F1410"/>
          <cell r="G1410"/>
          <cell r="H1410"/>
          <cell r="I1410" t="str">
            <v>UN</v>
          </cell>
          <cell r="J1410" t="str">
            <v>M3</v>
          </cell>
          <cell r="K1410" t="str">
            <v>CANTIDAD</v>
          </cell>
          <cell r="L1410">
            <v>2205</v>
          </cell>
        </row>
        <row r="1412">
          <cell r="B1412" t="str">
            <v>COD EP</v>
          </cell>
          <cell r="C1412" t="str">
            <v>COD EP</v>
          </cell>
          <cell r="D1412" t="str">
            <v>DESCRIPCION /LOCALIZACION</v>
          </cell>
          <cell r="E1412"/>
          <cell r="F1412"/>
          <cell r="G1412" t="str">
            <v>UNIDAD</v>
          </cell>
          <cell r="H1412" t="str">
            <v>CAN/UN</v>
          </cell>
          <cell r="I1412" t="str">
            <v>LARGO</v>
          </cell>
          <cell r="J1412" t="str">
            <v>ANCHO</v>
          </cell>
          <cell r="K1412" t="str">
            <v>ALTURA</v>
          </cell>
          <cell r="L1412" t="str">
            <v>CAN MED</v>
          </cell>
        </row>
        <row r="1413">
          <cell r="B1413" t="str">
            <v>CALLE 102C ENTRE CARRERA 19 Y 21</v>
          </cell>
          <cell r="C1413" t="str">
            <v>DV_TOTALA</v>
          </cell>
          <cell r="D1413" t="str">
            <v>BARRIO CIUDADELA INDUSTRIAL</v>
          </cell>
          <cell r="E1413"/>
          <cell r="F1413"/>
          <cell r="G1413" t="str">
            <v>M3</v>
          </cell>
          <cell r="H1413">
            <v>1</v>
          </cell>
          <cell r="I1413">
            <v>158.80940000000001</v>
          </cell>
          <cell r="J1413">
            <v>2</v>
          </cell>
          <cell r="K1413">
            <v>0.15</v>
          </cell>
          <cell r="L1413">
            <v>47.64282</v>
          </cell>
        </row>
        <row r="1414">
          <cell r="B1414" t="str">
            <v>CALLE 102B ENTRE CARRERA 19 Y 21</v>
          </cell>
          <cell r="C1414" t="str">
            <v>DV_TOTALA</v>
          </cell>
          <cell r="D1414" t="str">
            <v>BARRIO CIUDADELA INDUSTRIAL</v>
          </cell>
          <cell r="E1414"/>
          <cell r="F1414"/>
          <cell r="G1414" t="str">
            <v>M3</v>
          </cell>
          <cell r="H1414">
            <v>1</v>
          </cell>
          <cell r="I1414">
            <v>196.35719999999998</v>
          </cell>
          <cell r="J1414">
            <v>2</v>
          </cell>
          <cell r="K1414">
            <v>0.15</v>
          </cell>
          <cell r="L1414">
            <v>58.90715999999999</v>
          </cell>
        </row>
        <row r="1415">
          <cell r="B1415" t="str">
            <v>CARRERA 20 ENTRE CALLE 102 B Y 102 D</v>
          </cell>
          <cell r="C1415" t="str">
            <v>DV_TOTALA</v>
          </cell>
          <cell r="D1415" t="str">
            <v>BARRIO CIUDADELA INDUSTRIAL</v>
          </cell>
          <cell r="E1415"/>
          <cell r="F1415"/>
          <cell r="G1415" t="str">
            <v>M3</v>
          </cell>
          <cell r="H1415">
            <v>1</v>
          </cell>
          <cell r="I1415">
            <v>76.858599999999981</v>
          </cell>
          <cell r="J1415">
            <v>2</v>
          </cell>
          <cell r="K1415">
            <v>0.15</v>
          </cell>
          <cell r="L1415">
            <v>23.057579999999994</v>
          </cell>
        </row>
        <row r="1416">
          <cell r="B1416" t="str">
            <v>CARRERA 21 ENTRE CALLE 102 B Y 102 D</v>
          </cell>
          <cell r="C1416" t="str">
            <v>DV_TOTALA</v>
          </cell>
          <cell r="D1416" t="str">
            <v>BARRIO CIUDADELA INDUSTRIAL</v>
          </cell>
          <cell r="E1416"/>
          <cell r="F1416"/>
          <cell r="G1416" t="str">
            <v>M3</v>
          </cell>
          <cell r="H1416">
            <v>1</v>
          </cell>
          <cell r="I1416">
            <v>80.00739999999999</v>
          </cell>
          <cell r="J1416">
            <v>2</v>
          </cell>
          <cell r="K1416">
            <v>0.15</v>
          </cell>
          <cell r="L1416">
            <v>24.002219999999998</v>
          </cell>
        </row>
        <row r="1417">
          <cell r="B1417" t="str">
            <v>CALLE 102D ENTRE CARRERA 20 Y 21A</v>
          </cell>
          <cell r="C1417" t="str">
            <v>DV_TOTALA</v>
          </cell>
          <cell r="D1417" t="str">
            <v>BARRIO CIUDADELA INDUSTRIAL</v>
          </cell>
          <cell r="E1417"/>
          <cell r="F1417"/>
          <cell r="G1417" t="str">
            <v>M3</v>
          </cell>
          <cell r="H1417">
            <v>1</v>
          </cell>
          <cell r="I1417">
            <v>89.174999999999997</v>
          </cell>
          <cell r="J1417">
            <v>2</v>
          </cell>
          <cell r="K1417">
            <v>0.15</v>
          </cell>
          <cell r="L1417">
            <v>26.752499999999998</v>
          </cell>
        </row>
        <row r="1418">
          <cell r="B1418" t="str">
            <v>CALLE 102A ENTRE CARRERA 17 Y 19</v>
          </cell>
          <cell r="C1418" t="str">
            <v>DV_TOTALB</v>
          </cell>
          <cell r="D1418" t="str">
            <v>BARRIO JUAN XXIII</v>
          </cell>
          <cell r="E1418"/>
          <cell r="F1418"/>
          <cell r="G1418" t="str">
            <v>M3</v>
          </cell>
          <cell r="H1418">
            <v>1</v>
          </cell>
          <cell r="I1418">
            <v>153.2088</v>
          </cell>
          <cell r="J1418">
            <v>2</v>
          </cell>
          <cell r="K1418">
            <v>0.15</v>
          </cell>
          <cell r="L1418">
            <v>45.96264</v>
          </cell>
        </row>
        <row r="1419">
          <cell r="B1419" t="str">
            <v>CALLE 102B ENTRE CARRERA 17 Y 19</v>
          </cell>
          <cell r="C1419" t="str">
            <v>DV_TOTALB</v>
          </cell>
          <cell r="D1419" t="str">
            <v>BARRIO JUAN XXIII</v>
          </cell>
          <cell r="E1419"/>
          <cell r="F1419"/>
          <cell r="G1419" t="str">
            <v>M3</v>
          </cell>
          <cell r="H1419">
            <v>1</v>
          </cell>
          <cell r="I1419">
            <v>111.4708</v>
          </cell>
          <cell r="J1419">
            <v>2</v>
          </cell>
          <cell r="K1419">
            <v>0.15</v>
          </cell>
          <cell r="L1419">
            <v>33.441240000000001</v>
          </cell>
        </row>
        <row r="1420">
          <cell r="B1420" t="str">
            <v>CALLE 102 ENTRE CARRERA 17 Y 19</v>
          </cell>
          <cell r="C1420" t="str">
            <v>DV_TOTALB</v>
          </cell>
          <cell r="D1420" t="str">
            <v>BARRIO JUAN XXIII</v>
          </cell>
          <cell r="E1420"/>
          <cell r="F1420"/>
          <cell r="G1420" t="str">
            <v>M3</v>
          </cell>
          <cell r="H1420">
            <v>1</v>
          </cell>
          <cell r="I1420">
            <v>202.81059999999997</v>
          </cell>
          <cell r="J1420">
            <v>2</v>
          </cell>
          <cell r="K1420">
            <v>0.15</v>
          </cell>
          <cell r="L1420">
            <v>60.84317999999999</v>
          </cell>
        </row>
        <row r="1421">
          <cell r="B1421" t="str">
            <v>CALLE 101 ENTRE CARRERA 17 Y 17A</v>
          </cell>
          <cell r="C1421" t="str">
            <v>DV_TOTALB</v>
          </cell>
          <cell r="D1421" t="str">
            <v>BARRIO JUAN XXIII</v>
          </cell>
          <cell r="E1421"/>
          <cell r="F1421"/>
          <cell r="G1421" t="str">
            <v>M3</v>
          </cell>
          <cell r="H1421">
            <v>1</v>
          </cell>
          <cell r="I1421">
            <v>132.79899999999998</v>
          </cell>
          <cell r="J1421">
            <v>2</v>
          </cell>
          <cell r="K1421">
            <v>0.15</v>
          </cell>
          <cell r="L1421">
            <v>39.839699999999993</v>
          </cell>
        </row>
        <row r="1422">
          <cell r="B1422" t="str">
            <v>CARRERA 17A ENTRE CALLE 101 Y 102</v>
          </cell>
          <cell r="C1422" t="str">
            <v>DV_TOTALB</v>
          </cell>
          <cell r="D1422" t="str">
            <v>BARRIO JUAN XXIII</v>
          </cell>
          <cell r="E1422"/>
          <cell r="F1422"/>
          <cell r="G1422" t="str">
            <v>M3</v>
          </cell>
          <cell r="H1422">
            <v>1</v>
          </cell>
          <cell r="I1422">
            <v>41.196799999999996</v>
          </cell>
          <cell r="J1422">
            <v>2</v>
          </cell>
          <cell r="K1422">
            <v>0.15</v>
          </cell>
          <cell r="L1422">
            <v>12.359039999999998</v>
          </cell>
        </row>
        <row r="1423">
          <cell r="B1423" t="str">
            <v>CARRERA 17 ENTRE CALLE 100 102B</v>
          </cell>
          <cell r="C1423" t="str">
            <v>DV_TOTALB</v>
          </cell>
          <cell r="D1423" t="str">
            <v>BARRIO JUAN XXIII</v>
          </cell>
          <cell r="E1423"/>
          <cell r="F1423"/>
          <cell r="G1423" t="str">
            <v>M3</v>
          </cell>
          <cell r="H1423">
            <v>1</v>
          </cell>
          <cell r="I1423">
            <v>278.72619999999995</v>
          </cell>
          <cell r="J1423">
            <v>2</v>
          </cell>
          <cell r="K1423">
            <v>0.15</v>
          </cell>
          <cell r="L1423">
            <v>83.617859999999979</v>
          </cell>
        </row>
        <row r="1424">
          <cell r="B1424" t="str">
            <v>CALLE 99E ENTRE LOTE Y CRA 17</v>
          </cell>
          <cell r="C1424" t="str">
            <v>DV_TOTALC</v>
          </cell>
          <cell r="D1424" t="str">
            <v>BARRIO LAS DELICIAS</v>
          </cell>
          <cell r="E1424"/>
          <cell r="F1424"/>
          <cell r="G1424" t="str">
            <v>M3</v>
          </cell>
          <cell r="H1424">
            <v>1</v>
          </cell>
          <cell r="I1424">
            <v>134.53739999999999</v>
          </cell>
          <cell r="J1424">
            <v>2</v>
          </cell>
          <cell r="K1424">
            <v>0.15</v>
          </cell>
          <cell r="L1424">
            <v>40.361219999999996</v>
          </cell>
        </row>
        <row r="1425">
          <cell r="B1425" t="str">
            <v>CALLE 99D ENTRE LOTE Y CRA 17</v>
          </cell>
          <cell r="C1425" t="str">
            <v>DV_TOTALC</v>
          </cell>
          <cell r="D1425" t="str">
            <v>BARRIO LAS DELICIAS</v>
          </cell>
          <cell r="E1425"/>
          <cell r="F1425"/>
          <cell r="G1425" t="str">
            <v>M3</v>
          </cell>
          <cell r="H1425">
            <v>1</v>
          </cell>
          <cell r="I1425">
            <v>62.01659999999999</v>
          </cell>
          <cell r="J1425">
            <v>2</v>
          </cell>
          <cell r="K1425">
            <v>0.15</v>
          </cell>
          <cell r="L1425">
            <v>18.604979999999998</v>
          </cell>
        </row>
        <row r="1426">
          <cell r="B1426" t="str">
            <v>CALLE 99C ENTRE LOTE Y CRA 17</v>
          </cell>
          <cell r="C1426" t="str">
            <v>DV_TOTALC</v>
          </cell>
          <cell r="D1426" t="str">
            <v>BARRIO LAS DELICIAS</v>
          </cell>
          <cell r="E1426"/>
          <cell r="F1426"/>
          <cell r="G1426" t="str">
            <v>M3</v>
          </cell>
          <cell r="H1426">
            <v>1</v>
          </cell>
          <cell r="I1426">
            <v>57.104799999999997</v>
          </cell>
          <cell r="J1426">
            <v>1</v>
          </cell>
          <cell r="K1426">
            <v>0.15</v>
          </cell>
          <cell r="L1426">
            <v>8.5657199999999989</v>
          </cell>
        </row>
        <row r="1427">
          <cell r="B1427" t="str">
            <v>CALLE 99B ENTRE LOTE Y CRA 17</v>
          </cell>
          <cell r="C1427" t="str">
            <v>DV_TOTALC</v>
          </cell>
          <cell r="D1427" t="str">
            <v>BARRIO LAS DELICIAS</v>
          </cell>
          <cell r="E1427"/>
          <cell r="F1427"/>
          <cell r="G1427" t="str">
            <v>M3</v>
          </cell>
          <cell r="H1427">
            <v>1</v>
          </cell>
          <cell r="I1427">
            <v>49.749400000000001</v>
          </cell>
          <cell r="J1427">
            <v>1</v>
          </cell>
          <cell r="K1427">
            <v>0.15</v>
          </cell>
          <cell r="L1427">
            <v>7.4624100000000002</v>
          </cell>
        </row>
        <row r="1428">
          <cell r="B1428" t="str">
            <v>CALLE 99A ENTRE LOTE Y CRA 17</v>
          </cell>
          <cell r="C1428" t="str">
            <v>DV_TOTALC</v>
          </cell>
          <cell r="D1428" t="str">
            <v>BARRIO LAS DELICIAS</v>
          </cell>
          <cell r="E1428"/>
          <cell r="F1428"/>
          <cell r="G1428" t="str">
            <v>M3</v>
          </cell>
          <cell r="H1428">
            <v>1</v>
          </cell>
          <cell r="I1428">
            <v>245.5736</v>
          </cell>
          <cell r="J1428">
            <v>2</v>
          </cell>
          <cell r="K1428">
            <v>0.15</v>
          </cell>
          <cell r="L1428">
            <v>73.672079999999994</v>
          </cell>
        </row>
        <row r="1429">
          <cell r="B1429" t="str">
            <v>CALLE 99AA ENTRE LOTE Y CRA 17</v>
          </cell>
          <cell r="C1429" t="str">
            <v>DV_TOTALC</v>
          </cell>
          <cell r="D1429" t="str">
            <v>BARRIO LAS DELICIAS</v>
          </cell>
          <cell r="E1429"/>
          <cell r="F1429"/>
          <cell r="G1429" t="str">
            <v>M3</v>
          </cell>
          <cell r="H1429">
            <v>1</v>
          </cell>
          <cell r="I1429">
            <v>127.91999999999999</v>
          </cell>
          <cell r="J1429">
            <v>2</v>
          </cell>
          <cell r="K1429">
            <v>0.15</v>
          </cell>
          <cell r="L1429">
            <v>38.375999999999998</v>
          </cell>
        </row>
        <row r="1430">
          <cell r="B1430" t="str">
            <v>CARRERA 17 ENTRE CALL 99 Y 100</v>
          </cell>
          <cell r="C1430" t="str">
            <v>DV_TOTALC</v>
          </cell>
          <cell r="D1430" t="str">
            <v>BARRIO LAS DELICIAS</v>
          </cell>
          <cell r="E1430"/>
          <cell r="F1430"/>
          <cell r="G1430" t="str">
            <v>M3</v>
          </cell>
          <cell r="H1430">
            <v>1</v>
          </cell>
          <cell r="I1430">
            <v>343.31760000000003</v>
          </cell>
          <cell r="J1430">
            <v>2</v>
          </cell>
          <cell r="K1430">
            <v>0.15</v>
          </cell>
          <cell r="L1430">
            <v>102.99528000000001</v>
          </cell>
        </row>
        <row r="1431">
          <cell r="B1431" t="str">
            <v>CARRERA 17A ENTRE CALL 99 Y 100</v>
          </cell>
          <cell r="C1431" t="str">
            <v>DV_TOTALC</v>
          </cell>
          <cell r="D1431" t="str">
            <v>BARRIO LAS DELICIAS</v>
          </cell>
          <cell r="E1431"/>
          <cell r="F1431"/>
          <cell r="G1431" t="str">
            <v>M3</v>
          </cell>
          <cell r="H1431">
            <v>1</v>
          </cell>
          <cell r="I1431">
            <v>248.36979999999997</v>
          </cell>
          <cell r="J1431">
            <v>2</v>
          </cell>
          <cell r="K1431">
            <v>0.15</v>
          </cell>
          <cell r="L1431">
            <v>74.510939999999991</v>
          </cell>
        </row>
        <row r="1432">
          <cell r="B1432" t="str">
            <v>CALLE 97A ENTRE 19 Y 23</v>
          </cell>
          <cell r="C1432" t="str">
            <v>DV_TOTALD</v>
          </cell>
          <cell r="D1432" t="str">
            <v>BARRIO EL BOSQUE</v>
          </cell>
          <cell r="E1432"/>
          <cell r="F1432"/>
          <cell r="G1432" t="str">
            <v>M3</v>
          </cell>
          <cell r="H1432">
            <v>1</v>
          </cell>
          <cell r="I1432">
            <v>278.04560000000004</v>
          </cell>
          <cell r="J1432">
            <v>2</v>
          </cell>
          <cell r="K1432">
            <v>0.15</v>
          </cell>
          <cell r="L1432">
            <v>83.413680000000014</v>
          </cell>
        </row>
        <row r="1433">
          <cell r="B1433" t="str">
            <v>CALLE 97 ENTRE 19 Y 23</v>
          </cell>
          <cell r="C1433" t="str">
            <v>DV_TOTALD</v>
          </cell>
          <cell r="D1433" t="str">
            <v>BARRIO EL BOSQUE</v>
          </cell>
          <cell r="E1433"/>
          <cell r="F1433"/>
          <cell r="G1433" t="str">
            <v>M3</v>
          </cell>
          <cell r="H1433">
            <v>1</v>
          </cell>
          <cell r="I1433">
            <v>489.41699999999997</v>
          </cell>
          <cell r="J1433">
            <v>2</v>
          </cell>
          <cell r="K1433">
            <v>0.15</v>
          </cell>
          <cell r="L1433">
            <v>146.82509999999999</v>
          </cell>
        </row>
        <row r="1434">
          <cell r="B1434" t="str">
            <v>CALLE 96A ENTRE 19 Y 23</v>
          </cell>
          <cell r="C1434" t="str">
            <v>DV_TOTALD</v>
          </cell>
          <cell r="D1434" t="str">
            <v>BARRIO EL BOSQUE</v>
          </cell>
          <cell r="E1434"/>
          <cell r="F1434"/>
          <cell r="G1434" t="str">
            <v>M3</v>
          </cell>
          <cell r="H1434">
            <v>1</v>
          </cell>
          <cell r="I1434">
            <v>477.60899999999992</v>
          </cell>
          <cell r="J1434">
            <v>2</v>
          </cell>
          <cell r="K1434">
            <v>0.15</v>
          </cell>
          <cell r="L1434">
            <v>143.28269999999998</v>
          </cell>
        </row>
        <row r="1435">
          <cell r="B1435" t="str">
            <v>CALLE 96 ENTRE 19 Y 23</v>
          </cell>
          <cell r="C1435" t="str">
            <v>DV_TOTALD</v>
          </cell>
          <cell r="D1435" t="str">
            <v>BARRIO EL BOSQUE</v>
          </cell>
          <cell r="E1435"/>
          <cell r="F1435"/>
          <cell r="G1435" t="str">
            <v>M3</v>
          </cell>
          <cell r="H1435">
            <v>1</v>
          </cell>
          <cell r="I1435">
            <v>472.45940000000002</v>
          </cell>
          <cell r="J1435">
            <v>2</v>
          </cell>
          <cell r="K1435">
            <v>0.15</v>
          </cell>
          <cell r="L1435">
            <v>141.73782</v>
          </cell>
        </row>
        <row r="1436">
          <cell r="B1436" t="str">
            <v>CALLE 95 ENTRE 19 Y 23</v>
          </cell>
          <cell r="C1436" t="str">
            <v>DV_TOTALD</v>
          </cell>
          <cell r="D1436" t="str">
            <v>BARRIO EL BOSQUE</v>
          </cell>
          <cell r="E1436"/>
          <cell r="F1436"/>
          <cell r="G1436" t="str">
            <v>M3</v>
          </cell>
          <cell r="H1436">
            <v>1</v>
          </cell>
          <cell r="I1436">
            <v>277.38139999999999</v>
          </cell>
          <cell r="J1436">
            <v>2</v>
          </cell>
          <cell r="K1436">
            <v>0.15</v>
          </cell>
          <cell r="L1436">
            <v>83.21441999999999</v>
          </cell>
        </row>
        <row r="1437">
          <cell r="B1437" t="str">
            <v>CALLE 94 ENTRE 19 Y 23</v>
          </cell>
          <cell r="C1437" t="str">
            <v>DV_TOTALD</v>
          </cell>
          <cell r="D1437" t="str">
            <v>BARRIO EL BOSQUE</v>
          </cell>
          <cell r="E1437"/>
          <cell r="F1437"/>
          <cell r="G1437" t="str">
            <v>M3</v>
          </cell>
          <cell r="H1437">
            <v>1</v>
          </cell>
          <cell r="I1437">
            <v>278.16039999999998</v>
          </cell>
          <cell r="J1437">
            <v>2</v>
          </cell>
          <cell r="K1437">
            <v>0.15</v>
          </cell>
          <cell r="L1437">
            <v>83.448119999999989</v>
          </cell>
        </row>
        <row r="1438">
          <cell r="B1438" t="str">
            <v>CALLE 93 ENTRE 15 Y 23</v>
          </cell>
          <cell r="C1438" t="str">
            <v>DV_TOTALD</v>
          </cell>
          <cell r="D1438" t="str">
            <v>BARRIO EL BOSQUE</v>
          </cell>
          <cell r="E1438"/>
          <cell r="F1438"/>
          <cell r="G1438" t="str">
            <v>M3</v>
          </cell>
          <cell r="H1438">
            <v>1</v>
          </cell>
          <cell r="I1438">
            <v>442.73439999999982</v>
          </cell>
          <cell r="J1438">
            <v>2</v>
          </cell>
          <cell r="K1438">
            <v>0.15</v>
          </cell>
          <cell r="L1438">
            <v>132.82031999999995</v>
          </cell>
        </row>
        <row r="1439">
          <cell r="B1439" t="str">
            <v>CARRERA 17 ENTRE CALLE 94 Y 97A</v>
          </cell>
          <cell r="C1439" t="str">
            <v>DV_TOTALD</v>
          </cell>
          <cell r="D1439" t="str">
            <v>BARRIO EL BOSQUE</v>
          </cell>
          <cell r="E1439"/>
          <cell r="F1439"/>
          <cell r="G1439" t="str">
            <v>M3</v>
          </cell>
          <cell r="H1439">
            <v>1</v>
          </cell>
          <cell r="I1439">
            <v>232.92919999999998</v>
          </cell>
          <cell r="J1439">
            <v>2</v>
          </cell>
          <cell r="K1439">
            <v>0.15</v>
          </cell>
          <cell r="L1439">
            <v>69.878759999999986</v>
          </cell>
        </row>
        <row r="1440">
          <cell r="B1440" t="str">
            <v>CARRERA 20 ENTRE CALLE 93 Y 97A</v>
          </cell>
          <cell r="C1440" t="str">
            <v>DV_TOTALD</v>
          </cell>
          <cell r="D1440" t="str">
            <v>BARRIO EL BOSQUE</v>
          </cell>
          <cell r="E1440"/>
          <cell r="F1440"/>
          <cell r="G1440" t="str">
            <v>M3</v>
          </cell>
          <cell r="H1440">
            <v>1</v>
          </cell>
          <cell r="I1440">
            <v>257.04539999999997</v>
          </cell>
          <cell r="J1440">
            <v>2</v>
          </cell>
          <cell r="K1440">
            <v>0.15</v>
          </cell>
          <cell r="L1440">
            <v>77.113619999999983</v>
          </cell>
        </row>
        <row r="1441">
          <cell r="B1441" t="str">
            <v>CARRERA 21 ENTRE CALLE 93 Y 97A</v>
          </cell>
          <cell r="C1441" t="str">
            <v>DV_TOTALD</v>
          </cell>
          <cell r="D1441" t="str">
            <v>BARRIO EL BOSQUE</v>
          </cell>
          <cell r="E1441"/>
          <cell r="F1441"/>
          <cell r="G1441" t="str">
            <v>M3</v>
          </cell>
          <cell r="H1441">
            <v>1</v>
          </cell>
          <cell r="I1441">
            <v>257.04540000000003</v>
          </cell>
          <cell r="J1441">
            <v>2</v>
          </cell>
          <cell r="K1441">
            <v>0.15</v>
          </cell>
          <cell r="L1441">
            <v>77.113620000000012</v>
          </cell>
        </row>
        <row r="1442">
          <cell r="B1442" t="str">
            <v>CALLE 110 ENTRE CARRERA 14 Y 27</v>
          </cell>
          <cell r="C1442" t="str">
            <v>DV_TOTALE</v>
          </cell>
          <cell r="D1442" t="str">
            <v>BARRIO JESUS MORA CALLE 110</v>
          </cell>
          <cell r="E1442"/>
          <cell r="F1442"/>
          <cell r="G1442" t="str">
            <v>M3</v>
          </cell>
          <cell r="H1442">
            <v>1</v>
          </cell>
          <cell r="I1442">
            <v>1152.2557999999997</v>
          </cell>
          <cell r="J1442">
            <v>2</v>
          </cell>
          <cell r="K1442">
            <v>0.15</v>
          </cell>
          <cell r="L1442">
            <v>345.67673999999988</v>
          </cell>
        </row>
        <row r="1443">
          <cell r="J1443" t="str">
            <v>VALOR TOTAL</v>
          </cell>
          <cell r="K1443"/>
          <cell r="L1443">
            <v>2205.4994699999997</v>
          </cell>
        </row>
        <row r="1445">
          <cell r="B1445" t="str">
            <v>3.4</v>
          </cell>
          <cell r="C1445" t="str">
            <v>DESCRIPCION</v>
          </cell>
          <cell r="D1445"/>
          <cell r="E1445" t="str">
            <v>MEJORAMIENTO CON CEMENTO SUB BASE GRANUALAR MATERIAL GRANULAR EXISTENTE</v>
          </cell>
          <cell r="F1445"/>
          <cell r="G1445"/>
          <cell r="H1445"/>
          <cell r="I1445" t="str">
            <v>UN</v>
          </cell>
          <cell r="J1445" t="str">
            <v>M3</v>
          </cell>
          <cell r="K1445" t="str">
            <v>CANTIDAD</v>
          </cell>
          <cell r="L1445">
            <v>6888</v>
          </cell>
        </row>
        <row r="1447">
          <cell r="B1447" t="str">
            <v>COD EP</v>
          </cell>
          <cell r="C1447" t="str">
            <v>COD EP</v>
          </cell>
          <cell r="D1447" t="str">
            <v>DESCRIPCION /LOCALIZACION</v>
          </cell>
          <cell r="E1447"/>
          <cell r="F1447"/>
          <cell r="G1447" t="str">
            <v>UNIDAD</v>
          </cell>
          <cell r="H1447" t="str">
            <v>CAN/UN</v>
          </cell>
          <cell r="I1447" t="str">
            <v>LARGO</v>
          </cell>
          <cell r="J1447" t="str">
            <v>ANCHO</v>
          </cell>
          <cell r="K1447" t="str">
            <v>ALTURA</v>
          </cell>
          <cell r="L1447" t="str">
            <v>CAN MED</v>
          </cell>
        </row>
        <row r="1448">
          <cell r="B1448" t="str">
            <v>CALLE 102C ENTRE CARRERA 19 Y 21</v>
          </cell>
          <cell r="C1448" t="str">
            <v>DV_TOTALA</v>
          </cell>
          <cell r="D1448" t="str">
            <v>BARRIO CIUDADELA INDUSTRIAL</v>
          </cell>
          <cell r="E1448"/>
          <cell r="F1448"/>
          <cell r="G1448" t="str">
            <v>M3</v>
          </cell>
          <cell r="H1448">
            <v>1</v>
          </cell>
          <cell r="I1448">
            <v>193.67000000000002</v>
          </cell>
          <cell r="J1448">
            <v>5.3</v>
          </cell>
          <cell r="K1448">
            <v>0.15</v>
          </cell>
          <cell r="L1448">
            <v>153.96764999999999</v>
          </cell>
        </row>
        <row r="1449">
          <cell r="B1449" t="str">
            <v>CALLE 102B ENTRE CARRERA 19 Y 21</v>
          </cell>
          <cell r="C1449" t="str">
            <v>DV_TOTALA</v>
          </cell>
          <cell r="D1449" t="str">
            <v>BARRIO CIUDADELA INDUSTRIAL</v>
          </cell>
          <cell r="E1449"/>
          <cell r="F1449"/>
          <cell r="G1449" t="str">
            <v>M3</v>
          </cell>
          <cell r="H1449">
            <v>1</v>
          </cell>
          <cell r="I1449">
            <v>239.45999999999998</v>
          </cell>
          <cell r="J1449">
            <v>5.3</v>
          </cell>
          <cell r="K1449">
            <v>0.15</v>
          </cell>
          <cell r="L1449">
            <v>190.37069999999997</v>
          </cell>
        </row>
        <row r="1450">
          <cell r="B1450" t="str">
            <v>CARRERA 20 ENTRE CALLE 102 B Y 102 D</v>
          </cell>
          <cell r="C1450" t="str">
            <v>DV_TOTALA</v>
          </cell>
          <cell r="D1450" t="str">
            <v>BARRIO CIUDADELA INDUSTRIAL</v>
          </cell>
          <cell r="E1450"/>
          <cell r="F1450"/>
          <cell r="G1450" t="str">
            <v>M3</v>
          </cell>
          <cell r="H1450">
            <v>1</v>
          </cell>
          <cell r="I1450">
            <v>93.72999999999999</v>
          </cell>
          <cell r="J1450">
            <v>5.3</v>
          </cell>
          <cell r="K1450">
            <v>0.15</v>
          </cell>
          <cell r="L1450">
            <v>74.515349999999984</v>
          </cell>
        </row>
        <row r="1451">
          <cell r="B1451" t="str">
            <v>CARRERA 21 ENTRE CALLE 102 B Y 102 D</v>
          </cell>
          <cell r="C1451" t="str">
            <v>DV_TOTALA</v>
          </cell>
          <cell r="D1451" t="str">
            <v>BARRIO CIUDADELA INDUSTRIAL</v>
          </cell>
          <cell r="E1451"/>
          <cell r="F1451"/>
          <cell r="G1451" t="str">
            <v>M3</v>
          </cell>
          <cell r="H1451">
            <v>1</v>
          </cell>
          <cell r="I1451">
            <v>97.57</v>
          </cell>
          <cell r="J1451">
            <v>5.3</v>
          </cell>
          <cell r="K1451">
            <v>0.15</v>
          </cell>
          <cell r="L1451">
            <v>77.568149999999989</v>
          </cell>
        </row>
        <row r="1452">
          <cell r="B1452" t="str">
            <v>CALLE 102D ENTRE CARRERA 20 Y 21A</v>
          </cell>
          <cell r="C1452" t="str">
            <v>DV_TOTALA</v>
          </cell>
          <cell r="D1452" t="str">
            <v>BARRIO CIUDADELA INDUSTRIAL</v>
          </cell>
          <cell r="E1452"/>
          <cell r="F1452"/>
          <cell r="G1452" t="str">
            <v>M3</v>
          </cell>
          <cell r="H1452">
            <v>1</v>
          </cell>
          <cell r="I1452">
            <v>108.75</v>
          </cell>
          <cell r="J1452">
            <v>5.3</v>
          </cell>
          <cell r="K1452">
            <v>0.15</v>
          </cell>
          <cell r="L1452">
            <v>86.456249999999997</v>
          </cell>
        </row>
        <row r="1453">
          <cell r="B1453" t="str">
            <v>CALLE 102A ENTRE CARRERA 17 Y 19</v>
          </cell>
          <cell r="C1453" t="str">
            <v>DV_TOTALB</v>
          </cell>
          <cell r="D1453" t="str">
            <v>BARRIO JUAN XXIII</v>
          </cell>
          <cell r="E1453"/>
          <cell r="F1453"/>
          <cell r="G1453" t="str">
            <v>M3</v>
          </cell>
          <cell r="H1453">
            <v>1</v>
          </cell>
          <cell r="I1453">
            <v>186.84</v>
          </cell>
          <cell r="J1453">
            <v>6.3</v>
          </cell>
          <cell r="K1453">
            <v>0.15</v>
          </cell>
          <cell r="L1453">
            <v>176.56380000000001</v>
          </cell>
        </row>
        <row r="1454">
          <cell r="B1454" t="str">
            <v>CALLE 102B ENTRE CARRERA 17 Y 19</v>
          </cell>
          <cell r="C1454" t="str">
            <v>DV_TOTALB</v>
          </cell>
          <cell r="D1454" t="str">
            <v>BARRIO JUAN XXIII</v>
          </cell>
          <cell r="E1454"/>
          <cell r="F1454"/>
          <cell r="G1454" t="str">
            <v>M3</v>
          </cell>
          <cell r="H1454">
            <v>1</v>
          </cell>
          <cell r="I1454">
            <v>135.94</v>
          </cell>
          <cell r="J1454">
            <v>6.3</v>
          </cell>
          <cell r="K1454">
            <v>0.15</v>
          </cell>
          <cell r="L1454">
            <v>128.46329999999998</v>
          </cell>
        </row>
        <row r="1455">
          <cell r="B1455" t="str">
            <v>CALLE 102 ENTRE CARRERA 17 Y 19</v>
          </cell>
          <cell r="C1455" t="str">
            <v>DV_TOTALB</v>
          </cell>
          <cell r="D1455" t="str">
            <v>BARRIO JUAN XXIII</v>
          </cell>
          <cell r="E1455"/>
          <cell r="F1455"/>
          <cell r="G1455" t="str">
            <v>M3</v>
          </cell>
          <cell r="H1455">
            <v>1</v>
          </cell>
          <cell r="I1455">
            <v>247.32999999999998</v>
          </cell>
          <cell r="J1455">
            <v>6.3</v>
          </cell>
          <cell r="K1455">
            <v>0.15</v>
          </cell>
          <cell r="L1455">
            <v>233.72684999999996</v>
          </cell>
        </row>
        <row r="1456">
          <cell r="B1456" t="str">
            <v>CALLE 101 ENTRE CARRERA 17 Y 17A</v>
          </cell>
          <cell r="C1456" t="str">
            <v>DV_TOTALB</v>
          </cell>
          <cell r="D1456" t="str">
            <v>BARRIO JUAN XXIII</v>
          </cell>
          <cell r="E1456"/>
          <cell r="F1456"/>
          <cell r="G1456" t="str">
            <v>M3</v>
          </cell>
          <cell r="H1456">
            <v>1</v>
          </cell>
          <cell r="I1456">
            <v>161.94999999999999</v>
          </cell>
          <cell r="J1456">
            <v>6.3</v>
          </cell>
          <cell r="K1456">
            <v>0.15</v>
          </cell>
          <cell r="L1456">
            <v>153.04274999999998</v>
          </cell>
        </row>
        <row r="1457">
          <cell r="B1457" t="str">
            <v>CARRERA 17A ENTRE CALLE 101 Y 102</v>
          </cell>
          <cell r="C1457" t="str">
            <v>DV_TOTALB</v>
          </cell>
          <cell r="D1457" t="str">
            <v>BARRIO JUAN XXIII</v>
          </cell>
          <cell r="E1457"/>
          <cell r="F1457"/>
          <cell r="G1457" t="str">
            <v>M3</v>
          </cell>
          <cell r="H1457">
            <v>1</v>
          </cell>
          <cell r="I1457">
            <v>50.239999999999995</v>
          </cell>
          <cell r="J1457">
            <v>5.3</v>
          </cell>
          <cell r="K1457">
            <v>0.15</v>
          </cell>
          <cell r="L1457">
            <v>39.940799999999996</v>
          </cell>
        </row>
        <row r="1458">
          <cell r="B1458" t="str">
            <v>CARRERA 17 ENTRE CALLE 100 102B</v>
          </cell>
          <cell r="C1458" t="str">
            <v>DV_TOTALB</v>
          </cell>
          <cell r="D1458" t="str">
            <v>BARRIO JUAN XXIII</v>
          </cell>
          <cell r="E1458"/>
          <cell r="F1458"/>
          <cell r="G1458" t="str">
            <v>M3</v>
          </cell>
          <cell r="H1458">
            <v>1</v>
          </cell>
          <cell r="I1458">
            <v>339.90999999999997</v>
          </cell>
          <cell r="J1458">
            <v>6.3</v>
          </cell>
          <cell r="K1458">
            <v>0.15</v>
          </cell>
          <cell r="L1458">
            <v>321.21494999999993</v>
          </cell>
        </row>
        <row r="1459">
          <cell r="B1459" t="str">
            <v>CALLE 99E ENTRE LOTE Y CRA 17</v>
          </cell>
          <cell r="C1459" t="str">
            <v>DV_TOTALC</v>
          </cell>
          <cell r="D1459" t="str">
            <v>BARRIO LAS DELICIAS</v>
          </cell>
          <cell r="E1459"/>
          <cell r="F1459"/>
          <cell r="G1459" t="str">
            <v>M3</v>
          </cell>
          <cell r="H1459">
            <v>1</v>
          </cell>
          <cell r="I1459">
            <v>164.07</v>
          </cell>
          <cell r="J1459">
            <v>5.3</v>
          </cell>
          <cell r="K1459">
            <v>0.15</v>
          </cell>
          <cell r="L1459">
            <v>130.43564999999998</v>
          </cell>
        </row>
        <row r="1460">
          <cell r="B1460" t="str">
            <v>CALLE 99D ENTRE LOTE Y CRA 17</v>
          </cell>
          <cell r="C1460" t="str">
            <v>DV_TOTALC</v>
          </cell>
          <cell r="D1460" t="str">
            <v>BARRIO LAS DELICIAS</v>
          </cell>
          <cell r="E1460"/>
          <cell r="F1460"/>
          <cell r="G1460" t="str">
            <v>M3</v>
          </cell>
          <cell r="H1460">
            <v>1</v>
          </cell>
          <cell r="I1460">
            <v>75.63</v>
          </cell>
          <cell r="J1460">
            <v>5.3</v>
          </cell>
          <cell r="K1460">
            <v>0.15</v>
          </cell>
          <cell r="L1460">
            <v>60.125849999999986</v>
          </cell>
        </row>
        <row r="1461">
          <cell r="B1461" t="str">
            <v>CALLE 99C ENTRE LOTE Y CRA 17</v>
          </cell>
          <cell r="C1461" t="str">
            <v>DV_TOTALC</v>
          </cell>
          <cell r="D1461" t="str">
            <v>BARRIO LAS DELICIAS</v>
          </cell>
          <cell r="E1461"/>
          <cell r="F1461"/>
          <cell r="G1461" t="str">
            <v>M3</v>
          </cell>
          <cell r="H1461">
            <v>1</v>
          </cell>
          <cell r="I1461">
            <v>69.64</v>
          </cell>
          <cell r="J1461">
            <v>3.8</v>
          </cell>
          <cell r="K1461">
            <v>0.15</v>
          </cell>
          <cell r="L1461">
            <v>39.694800000000001</v>
          </cell>
        </row>
        <row r="1462">
          <cell r="B1462" t="str">
            <v>CALLE 99B ENTRE LOTE Y CRA 17</v>
          </cell>
          <cell r="C1462" t="str">
            <v>DV_TOTALC</v>
          </cell>
          <cell r="D1462" t="str">
            <v>BARRIO LAS DELICIAS</v>
          </cell>
          <cell r="E1462"/>
          <cell r="F1462"/>
          <cell r="G1462" t="str">
            <v>M3</v>
          </cell>
          <cell r="H1462">
            <v>1</v>
          </cell>
          <cell r="I1462">
            <v>60.67</v>
          </cell>
          <cell r="J1462">
            <v>3.8</v>
          </cell>
          <cell r="K1462">
            <v>0.15</v>
          </cell>
          <cell r="L1462">
            <v>34.581899999999997</v>
          </cell>
        </row>
        <row r="1463">
          <cell r="B1463" t="str">
            <v>CALLE 99A ENTRE LOTE Y CRA 17</v>
          </cell>
          <cell r="C1463" t="str">
            <v>DV_TOTALC</v>
          </cell>
          <cell r="D1463" t="str">
            <v>BARRIO LAS DELICIAS</v>
          </cell>
          <cell r="E1463"/>
          <cell r="F1463"/>
          <cell r="G1463" t="str">
            <v>M3</v>
          </cell>
          <cell r="H1463">
            <v>1</v>
          </cell>
          <cell r="I1463">
            <v>299.48</v>
          </cell>
          <cell r="J1463">
            <v>6.3</v>
          </cell>
          <cell r="K1463">
            <v>0.15</v>
          </cell>
          <cell r="L1463">
            <v>283.0086</v>
          </cell>
        </row>
        <row r="1464">
          <cell r="B1464" t="str">
            <v>CALLE 99AA ENTRE LOTE Y CRA 17</v>
          </cell>
          <cell r="C1464" t="str">
            <v>DV_TOTALC</v>
          </cell>
          <cell r="D1464" t="str">
            <v>BARRIO LAS DELICIAS</v>
          </cell>
          <cell r="E1464"/>
          <cell r="F1464"/>
          <cell r="G1464" t="str">
            <v>M3</v>
          </cell>
          <cell r="H1464">
            <v>1</v>
          </cell>
          <cell r="I1464">
            <v>156</v>
          </cell>
          <cell r="J1464">
            <v>5.3</v>
          </cell>
          <cell r="K1464">
            <v>0.15</v>
          </cell>
          <cell r="L1464">
            <v>124.01999999999998</v>
          </cell>
        </row>
        <row r="1465">
          <cell r="B1465" t="str">
            <v>CARRERA 17 ENTRE CALL 99 Y 100</v>
          </cell>
          <cell r="C1465" t="str">
            <v>DV_TOTALC</v>
          </cell>
          <cell r="D1465" t="str">
            <v>BARRIO LAS DELICIAS</v>
          </cell>
          <cell r="E1465"/>
          <cell r="F1465"/>
          <cell r="G1465" t="str">
            <v>M3</v>
          </cell>
          <cell r="H1465">
            <v>1</v>
          </cell>
          <cell r="I1465">
            <v>418.68000000000006</v>
          </cell>
          <cell r="J1465">
            <v>6.3</v>
          </cell>
          <cell r="K1465">
            <v>0.15</v>
          </cell>
          <cell r="L1465">
            <v>395.65260000000001</v>
          </cell>
        </row>
        <row r="1466">
          <cell r="B1466" t="str">
            <v>CARRERA 17A ENTRE CALL 99 Y 100</v>
          </cell>
          <cell r="C1466" t="str">
            <v>DV_TOTALC</v>
          </cell>
          <cell r="D1466" t="str">
            <v>BARRIO LAS DELICIAS</v>
          </cell>
          <cell r="E1466"/>
          <cell r="F1466"/>
          <cell r="G1466" t="str">
            <v>M3</v>
          </cell>
          <cell r="H1466">
            <v>1</v>
          </cell>
          <cell r="I1466">
            <v>302.89</v>
          </cell>
          <cell r="J1466">
            <v>5.3</v>
          </cell>
          <cell r="K1466">
            <v>0.15</v>
          </cell>
          <cell r="L1466">
            <v>240.79754999999994</v>
          </cell>
        </row>
        <row r="1467">
          <cell r="B1467" t="str">
            <v>CALLE 97A ENTRE 19 Y 23</v>
          </cell>
          <cell r="C1467" t="str">
            <v>DV_TOTALD</v>
          </cell>
          <cell r="D1467" t="str">
            <v>BARRIO EL BOSQUE</v>
          </cell>
          <cell r="E1467"/>
          <cell r="F1467"/>
          <cell r="G1467" t="str">
            <v>M3</v>
          </cell>
          <cell r="H1467">
            <v>1</v>
          </cell>
          <cell r="I1467">
            <v>339.08000000000004</v>
          </cell>
          <cell r="J1467">
            <v>6.3</v>
          </cell>
          <cell r="K1467">
            <v>0.15</v>
          </cell>
          <cell r="L1467">
            <v>320.43060000000003</v>
          </cell>
        </row>
        <row r="1468">
          <cell r="B1468" t="str">
            <v>CALLE 97 ENTRE 19 Y 23</v>
          </cell>
          <cell r="C1468" t="str">
            <v>DV_TOTALD</v>
          </cell>
          <cell r="D1468" t="str">
            <v>BARRIO EL BOSQUE</v>
          </cell>
          <cell r="E1468"/>
          <cell r="F1468"/>
          <cell r="G1468" t="str">
            <v>M3</v>
          </cell>
          <cell r="H1468">
            <v>1</v>
          </cell>
          <cell r="I1468">
            <v>596.85</v>
          </cell>
          <cell r="J1468">
            <v>6.3</v>
          </cell>
          <cell r="K1468">
            <v>0.15</v>
          </cell>
          <cell r="L1468">
            <v>564.02324999999996</v>
          </cell>
        </row>
        <row r="1469">
          <cell r="B1469" t="str">
            <v>CALLE 96A ENTRE 19 Y 23</v>
          </cell>
          <cell r="C1469" t="str">
            <v>DV_TOTALD</v>
          </cell>
          <cell r="D1469" t="str">
            <v>BARRIO EL BOSQUE</v>
          </cell>
          <cell r="E1469"/>
          <cell r="F1469"/>
          <cell r="G1469" t="str">
            <v>M3</v>
          </cell>
          <cell r="H1469">
            <v>1</v>
          </cell>
          <cell r="I1469">
            <v>582.44999999999993</v>
          </cell>
          <cell r="J1469">
            <v>6.3</v>
          </cell>
          <cell r="K1469">
            <v>0.15</v>
          </cell>
          <cell r="L1469">
            <v>550.4152499999999</v>
          </cell>
        </row>
        <row r="1470">
          <cell r="B1470" t="str">
            <v>CALLE 96 ENTRE 19 Y 23</v>
          </cell>
          <cell r="C1470" t="str">
            <v>DV_TOTALD</v>
          </cell>
          <cell r="D1470" t="str">
            <v>BARRIO EL BOSQUE</v>
          </cell>
          <cell r="E1470"/>
          <cell r="F1470"/>
          <cell r="G1470" t="str">
            <v>M3</v>
          </cell>
          <cell r="H1470">
            <v>1</v>
          </cell>
          <cell r="I1470">
            <v>576.17000000000007</v>
          </cell>
          <cell r="J1470">
            <v>6.3</v>
          </cell>
          <cell r="K1470">
            <v>0.15</v>
          </cell>
          <cell r="L1470">
            <v>544.48065000000008</v>
          </cell>
        </row>
        <row r="1471">
          <cell r="B1471" t="str">
            <v>CALLE 95 ENTRE 19 Y 23</v>
          </cell>
          <cell r="C1471" t="str">
            <v>DV_TOTALD</v>
          </cell>
          <cell r="D1471" t="str">
            <v>BARRIO EL BOSQUE</v>
          </cell>
          <cell r="E1471"/>
          <cell r="F1471"/>
          <cell r="G1471" t="str">
            <v>M3</v>
          </cell>
          <cell r="H1471">
            <v>1</v>
          </cell>
          <cell r="I1471">
            <v>338.27</v>
          </cell>
          <cell r="J1471">
            <v>6.3</v>
          </cell>
          <cell r="K1471">
            <v>0.15</v>
          </cell>
          <cell r="L1471">
            <v>319.66514999999993</v>
          </cell>
        </row>
        <row r="1472">
          <cell r="B1472" t="str">
            <v>CALLE 94 ENTRE 19 Y 23</v>
          </cell>
          <cell r="C1472" t="str">
            <v>DV_TOTALD</v>
          </cell>
          <cell r="D1472" t="str">
            <v>BARRIO EL BOSQUE</v>
          </cell>
          <cell r="E1472"/>
          <cell r="F1472"/>
          <cell r="G1472" t="str">
            <v>M3</v>
          </cell>
          <cell r="H1472">
            <v>1</v>
          </cell>
          <cell r="I1472">
            <v>339.22</v>
          </cell>
          <cell r="J1472">
            <v>6.3</v>
          </cell>
          <cell r="K1472">
            <v>0.15</v>
          </cell>
          <cell r="L1472">
            <v>320.56290000000001</v>
          </cell>
        </row>
        <row r="1473">
          <cell r="B1473" t="str">
            <v>CALLE 93 ENTRE 15 Y 23</v>
          </cell>
          <cell r="C1473" t="str">
            <v>DV_TOTALD</v>
          </cell>
          <cell r="D1473" t="str">
            <v>BARRIO EL BOSQUE</v>
          </cell>
          <cell r="E1473"/>
          <cell r="F1473"/>
          <cell r="G1473" t="str">
            <v>M3</v>
          </cell>
          <cell r="H1473">
            <v>1</v>
          </cell>
          <cell r="I1473">
            <v>539.91999999999985</v>
          </cell>
          <cell r="J1473">
            <v>6.3</v>
          </cell>
          <cell r="K1473">
            <v>0.15</v>
          </cell>
          <cell r="L1473">
            <v>510.22439999999978</v>
          </cell>
        </row>
        <row r="1474">
          <cell r="B1474" t="str">
            <v>CARRERA 17 ENTRE CALLE 94 Y 97A</v>
          </cell>
          <cell r="C1474" t="str">
            <v>DV_TOTALD</v>
          </cell>
          <cell r="D1474" t="str">
            <v>BARRIO EL BOSQUE</v>
          </cell>
          <cell r="E1474"/>
          <cell r="F1474"/>
          <cell r="G1474" t="str">
            <v>M3</v>
          </cell>
          <cell r="H1474">
            <v>1</v>
          </cell>
          <cell r="I1474">
            <v>284.06</v>
          </cell>
          <cell r="J1474">
            <v>6.3</v>
          </cell>
          <cell r="K1474">
            <v>0.15</v>
          </cell>
          <cell r="L1474">
            <v>268.43669999999997</v>
          </cell>
        </row>
        <row r="1475">
          <cell r="B1475" t="str">
            <v>CARRERA 20 ENTRE CALLE 93 Y 97A</v>
          </cell>
          <cell r="C1475" t="str">
            <v>DV_TOTALD</v>
          </cell>
          <cell r="D1475" t="str">
            <v>BARRIO EL BOSQUE</v>
          </cell>
          <cell r="E1475"/>
          <cell r="F1475"/>
          <cell r="G1475" t="str">
            <v>M3</v>
          </cell>
          <cell r="H1475">
            <v>1</v>
          </cell>
          <cell r="I1475">
            <v>313.46999999999997</v>
          </cell>
          <cell r="J1475">
            <v>6.3</v>
          </cell>
          <cell r="K1475">
            <v>0.15</v>
          </cell>
          <cell r="L1475">
            <v>296.22914999999995</v>
          </cell>
        </row>
        <row r="1476">
          <cell r="B1476" t="str">
            <v>CARRERA 21 ENTRE CALLE 93 Y 97A</v>
          </cell>
          <cell r="C1476" t="str">
            <v>DV_TOTALD</v>
          </cell>
          <cell r="D1476" t="str">
            <v>BARRIO EL BOSQUE</v>
          </cell>
          <cell r="E1476"/>
          <cell r="F1476"/>
          <cell r="G1476" t="str">
            <v>M3</v>
          </cell>
          <cell r="H1476">
            <v>1</v>
          </cell>
          <cell r="I1476">
            <v>313.47000000000003</v>
          </cell>
          <cell r="J1476">
            <v>5.3</v>
          </cell>
          <cell r="K1476">
            <v>0.15</v>
          </cell>
          <cell r="L1476">
            <v>249.20865000000001</v>
          </cell>
        </row>
        <row r="1477">
          <cell r="B1477" t="str">
            <v>CALLE 110 ENTRE CARRERA 14 Y 27</v>
          </cell>
          <cell r="C1477" t="str">
            <v>DV_TOTALD</v>
          </cell>
          <cell r="D1477" t="str">
            <v>BARRIO EL BOSQUE</v>
          </cell>
          <cell r="E1477"/>
          <cell r="F1477"/>
          <cell r="G1477" t="str">
            <v>M3</v>
          </cell>
          <cell r="H1477">
            <v>1</v>
          </cell>
          <cell r="I1477">
            <v>1405.1899999999996</v>
          </cell>
          <cell r="J1477">
            <v>6.3</v>
          </cell>
          <cell r="K1477">
            <v>0.15</v>
          </cell>
          <cell r="L1477">
            <v>1327.9045499999995</v>
          </cell>
        </row>
        <row r="1478">
          <cell r="J1478" t="str">
            <v>VALOR TOTAL</v>
          </cell>
          <cell r="K1478"/>
          <cell r="L1478">
            <v>6887.8242</v>
          </cell>
        </row>
        <row r="1480">
          <cell r="B1480" t="str">
            <v>3.5</v>
          </cell>
          <cell r="C1480" t="str">
            <v>DESCRIPCION</v>
          </cell>
          <cell r="D1480"/>
          <cell r="E1480" t="str">
            <v>PAVIMENTO EN CONCRETO HIDRAULICO MR 39 Mpa</v>
          </cell>
          <cell r="F1480"/>
          <cell r="G1480"/>
          <cell r="H1480"/>
          <cell r="I1480" t="str">
            <v>UN</v>
          </cell>
          <cell r="J1480" t="str">
            <v>M3</v>
          </cell>
          <cell r="K1480" t="str">
            <v>CANTIDAD</v>
          </cell>
          <cell r="L1480">
            <v>9134</v>
          </cell>
        </row>
        <row r="1482">
          <cell r="B1482" t="str">
            <v>COD EP</v>
          </cell>
          <cell r="C1482" t="str">
            <v>COD EP</v>
          </cell>
          <cell r="D1482" t="str">
            <v>DESCRIPCION /LOCALIZACION</v>
          </cell>
          <cell r="E1482"/>
          <cell r="F1482"/>
          <cell r="G1482" t="str">
            <v>UNIDAD</v>
          </cell>
          <cell r="H1482" t="str">
            <v>CAN/UN</v>
          </cell>
          <cell r="I1482" t="str">
            <v>LARGO</v>
          </cell>
          <cell r="J1482" t="str">
            <v>ANCHO</v>
          </cell>
          <cell r="K1482" t="str">
            <v>ALTURA</v>
          </cell>
          <cell r="L1482" t="str">
            <v>CAN MED</v>
          </cell>
        </row>
        <row r="1483">
          <cell r="B1483" t="str">
            <v>CALLE 102C ENTRE CARRERA 19 Y 21</v>
          </cell>
          <cell r="C1483" t="str">
            <v>DV_TOTALA</v>
          </cell>
          <cell r="D1483" t="str">
            <v>BARRIO CIUDADELA INDUSTRIAL</v>
          </cell>
          <cell r="E1483"/>
          <cell r="F1483"/>
          <cell r="G1483" t="str">
            <v>M3</v>
          </cell>
          <cell r="H1483">
            <v>1</v>
          </cell>
          <cell r="I1483">
            <v>193.67000000000002</v>
          </cell>
          <cell r="J1483">
            <v>5</v>
          </cell>
          <cell r="K1483">
            <v>0.17</v>
          </cell>
          <cell r="L1483">
            <v>164.61950000000004</v>
          </cell>
        </row>
        <row r="1484">
          <cell r="B1484" t="str">
            <v>CALLE 102B ENTRE CARRERA 19 Y 21</v>
          </cell>
          <cell r="C1484" t="str">
            <v>DV_TOTALA</v>
          </cell>
          <cell r="D1484" t="str">
            <v>BARRIO CIUDADELA INDUSTRIAL</v>
          </cell>
          <cell r="E1484"/>
          <cell r="F1484"/>
          <cell r="G1484" t="str">
            <v>M3</v>
          </cell>
          <cell r="H1484">
            <v>1</v>
          </cell>
          <cell r="I1484">
            <v>239.45999999999998</v>
          </cell>
          <cell r="J1484">
            <v>5</v>
          </cell>
          <cell r="K1484">
            <v>0.17</v>
          </cell>
          <cell r="L1484">
            <v>203.541</v>
          </cell>
        </row>
        <row r="1485">
          <cell r="B1485" t="str">
            <v>CARRERA 20 ENTRE CALLE 102 B Y 102 D</v>
          </cell>
          <cell r="C1485" t="str">
            <v>DV_TOTALA</v>
          </cell>
          <cell r="D1485" t="str">
            <v>BARRIO CIUDADELA INDUSTRIAL</v>
          </cell>
          <cell r="E1485"/>
          <cell r="F1485"/>
          <cell r="G1485" t="str">
            <v>M3</v>
          </cell>
          <cell r="H1485">
            <v>1</v>
          </cell>
          <cell r="I1485">
            <v>93.72999999999999</v>
          </cell>
          <cell r="J1485">
            <v>5</v>
          </cell>
          <cell r="K1485">
            <v>0.17</v>
          </cell>
          <cell r="L1485">
            <v>79.670500000000004</v>
          </cell>
        </row>
        <row r="1486">
          <cell r="B1486" t="str">
            <v>CARRERA 21 ENTRE CALLE 102 B Y 102 D</v>
          </cell>
          <cell r="C1486" t="str">
            <v>DV_TOTALA</v>
          </cell>
          <cell r="D1486" t="str">
            <v>BARRIO CIUDADELA INDUSTRIAL</v>
          </cell>
          <cell r="E1486"/>
          <cell r="F1486"/>
          <cell r="G1486" t="str">
            <v>M3</v>
          </cell>
          <cell r="H1486">
            <v>1</v>
          </cell>
          <cell r="I1486">
            <v>97.57</v>
          </cell>
          <cell r="J1486">
            <v>5</v>
          </cell>
          <cell r="K1486">
            <v>0.17</v>
          </cell>
          <cell r="L1486">
            <v>82.9345</v>
          </cell>
        </row>
        <row r="1487">
          <cell r="B1487" t="str">
            <v>CALLE 102D ENTRE CARRERA 20 Y 21A</v>
          </cell>
          <cell r="C1487" t="str">
            <v>DV_TOTALA</v>
          </cell>
          <cell r="D1487" t="str">
            <v>BARRIO CIUDADELA INDUSTRIAL</v>
          </cell>
          <cell r="E1487"/>
          <cell r="F1487"/>
          <cell r="G1487" t="str">
            <v>M3</v>
          </cell>
          <cell r="H1487">
            <v>1</v>
          </cell>
          <cell r="I1487">
            <v>108.75</v>
          </cell>
          <cell r="J1487">
            <v>5</v>
          </cell>
          <cell r="K1487">
            <v>0.17</v>
          </cell>
          <cell r="L1487">
            <v>92.4375</v>
          </cell>
        </row>
        <row r="1488">
          <cell r="B1488" t="str">
            <v>CALLE 102A ENTRE CARRERA 17 Y 19</v>
          </cell>
          <cell r="C1488" t="str">
            <v>DV_TOTALB</v>
          </cell>
          <cell r="D1488" t="str">
            <v>BARRIO JUAN XXIII</v>
          </cell>
          <cell r="E1488"/>
          <cell r="F1488"/>
          <cell r="G1488" t="str">
            <v>M3</v>
          </cell>
          <cell r="H1488">
            <v>1</v>
          </cell>
          <cell r="I1488">
            <v>186.84</v>
          </cell>
          <cell r="J1488">
            <v>6</v>
          </cell>
          <cell r="K1488">
            <v>0.17</v>
          </cell>
          <cell r="L1488">
            <v>190.57680000000002</v>
          </cell>
        </row>
        <row r="1489">
          <cell r="B1489" t="str">
            <v>CALLE 102B ENTRE CARRERA 17 Y 19</v>
          </cell>
          <cell r="C1489" t="str">
            <v>DV_TOTALB</v>
          </cell>
          <cell r="D1489" t="str">
            <v>BARRIO JUAN XXIII</v>
          </cell>
          <cell r="E1489"/>
          <cell r="F1489"/>
          <cell r="G1489" t="str">
            <v>M3</v>
          </cell>
          <cell r="H1489">
            <v>1</v>
          </cell>
          <cell r="I1489">
            <v>135.94</v>
          </cell>
          <cell r="J1489">
            <v>6</v>
          </cell>
          <cell r="K1489">
            <v>0.17</v>
          </cell>
          <cell r="L1489">
            <v>138.65880000000001</v>
          </cell>
        </row>
        <row r="1490">
          <cell r="B1490" t="str">
            <v>CALLE 102 ENTRE CARRERA 17 Y 19</v>
          </cell>
          <cell r="C1490" t="str">
            <v>DV_TOTALB</v>
          </cell>
          <cell r="D1490" t="str">
            <v>BARRIO JUAN XXIII</v>
          </cell>
          <cell r="E1490"/>
          <cell r="F1490"/>
          <cell r="G1490" t="str">
            <v>M3</v>
          </cell>
          <cell r="H1490">
            <v>1</v>
          </cell>
          <cell r="I1490">
            <v>247.32999999999998</v>
          </cell>
          <cell r="J1490">
            <v>6</v>
          </cell>
          <cell r="K1490">
            <v>0.17</v>
          </cell>
          <cell r="L1490">
            <v>252.27660000000003</v>
          </cell>
        </row>
        <row r="1491">
          <cell r="B1491" t="str">
            <v>CALLE 101 ENTRE CARRERA 17 Y 17A</v>
          </cell>
          <cell r="C1491" t="str">
            <v>DV_TOTALB</v>
          </cell>
          <cell r="D1491" t="str">
            <v>BARRIO JUAN XXIII</v>
          </cell>
          <cell r="E1491"/>
          <cell r="F1491"/>
          <cell r="G1491" t="str">
            <v>M3</v>
          </cell>
          <cell r="H1491">
            <v>1</v>
          </cell>
          <cell r="I1491">
            <v>161.94999999999999</v>
          </cell>
          <cell r="J1491">
            <v>6</v>
          </cell>
          <cell r="K1491">
            <v>0.17</v>
          </cell>
          <cell r="L1491">
            <v>165.18899999999999</v>
          </cell>
        </row>
        <row r="1492">
          <cell r="B1492" t="str">
            <v>CARRERA 17A ENTRE CALLE 101 Y 102</v>
          </cell>
          <cell r="C1492" t="str">
            <v>DV_TOTALB</v>
          </cell>
          <cell r="D1492" t="str">
            <v>BARRIO JUAN XXIII</v>
          </cell>
          <cell r="E1492"/>
          <cell r="F1492"/>
          <cell r="G1492" t="str">
            <v>M3</v>
          </cell>
          <cell r="H1492">
            <v>1</v>
          </cell>
          <cell r="I1492">
            <v>50.239999999999995</v>
          </cell>
          <cell r="J1492">
            <v>5</v>
          </cell>
          <cell r="K1492">
            <v>0.17</v>
          </cell>
          <cell r="L1492">
            <v>42.704000000000001</v>
          </cell>
        </row>
        <row r="1493">
          <cell r="B1493" t="str">
            <v>CARRERA 17 ENTRE CALLE 100 102B</v>
          </cell>
          <cell r="C1493" t="str">
            <v>DV_TOTALB</v>
          </cell>
          <cell r="D1493" t="str">
            <v>BARRIO JUAN XXIII</v>
          </cell>
          <cell r="E1493"/>
          <cell r="F1493"/>
          <cell r="G1493" t="str">
            <v>M3</v>
          </cell>
          <cell r="H1493">
            <v>1</v>
          </cell>
          <cell r="I1493">
            <v>339.90999999999997</v>
          </cell>
          <cell r="J1493">
            <v>6</v>
          </cell>
          <cell r="K1493">
            <v>0.17</v>
          </cell>
          <cell r="L1493">
            <v>346.70819999999998</v>
          </cell>
        </row>
        <row r="1494">
          <cell r="B1494" t="str">
            <v>CALLE 99E ENTRE LOTE Y CRA 17</v>
          </cell>
          <cell r="C1494" t="str">
            <v>DV_TOTALC</v>
          </cell>
          <cell r="D1494" t="str">
            <v>BARRIO LAS DELICIAS</v>
          </cell>
          <cell r="E1494"/>
          <cell r="F1494"/>
          <cell r="G1494" t="str">
            <v>M3</v>
          </cell>
          <cell r="H1494">
            <v>1</v>
          </cell>
          <cell r="I1494">
            <v>164.07</v>
          </cell>
          <cell r="J1494">
            <v>5</v>
          </cell>
          <cell r="K1494">
            <v>0.17</v>
          </cell>
          <cell r="L1494">
            <v>139.45949999999999</v>
          </cell>
        </row>
        <row r="1495">
          <cell r="B1495" t="str">
            <v>CALLE 99D ENTRE LOTE Y CRA 17</v>
          </cell>
          <cell r="C1495" t="str">
            <v>DV_TOTALC</v>
          </cell>
          <cell r="D1495" t="str">
            <v>BARRIO LAS DELICIAS</v>
          </cell>
          <cell r="E1495"/>
          <cell r="F1495"/>
          <cell r="G1495" t="str">
            <v>M3</v>
          </cell>
          <cell r="H1495">
            <v>1</v>
          </cell>
          <cell r="I1495">
            <v>75.63</v>
          </cell>
          <cell r="J1495">
            <v>5</v>
          </cell>
          <cell r="K1495">
            <v>0.17</v>
          </cell>
          <cell r="L1495">
            <v>64.285499999999999</v>
          </cell>
        </row>
        <row r="1496">
          <cell r="B1496" t="str">
            <v>CALLE 99C ENTRE LOTE Y CRA 17</v>
          </cell>
          <cell r="C1496" t="str">
            <v>DV_TOTALC</v>
          </cell>
          <cell r="D1496" t="str">
            <v>BARRIO LAS DELICIAS</v>
          </cell>
          <cell r="E1496"/>
          <cell r="F1496"/>
          <cell r="G1496" t="str">
            <v>M3</v>
          </cell>
          <cell r="H1496">
            <v>1</v>
          </cell>
          <cell r="I1496">
            <v>69.64</v>
          </cell>
          <cell r="J1496">
            <v>3.5</v>
          </cell>
          <cell r="K1496">
            <v>0.17</v>
          </cell>
          <cell r="L1496">
            <v>41.435800000000008</v>
          </cell>
        </row>
        <row r="1497">
          <cell r="B1497" t="str">
            <v>CALLE 99B ENTRE LOTE Y CRA 17</v>
          </cell>
          <cell r="C1497" t="str">
            <v>DV_TOTALC</v>
          </cell>
          <cell r="D1497" t="str">
            <v>BARRIO LAS DELICIAS</v>
          </cell>
          <cell r="E1497"/>
          <cell r="F1497"/>
          <cell r="G1497" t="str">
            <v>M3</v>
          </cell>
          <cell r="H1497">
            <v>1</v>
          </cell>
          <cell r="I1497">
            <v>60.67</v>
          </cell>
          <cell r="J1497">
            <v>3.5</v>
          </cell>
          <cell r="K1497">
            <v>0.17</v>
          </cell>
          <cell r="L1497">
            <v>36.098649999999999</v>
          </cell>
        </row>
        <row r="1498">
          <cell r="B1498" t="str">
            <v>CALLE 99A ENTRE LOTE Y CRA 17</v>
          </cell>
          <cell r="C1498" t="str">
            <v>DV_TOTALC</v>
          </cell>
          <cell r="D1498" t="str">
            <v>BARRIO LAS DELICIAS</v>
          </cell>
          <cell r="E1498"/>
          <cell r="F1498"/>
          <cell r="G1498" t="str">
            <v>M3</v>
          </cell>
          <cell r="H1498">
            <v>1</v>
          </cell>
          <cell r="I1498">
            <v>299.48</v>
          </cell>
          <cell r="J1498">
            <v>6</v>
          </cell>
          <cell r="K1498">
            <v>0.17</v>
          </cell>
          <cell r="L1498">
            <v>305.46960000000001</v>
          </cell>
        </row>
        <row r="1499">
          <cell r="B1499" t="str">
            <v>CALLE 99AA ENTRE LOTE Y CRA 17</v>
          </cell>
          <cell r="C1499" t="str">
            <v>DV_TOTALC</v>
          </cell>
          <cell r="D1499" t="str">
            <v>BARRIO LAS DELICIAS</v>
          </cell>
          <cell r="E1499"/>
          <cell r="F1499"/>
          <cell r="G1499" t="str">
            <v>M3</v>
          </cell>
          <cell r="H1499">
            <v>1</v>
          </cell>
          <cell r="I1499">
            <v>156</v>
          </cell>
          <cell r="J1499">
            <v>5</v>
          </cell>
          <cell r="K1499">
            <v>0.17</v>
          </cell>
          <cell r="L1499">
            <v>132.60000000000002</v>
          </cell>
        </row>
        <row r="1500">
          <cell r="B1500" t="str">
            <v>CARRERA 17 ENTRE CALL 99 Y 100</v>
          </cell>
          <cell r="C1500" t="str">
            <v>DV_TOTALC</v>
          </cell>
          <cell r="D1500" t="str">
            <v>BARRIO LAS DELICIAS</v>
          </cell>
          <cell r="E1500"/>
          <cell r="F1500"/>
          <cell r="G1500" t="str">
            <v>M3</v>
          </cell>
          <cell r="H1500">
            <v>1</v>
          </cell>
          <cell r="I1500">
            <v>418.68000000000006</v>
          </cell>
          <cell r="J1500">
            <v>6</v>
          </cell>
          <cell r="K1500">
            <v>0.17</v>
          </cell>
          <cell r="L1500">
            <v>427.05360000000007</v>
          </cell>
        </row>
        <row r="1501">
          <cell r="B1501" t="str">
            <v>CARRERA 17A ENTRE CALL 99 Y 100</v>
          </cell>
          <cell r="C1501" t="str">
            <v>DV_TOTALC</v>
          </cell>
          <cell r="D1501" t="str">
            <v>BARRIO LAS DELICIAS</v>
          </cell>
          <cell r="E1501"/>
          <cell r="F1501"/>
          <cell r="G1501" t="str">
            <v>M3</v>
          </cell>
          <cell r="H1501">
            <v>1</v>
          </cell>
          <cell r="I1501">
            <v>302.89</v>
          </cell>
          <cell r="J1501">
            <v>5</v>
          </cell>
          <cell r="K1501">
            <v>0.17</v>
          </cell>
          <cell r="L1501">
            <v>257.45650000000001</v>
          </cell>
        </row>
        <row r="1502">
          <cell r="B1502" t="str">
            <v>CALLE 97A ENTRE 19 Y 23</v>
          </cell>
          <cell r="C1502" t="str">
            <v>DV_TOTALD</v>
          </cell>
          <cell r="D1502" t="str">
            <v>BARRIO EL BOSQUE</v>
          </cell>
          <cell r="E1502"/>
          <cell r="F1502"/>
          <cell r="G1502" t="str">
            <v>M3</v>
          </cell>
          <cell r="H1502">
            <v>1</v>
          </cell>
          <cell r="I1502">
            <v>339.08000000000004</v>
          </cell>
          <cell r="J1502">
            <v>6</v>
          </cell>
          <cell r="K1502">
            <v>0.17</v>
          </cell>
          <cell r="L1502">
            <v>345.86160000000007</v>
          </cell>
        </row>
        <row r="1503">
          <cell r="B1503" t="str">
            <v>CALLE 97 ENTRE 19 Y 23</v>
          </cell>
          <cell r="C1503" t="str">
            <v>DV_TOTALD</v>
          </cell>
          <cell r="D1503" t="str">
            <v>BARRIO EL BOSQUE</v>
          </cell>
          <cell r="E1503"/>
          <cell r="F1503"/>
          <cell r="G1503" t="str">
            <v>M3</v>
          </cell>
          <cell r="H1503">
            <v>1</v>
          </cell>
          <cell r="I1503">
            <v>596.85</v>
          </cell>
          <cell r="J1503">
            <v>6</v>
          </cell>
          <cell r="K1503">
            <v>0.17</v>
          </cell>
          <cell r="L1503">
            <v>608.78700000000015</v>
          </cell>
        </row>
        <row r="1504">
          <cell r="B1504" t="str">
            <v>CALLE 96A ENTRE 19 Y 23</v>
          </cell>
          <cell r="C1504" t="str">
            <v>DV_TOTALD</v>
          </cell>
          <cell r="D1504" t="str">
            <v>BARRIO EL BOSQUE</v>
          </cell>
          <cell r="E1504"/>
          <cell r="F1504"/>
          <cell r="G1504" t="str">
            <v>M3</v>
          </cell>
          <cell r="H1504">
            <v>1</v>
          </cell>
          <cell r="I1504">
            <v>582.44999999999993</v>
          </cell>
          <cell r="J1504">
            <v>6</v>
          </cell>
          <cell r="K1504">
            <v>0.17</v>
          </cell>
          <cell r="L1504">
            <v>594.09900000000005</v>
          </cell>
        </row>
        <row r="1505">
          <cell r="B1505" t="str">
            <v>CALLE 96 ENTRE 19 Y 23</v>
          </cell>
          <cell r="C1505" t="str">
            <v>DV_TOTALD</v>
          </cell>
          <cell r="D1505" t="str">
            <v>BARRIO EL BOSQUE</v>
          </cell>
          <cell r="E1505"/>
          <cell r="F1505"/>
          <cell r="G1505" t="str">
            <v>M3</v>
          </cell>
          <cell r="H1505">
            <v>1</v>
          </cell>
          <cell r="I1505">
            <v>576.17000000000007</v>
          </cell>
          <cell r="J1505">
            <v>6</v>
          </cell>
          <cell r="K1505">
            <v>0.17</v>
          </cell>
          <cell r="L1505">
            <v>587.69340000000011</v>
          </cell>
        </row>
        <row r="1506">
          <cell r="B1506" t="str">
            <v>CALLE 95 ENTRE 19 Y 23</v>
          </cell>
          <cell r="C1506" t="str">
            <v>DV_TOTALD</v>
          </cell>
          <cell r="D1506" t="str">
            <v>BARRIO EL BOSQUE</v>
          </cell>
          <cell r="E1506"/>
          <cell r="F1506"/>
          <cell r="G1506" t="str">
            <v>M3</v>
          </cell>
          <cell r="H1506">
            <v>1</v>
          </cell>
          <cell r="I1506">
            <v>338.27</v>
          </cell>
          <cell r="J1506">
            <v>6</v>
          </cell>
          <cell r="K1506">
            <v>0.17</v>
          </cell>
          <cell r="L1506">
            <v>345.03539999999998</v>
          </cell>
        </row>
        <row r="1507">
          <cell r="B1507" t="str">
            <v>CALLE 94 ENTRE 19 Y 23</v>
          </cell>
          <cell r="C1507" t="str">
            <v>DV_TOTALD</v>
          </cell>
          <cell r="D1507" t="str">
            <v>BARRIO EL BOSQUE</v>
          </cell>
          <cell r="E1507"/>
          <cell r="F1507"/>
          <cell r="G1507" t="str">
            <v>M3</v>
          </cell>
          <cell r="H1507">
            <v>1</v>
          </cell>
          <cell r="I1507">
            <v>339.22</v>
          </cell>
          <cell r="J1507">
            <v>6</v>
          </cell>
          <cell r="K1507">
            <v>0.17</v>
          </cell>
          <cell r="L1507">
            <v>346.00440000000003</v>
          </cell>
        </row>
        <row r="1508">
          <cell r="B1508" t="str">
            <v>CALLE 93 ENTRE 15 Y 23</v>
          </cell>
          <cell r="C1508" t="str">
            <v>DV_TOTALD</v>
          </cell>
          <cell r="D1508" t="str">
            <v>BARRIO EL BOSQUE</v>
          </cell>
          <cell r="E1508"/>
          <cell r="F1508"/>
          <cell r="G1508" t="str">
            <v>M3</v>
          </cell>
          <cell r="H1508">
            <v>1</v>
          </cell>
          <cell r="I1508">
            <v>539.91999999999985</v>
          </cell>
          <cell r="J1508">
            <v>6</v>
          </cell>
          <cell r="K1508">
            <v>0.17</v>
          </cell>
          <cell r="L1508">
            <v>550.71839999999986</v>
          </cell>
        </row>
        <row r="1509">
          <cell r="B1509" t="str">
            <v>CARRERA 17 ENTRE CALLE 94 Y 97A</v>
          </cell>
          <cell r="C1509" t="str">
            <v>DV_TOTALD</v>
          </cell>
          <cell r="D1509" t="str">
            <v>BARRIO EL BOSQUE</v>
          </cell>
          <cell r="E1509"/>
          <cell r="F1509"/>
          <cell r="G1509" t="str">
            <v>M3</v>
          </cell>
          <cell r="H1509">
            <v>1</v>
          </cell>
          <cell r="I1509">
            <v>284.06</v>
          </cell>
          <cell r="J1509">
            <v>6</v>
          </cell>
          <cell r="K1509">
            <v>0.17</v>
          </cell>
          <cell r="L1509">
            <v>289.74120000000005</v>
          </cell>
        </row>
        <row r="1510">
          <cell r="B1510" t="str">
            <v>CARRERA 20 ENTRE CALLE 93 Y 97A</v>
          </cell>
          <cell r="C1510" t="str">
            <v>DV_TOTALD</v>
          </cell>
          <cell r="D1510" t="str">
            <v>BARRIO EL BOSQUE</v>
          </cell>
          <cell r="E1510"/>
          <cell r="F1510"/>
          <cell r="G1510" t="str">
            <v>M3</v>
          </cell>
          <cell r="H1510">
            <v>1</v>
          </cell>
          <cell r="I1510">
            <v>313.46999999999997</v>
          </cell>
          <cell r="J1510">
            <v>6</v>
          </cell>
          <cell r="K1510">
            <v>0.17</v>
          </cell>
          <cell r="L1510">
            <v>319.73939999999999</v>
          </cell>
        </row>
        <row r="1511">
          <cell r="B1511" t="str">
            <v>CARRERA 21 ENTRE CALLE 93 Y 97A</v>
          </cell>
          <cell r="C1511" t="str">
            <v>DV_TOTALD</v>
          </cell>
          <cell r="D1511" t="str">
            <v>BARRIO EL BOSQUE</v>
          </cell>
          <cell r="E1511"/>
          <cell r="F1511"/>
          <cell r="G1511" t="str">
            <v>M3</v>
          </cell>
          <cell r="H1511">
            <v>1</v>
          </cell>
          <cell r="I1511">
            <v>313.47000000000003</v>
          </cell>
          <cell r="J1511">
            <v>5</v>
          </cell>
          <cell r="K1511">
            <v>0.17</v>
          </cell>
          <cell r="L1511">
            <v>266.44950000000006</v>
          </cell>
        </row>
        <row r="1512">
          <cell r="B1512" t="str">
            <v>CALLE 110 ENTRE CARRERA 14 Y 27</v>
          </cell>
          <cell r="C1512" t="str">
            <v>DV_TOTALE</v>
          </cell>
          <cell r="D1512" t="str">
            <v>BARRIO JESUS MORA CALLE 110</v>
          </cell>
          <cell r="E1512"/>
          <cell r="F1512"/>
          <cell r="G1512" t="str">
            <v>M3</v>
          </cell>
          <cell r="H1512">
            <v>1</v>
          </cell>
          <cell r="I1512">
            <v>1405.1899999999996</v>
          </cell>
          <cell r="J1512">
            <v>6</v>
          </cell>
          <cell r="K1512">
            <v>0.18</v>
          </cell>
          <cell r="L1512">
            <v>1517.6051999999995</v>
          </cell>
        </row>
        <row r="1513">
          <cell r="B1513" t="str">
            <v>CALZADA</v>
          </cell>
          <cell r="C1513" t="str">
            <v>SV_001</v>
          </cell>
          <cell r="D1513" t="str">
            <v>TODAS LAS VIAS</v>
          </cell>
          <cell r="E1513"/>
          <cell r="F1513"/>
          <cell r="G1513" t="str">
            <v>M3</v>
          </cell>
          <cell r="H1513">
            <v>520</v>
          </cell>
          <cell r="I1513">
            <v>1.5</v>
          </cell>
          <cell r="J1513">
            <v>1.5</v>
          </cell>
          <cell r="K1513">
            <v>0.17</v>
          </cell>
          <cell r="L1513">
            <v>198.9</v>
          </cell>
        </row>
        <row r="1514">
          <cell r="J1514" t="str">
            <v>VALOR TOTAL</v>
          </cell>
          <cell r="K1514"/>
          <cell r="L1514">
            <v>9133.81005</v>
          </cell>
        </row>
        <row r="1516">
          <cell r="B1516" t="str">
            <v>3.6</v>
          </cell>
          <cell r="C1516" t="str">
            <v>DESCRIPCION</v>
          </cell>
          <cell r="D1516"/>
          <cell r="E1516" t="str">
            <v>SUMINISTRO CORTE, FIGURACIÓN Y COLOCACIÓN DE ACERO 60000 PSI</v>
          </cell>
          <cell r="F1516"/>
          <cell r="G1516"/>
          <cell r="H1516"/>
          <cell r="I1516" t="str">
            <v>UN</v>
          </cell>
          <cell r="J1516" t="str">
            <v>KG</v>
          </cell>
          <cell r="K1516" t="str">
            <v>CANTIDAD</v>
          </cell>
          <cell r="L1516">
            <v>13466</v>
          </cell>
        </row>
        <row r="1518">
          <cell r="B1518" t="str">
            <v>DESCRIPCION</v>
          </cell>
          <cell r="C1518" t="str">
            <v>DESCRIPCION /LOCALIZACION</v>
          </cell>
          <cell r="D1518"/>
          <cell r="E1518" t="str">
            <v>UNIDAD</v>
          </cell>
          <cell r="F1518" t="str">
            <v>CAN/LAD1</v>
          </cell>
          <cell r="G1518" t="str">
            <v>CAN/LAD2</v>
          </cell>
          <cell r="H1518" t="str">
            <v>PESO</v>
          </cell>
          <cell r="I1518" t="str">
            <v>C/CRUCE</v>
          </cell>
          <cell r="J1518" t="str">
            <v>ANCHO</v>
          </cell>
          <cell r="K1518" t="str">
            <v>ALTURA</v>
          </cell>
          <cell r="L1518" t="str">
            <v>CAN MED</v>
          </cell>
        </row>
        <row r="1519">
          <cell r="B1519" t="str">
            <v>1 Ø 1/2 @ 0,3 AMBAS CARAS</v>
          </cell>
          <cell r="C1519" t="str">
            <v>CALLE 102C ENTRE CARRERA 19 - 20</v>
          </cell>
          <cell r="D1519"/>
          <cell r="E1519" t="str">
            <v>KG</v>
          </cell>
          <cell r="F1519">
            <v>17</v>
          </cell>
          <cell r="G1519">
            <v>9</v>
          </cell>
          <cell r="H1519">
            <v>0.99</v>
          </cell>
          <cell r="I1519">
            <v>1</v>
          </cell>
          <cell r="J1519">
            <v>5</v>
          </cell>
          <cell r="K1519">
            <v>2.5</v>
          </cell>
          <cell r="L1519">
            <v>103.851</v>
          </cell>
        </row>
        <row r="1520">
          <cell r="B1520" t="str">
            <v>1 Ø 1/2 @ 0,3 AMBAS CARAS</v>
          </cell>
          <cell r="C1520" t="str">
            <v>CALLE 102C ENTRE CARRERA 20 - 21</v>
          </cell>
          <cell r="D1520"/>
          <cell r="E1520" t="str">
            <v>KG</v>
          </cell>
          <cell r="F1520">
            <v>17</v>
          </cell>
          <cell r="G1520">
            <v>9</v>
          </cell>
          <cell r="H1520">
            <v>0.99</v>
          </cell>
          <cell r="I1520">
            <v>1</v>
          </cell>
          <cell r="J1520">
            <v>5</v>
          </cell>
          <cell r="K1520">
            <v>2.5</v>
          </cell>
          <cell r="L1520">
            <v>103.851</v>
          </cell>
        </row>
        <row r="1521">
          <cell r="B1521" t="str">
            <v>1 Ø 1/2 @ 0,3 AMBAS CARAS</v>
          </cell>
          <cell r="C1521" t="str">
            <v>CALLE 102B ENTRE CARRERA 19 - 20</v>
          </cell>
          <cell r="D1521"/>
          <cell r="E1521" t="str">
            <v>KG</v>
          </cell>
          <cell r="F1521">
            <v>17</v>
          </cell>
          <cell r="G1521">
            <v>9</v>
          </cell>
          <cell r="H1521">
            <v>0.99</v>
          </cell>
          <cell r="I1521">
            <v>1</v>
          </cell>
          <cell r="J1521">
            <v>5</v>
          </cell>
          <cell r="K1521">
            <v>2.5</v>
          </cell>
          <cell r="L1521">
            <v>103.851</v>
          </cell>
        </row>
        <row r="1522">
          <cell r="B1522" t="str">
            <v>1 Ø 1/2 @ 0,3 AMBAS CARAS</v>
          </cell>
          <cell r="C1522" t="str">
            <v>CALLE 102B ENTRE CARRERA 20 - 21</v>
          </cell>
          <cell r="D1522"/>
          <cell r="E1522" t="str">
            <v>KG</v>
          </cell>
          <cell r="F1522">
            <v>17</v>
          </cell>
          <cell r="G1522">
            <v>9</v>
          </cell>
          <cell r="H1522">
            <v>0.99</v>
          </cell>
          <cell r="I1522">
            <v>1</v>
          </cell>
          <cell r="J1522">
            <v>5</v>
          </cell>
          <cell r="K1522">
            <v>2.5</v>
          </cell>
          <cell r="L1522">
            <v>103.851</v>
          </cell>
        </row>
        <row r="1523">
          <cell r="B1523" t="str">
            <v>1 Ø 1/2 @ 0,3 AMBAS CARAS</v>
          </cell>
          <cell r="C1523" t="str">
            <v>CALLE 102B ENTRE CARRERA 20 - 21A</v>
          </cell>
          <cell r="D1523"/>
          <cell r="E1523" t="str">
            <v>KG</v>
          </cell>
          <cell r="F1523">
            <v>17</v>
          </cell>
          <cell r="G1523">
            <v>9</v>
          </cell>
          <cell r="H1523">
            <v>0.99</v>
          </cell>
          <cell r="I1523">
            <v>1</v>
          </cell>
          <cell r="J1523">
            <v>5</v>
          </cell>
          <cell r="K1523">
            <v>2.5</v>
          </cell>
          <cell r="L1523">
            <v>103.851</v>
          </cell>
        </row>
        <row r="1524">
          <cell r="B1524" t="str">
            <v>1 Ø 1/2 @ 0,3 AMBAS CARAS</v>
          </cell>
          <cell r="C1524" t="str">
            <v>CARRERA 20 ENTRE CALLE 102 B Y 102 C</v>
          </cell>
          <cell r="D1524"/>
          <cell r="E1524" t="str">
            <v>KG</v>
          </cell>
          <cell r="F1524">
            <v>17</v>
          </cell>
          <cell r="G1524">
            <v>9</v>
          </cell>
          <cell r="H1524">
            <v>0.99</v>
          </cell>
          <cell r="I1524">
            <v>1</v>
          </cell>
          <cell r="J1524">
            <v>5</v>
          </cell>
          <cell r="K1524">
            <v>2.5</v>
          </cell>
          <cell r="L1524">
            <v>103.851</v>
          </cell>
        </row>
        <row r="1525">
          <cell r="B1525" t="str">
            <v>1 Ø 1/2 @ 0,3 AMBAS CARAS</v>
          </cell>
          <cell r="C1525" t="str">
            <v>CARRERA 20 ENTRE CALLE 102 C Y 102D</v>
          </cell>
          <cell r="D1525"/>
          <cell r="E1525" t="str">
            <v>KG</v>
          </cell>
          <cell r="F1525">
            <v>17</v>
          </cell>
          <cell r="G1525">
            <v>9</v>
          </cell>
          <cell r="H1525">
            <v>0.99</v>
          </cell>
          <cell r="I1525">
            <v>1</v>
          </cell>
          <cell r="J1525">
            <v>5</v>
          </cell>
          <cell r="K1525">
            <v>2.5</v>
          </cell>
          <cell r="L1525">
            <v>103.851</v>
          </cell>
        </row>
        <row r="1526">
          <cell r="B1526" t="str">
            <v>1 Ø 1/2 @ 0,3 AMBAS CARAS</v>
          </cell>
          <cell r="C1526" t="str">
            <v>CARRERA 21 ENTRE CALLE 102 B Y 102 C</v>
          </cell>
          <cell r="D1526"/>
          <cell r="E1526" t="str">
            <v>KG</v>
          </cell>
          <cell r="F1526">
            <v>17</v>
          </cell>
          <cell r="G1526">
            <v>9</v>
          </cell>
          <cell r="H1526">
            <v>0.99</v>
          </cell>
          <cell r="I1526">
            <v>1</v>
          </cell>
          <cell r="J1526">
            <v>5</v>
          </cell>
          <cell r="K1526">
            <v>2.5</v>
          </cell>
          <cell r="L1526">
            <v>103.851</v>
          </cell>
        </row>
        <row r="1527">
          <cell r="B1527" t="str">
            <v>1 Ø 1/2 @ 0,3 AMBAS CARAS</v>
          </cell>
          <cell r="C1527" t="str">
            <v>CARRERA 21 ENTRE CALLE 102 C Y 102D</v>
          </cell>
          <cell r="D1527"/>
          <cell r="E1527" t="str">
            <v>KG</v>
          </cell>
          <cell r="F1527">
            <v>17</v>
          </cell>
          <cell r="G1527">
            <v>9</v>
          </cell>
          <cell r="H1527">
            <v>0.99</v>
          </cell>
          <cell r="I1527">
            <v>1</v>
          </cell>
          <cell r="J1527">
            <v>5</v>
          </cell>
          <cell r="K1527">
            <v>2.5</v>
          </cell>
          <cell r="L1527">
            <v>103.851</v>
          </cell>
        </row>
        <row r="1528">
          <cell r="B1528" t="str">
            <v>1 Ø 1/2 @ 0,3 AMBAS CARAS</v>
          </cell>
          <cell r="C1528" t="str">
            <v>CALLE 102D ENTRE CARRERA 20 - 21</v>
          </cell>
          <cell r="D1528"/>
          <cell r="E1528" t="str">
            <v>KG</v>
          </cell>
          <cell r="F1528">
            <v>17</v>
          </cell>
          <cell r="G1528">
            <v>9</v>
          </cell>
          <cell r="H1528">
            <v>0.99</v>
          </cell>
          <cell r="I1528">
            <v>1</v>
          </cell>
          <cell r="J1528">
            <v>5</v>
          </cell>
          <cell r="K1528">
            <v>2.5</v>
          </cell>
          <cell r="L1528">
            <v>103.851</v>
          </cell>
        </row>
        <row r="1529">
          <cell r="B1529" t="str">
            <v>1 Ø 1/2 @ 0,3 AMBAS CARAS</v>
          </cell>
          <cell r="C1529" t="str">
            <v>CALLE 102A ENTRE CARRERA 17 - 19</v>
          </cell>
          <cell r="D1529"/>
          <cell r="E1529" t="str">
            <v>KG</v>
          </cell>
          <cell r="F1529">
            <v>20</v>
          </cell>
          <cell r="G1529">
            <v>10</v>
          </cell>
          <cell r="H1529">
            <v>0.99</v>
          </cell>
          <cell r="I1529">
            <v>1</v>
          </cell>
          <cell r="J1529">
            <v>6</v>
          </cell>
          <cell r="K1529">
            <v>3</v>
          </cell>
          <cell r="L1529">
            <v>145.53</v>
          </cell>
        </row>
        <row r="1530">
          <cell r="B1530" t="str">
            <v>1 Ø 1/2 @ 0,3 AMBAS CARAS</v>
          </cell>
          <cell r="C1530" t="str">
            <v>CALLE 102B ENTRE CARRERA 17 - 19</v>
          </cell>
          <cell r="D1530"/>
          <cell r="E1530" t="str">
            <v>KG</v>
          </cell>
          <cell r="F1530">
            <v>20</v>
          </cell>
          <cell r="G1530">
            <v>10</v>
          </cell>
          <cell r="H1530">
            <v>0.99</v>
          </cell>
          <cell r="I1530">
            <v>1</v>
          </cell>
          <cell r="J1530">
            <v>6</v>
          </cell>
          <cell r="K1530">
            <v>3</v>
          </cell>
          <cell r="L1530">
            <v>145.53</v>
          </cell>
        </row>
        <row r="1531">
          <cell r="B1531" t="str">
            <v>1 Ø 1/2 @ 0,3 AMBAS CARAS</v>
          </cell>
          <cell r="C1531" t="str">
            <v>CALLE 102 ENTRE CARRERA 17 - 17A</v>
          </cell>
          <cell r="D1531"/>
          <cell r="E1531" t="str">
            <v>KG</v>
          </cell>
          <cell r="F1531">
            <v>20</v>
          </cell>
          <cell r="G1531">
            <v>10</v>
          </cell>
          <cell r="H1531">
            <v>0.99</v>
          </cell>
          <cell r="I1531">
            <v>1</v>
          </cell>
          <cell r="J1531">
            <v>6</v>
          </cell>
          <cell r="K1531">
            <v>3</v>
          </cell>
          <cell r="L1531">
            <v>145.53</v>
          </cell>
        </row>
        <row r="1532">
          <cell r="B1532" t="str">
            <v>1 Ø 1/2 @ 0,3 AMBAS CARAS</v>
          </cell>
          <cell r="C1532" t="str">
            <v>CALLE 102 ENTRE CARRERA 17A - 19</v>
          </cell>
          <cell r="D1532"/>
          <cell r="E1532" t="str">
            <v>KG</v>
          </cell>
          <cell r="F1532">
            <v>20</v>
          </cell>
          <cell r="G1532">
            <v>10</v>
          </cell>
          <cell r="H1532">
            <v>0.99</v>
          </cell>
          <cell r="I1532">
            <v>1</v>
          </cell>
          <cell r="J1532">
            <v>6</v>
          </cell>
          <cell r="K1532">
            <v>3</v>
          </cell>
          <cell r="L1532">
            <v>145.53</v>
          </cell>
        </row>
        <row r="1533">
          <cell r="B1533" t="str">
            <v>1 Ø 1/2 @ 0,3 AMBAS CARAS</v>
          </cell>
          <cell r="C1533" t="str">
            <v>CALLE 101 ENTRE CARRERA 17 - 17A</v>
          </cell>
          <cell r="D1533"/>
          <cell r="E1533" t="str">
            <v>KG</v>
          </cell>
          <cell r="F1533">
            <v>20</v>
          </cell>
          <cell r="G1533">
            <v>10</v>
          </cell>
          <cell r="H1533">
            <v>0.99</v>
          </cell>
          <cell r="I1533">
            <v>1</v>
          </cell>
          <cell r="J1533">
            <v>6</v>
          </cell>
          <cell r="K1533">
            <v>3</v>
          </cell>
          <cell r="L1533">
            <v>145.53</v>
          </cell>
        </row>
        <row r="1534">
          <cell r="B1534" t="str">
            <v>1 Ø 1/2 @ 0,3 AMBAS CARAS</v>
          </cell>
          <cell r="C1534" t="str">
            <v>CRA 17A ENTRE CALLE 101 Y 102</v>
          </cell>
          <cell r="D1534"/>
          <cell r="E1534" t="str">
            <v>KG</v>
          </cell>
          <cell r="F1534">
            <v>17</v>
          </cell>
          <cell r="G1534">
            <v>9</v>
          </cell>
          <cell r="H1534">
            <v>0.99</v>
          </cell>
          <cell r="I1534">
            <v>1</v>
          </cell>
          <cell r="J1534">
            <v>5</v>
          </cell>
          <cell r="K1534">
            <v>2.5</v>
          </cell>
          <cell r="L1534">
            <v>103.851</v>
          </cell>
        </row>
        <row r="1535">
          <cell r="B1535" t="str">
            <v>1 Ø 1/2 @ 0,3 AMBAS CARAS</v>
          </cell>
          <cell r="C1535" t="str">
            <v>CRA 17 ENTRE CALLE 100 Y 101</v>
          </cell>
          <cell r="D1535"/>
          <cell r="E1535" t="str">
            <v>KG</v>
          </cell>
          <cell r="F1535">
            <v>17</v>
          </cell>
          <cell r="G1535">
            <v>9</v>
          </cell>
          <cell r="H1535">
            <v>0.99</v>
          </cell>
          <cell r="I1535">
            <v>1</v>
          </cell>
          <cell r="J1535">
            <v>5</v>
          </cell>
          <cell r="K1535">
            <v>2.5</v>
          </cell>
          <cell r="L1535">
            <v>103.851</v>
          </cell>
        </row>
        <row r="1536">
          <cell r="B1536" t="str">
            <v>1 Ø 1/2 @ 0,3 AMBAS CARAS</v>
          </cell>
          <cell r="C1536" t="str">
            <v>CRA 17 ENTRE CALLE 101 Y 102</v>
          </cell>
          <cell r="D1536"/>
          <cell r="E1536" t="str">
            <v>KG</v>
          </cell>
          <cell r="F1536">
            <v>20</v>
          </cell>
          <cell r="G1536">
            <v>10</v>
          </cell>
          <cell r="H1536">
            <v>0.99</v>
          </cell>
          <cell r="I1536">
            <v>1</v>
          </cell>
          <cell r="J1536">
            <v>6</v>
          </cell>
          <cell r="K1536">
            <v>3</v>
          </cell>
          <cell r="L1536">
            <v>145.53</v>
          </cell>
        </row>
        <row r="1537">
          <cell r="B1537" t="str">
            <v>1 Ø 1/2 @ 0,3 AMBAS CARAS</v>
          </cell>
          <cell r="C1537" t="str">
            <v>CRA 17 ENTRE CALLE 102 Y 102A</v>
          </cell>
          <cell r="D1537"/>
          <cell r="E1537" t="str">
            <v>KG</v>
          </cell>
          <cell r="F1537">
            <v>20</v>
          </cell>
          <cell r="G1537">
            <v>10</v>
          </cell>
          <cell r="H1537">
            <v>0.99</v>
          </cell>
          <cell r="I1537">
            <v>1</v>
          </cell>
          <cell r="J1537">
            <v>6</v>
          </cell>
          <cell r="K1537">
            <v>3</v>
          </cell>
          <cell r="L1537">
            <v>145.53</v>
          </cell>
        </row>
        <row r="1538">
          <cell r="B1538" t="str">
            <v>1 Ø 1/2 @ 0,3 AMBAS CARAS</v>
          </cell>
          <cell r="C1538" t="str">
            <v>CRA 17 ENTRE CALLE 102A Y 102B</v>
          </cell>
          <cell r="D1538"/>
          <cell r="E1538" t="str">
            <v>KG</v>
          </cell>
          <cell r="F1538">
            <v>20</v>
          </cell>
          <cell r="G1538">
            <v>10</v>
          </cell>
          <cell r="H1538">
            <v>0.99</v>
          </cell>
          <cell r="I1538">
            <v>1</v>
          </cell>
          <cell r="J1538">
            <v>6</v>
          </cell>
          <cell r="K1538">
            <v>3</v>
          </cell>
          <cell r="L1538">
            <v>145.53</v>
          </cell>
        </row>
        <row r="1539">
          <cell r="B1539" t="str">
            <v>1 Ø 1/2 @ 0,3 AMBAS CARAS</v>
          </cell>
          <cell r="C1539" t="str">
            <v>CALLE 99E ENTRE CRA 16A-LOTE</v>
          </cell>
          <cell r="D1539"/>
          <cell r="E1539" t="str">
            <v>KG</v>
          </cell>
          <cell r="F1539">
            <v>17</v>
          </cell>
          <cell r="G1539">
            <v>9</v>
          </cell>
          <cell r="H1539">
            <v>0.99</v>
          </cell>
          <cell r="I1539">
            <v>1</v>
          </cell>
          <cell r="J1539">
            <v>5</v>
          </cell>
          <cell r="K1539">
            <v>2.5</v>
          </cell>
          <cell r="L1539">
            <v>103.851</v>
          </cell>
        </row>
        <row r="1540">
          <cell r="B1540" t="str">
            <v>1 Ø 1/2 @ 0,3 AMBAS CARAS</v>
          </cell>
          <cell r="C1540" t="str">
            <v>CALLE 99E ENTRE CRA 16A Y 17</v>
          </cell>
          <cell r="D1540"/>
          <cell r="E1540" t="str">
            <v>KG</v>
          </cell>
          <cell r="F1540">
            <v>17</v>
          </cell>
          <cell r="G1540">
            <v>9</v>
          </cell>
          <cell r="H1540">
            <v>0.99</v>
          </cell>
          <cell r="I1540">
            <v>1</v>
          </cell>
          <cell r="J1540">
            <v>5</v>
          </cell>
          <cell r="K1540">
            <v>2.5</v>
          </cell>
          <cell r="L1540">
            <v>103.851</v>
          </cell>
        </row>
        <row r="1541">
          <cell r="B1541" t="str">
            <v>1 Ø 1/2 @ 0,3 AMBAS CARAS</v>
          </cell>
          <cell r="C1541" t="str">
            <v>CALLE 99D ENTRE CRA 16A Y 17</v>
          </cell>
          <cell r="D1541"/>
          <cell r="E1541" t="str">
            <v>KG</v>
          </cell>
          <cell r="F1541">
            <v>17</v>
          </cell>
          <cell r="G1541">
            <v>9</v>
          </cell>
          <cell r="H1541">
            <v>0.99</v>
          </cell>
          <cell r="I1541">
            <v>1</v>
          </cell>
          <cell r="J1541">
            <v>5</v>
          </cell>
          <cell r="K1541">
            <v>2.5</v>
          </cell>
          <cell r="L1541">
            <v>103.851</v>
          </cell>
        </row>
        <row r="1542">
          <cell r="B1542" t="str">
            <v>1 Ø 1/2 @ 0,3 AMBAS CARAS</v>
          </cell>
          <cell r="C1542" t="str">
            <v>CALLE 99C ENTRE CRA 16A Y 17</v>
          </cell>
          <cell r="D1542"/>
          <cell r="E1542" t="str">
            <v>KG</v>
          </cell>
          <cell r="F1542">
            <v>12</v>
          </cell>
          <cell r="G1542">
            <v>6</v>
          </cell>
          <cell r="H1542">
            <v>0.99</v>
          </cell>
          <cell r="I1542">
            <v>1</v>
          </cell>
          <cell r="J1542">
            <v>3.5</v>
          </cell>
          <cell r="K1542">
            <v>1.75</v>
          </cell>
          <cell r="L1542">
            <v>50.192999999999998</v>
          </cell>
        </row>
        <row r="1543">
          <cell r="B1543" t="str">
            <v>1 Ø 1/2 @ 0,3 AMBAS CARAS</v>
          </cell>
          <cell r="C1543" t="str">
            <v>CALLE 99B ENTRE CRA 16A Y 17</v>
          </cell>
          <cell r="D1543"/>
          <cell r="E1543" t="str">
            <v>KG</v>
          </cell>
          <cell r="F1543">
            <v>12</v>
          </cell>
          <cell r="G1543">
            <v>6</v>
          </cell>
          <cell r="H1543">
            <v>0.99</v>
          </cell>
          <cell r="I1543">
            <v>1</v>
          </cell>
          <cell r="J1543">
            <v>3.5</v>
          </cell>
          <cell r="K1543">
            <v>1.75</v>
          </cell>
          <cell r="L1543">
            <v>50.192999999999998</v>
          </cell>
        </row>
        <row r="1544">
          <cell r="B1544" t="str">
            <v>1 Ø 1/2 @ 0,3 AMBAS CARAS</v>
          </cell>
          <cell r="C1544" t="str">
            <v>CALLE 99A ENTRE CRA 16A Y 16</v>
          </cell>
          <cell r="D1544"/>
          <cell r="E1544" t="str">
            <v>KG</v>
          </cell>
          <cell r="F1544">
            <v>20</v>
          </cell>
          <cell r="G1544">
            <v>10</v>
          </cell>
          <cell r="H1544">
            <v>0.99</v>
          </cell>
          <cell r="I1544">
            <v>1</v>
          </cell>
          <cell r="J1544">
            <v>6</v>
          </cell>
          <cell r="K1544">
            <v>3</v>
          </cell>
          <cell r="L1544">
            <v>145.53</v>
          </cell>
        </row>
        <row r="1545">
          <cell r="B1545" t="str">
            <v>1 Ø 1/2 @ 0,3 AMBAS CARAS</v>
          </cell>
          <cell r="C1545" t="str">
            <v>CALLE 99A ENTRE CRA 16A Y 17</v>
          </cell>
          <cell r="D1545"/>
          <cell r="E1545" t="str">
            <v>KG</v>
          </cell>
          <cell r="F1545">
            <v>20</v>
          </cell>
          <cell r="G1545">
            <v>10</v>
          </cell>
          <cell r="H1545">
            <v>0.99</v>
          </cell>
          <cell r="I1545">
            <v>1</v>
          </cell>
          <cell r="J1545">
            <v>6</v>
          </cell>
          <cell r="K1545">
            <v>3</v>
          </cell>
          <cell r="L1545">
            <v>145.53</v>
          </cell>
        </row>
        <row r="1546">
          <cell r="B1546" t="str">
            <v>1 Ø 1/2 @ 0,3 AMBAS CARAS</v>
          </cell>
          <cell r="C1546" t="str">
            <v>CALLE 99A ENTRE CRA 17 Y 19</v>
          </cell>
          <cell r="D1546"/>
          <cell r="E1546" t="str">
            <v>KG</v>
          </cell>
          <cell r="F1546">
            <v>20</v>
          </cell>
          <cell r="G1546">
            <v>10</v>
          </cell>
          <cell r="H1546">
            <v>0.99</v>
          </cell>
          <cell r="I1546">
            <v>1</v>
          </cell>
          <cell r="J1546">
            <v>6</v>
          </cell>
          <cell r="K1546">
            <v>3</v>
          </cell>
          <cell r="L1546">
            <v>145.53</v>
          </cell>
        </row>
        <row r="1547">
          <cell r="B1547" t="str">
            <v>1 Ø 1/2 @ 0,3 AMBAS CARAS</v>
          </cell>
          <cell r="C1547" t="str">
            <v xml:space="preserve">CALLE 99AA ENTRE CRA 17 Y 19 </v>
          </cell>
          <cell r="D1547"/>
          <cell r="E1547" t="str">
            <v>KG</v>
          </cell>
          <cell r="F1547">
            <v>17</v>
          </cell>
          <cell r="G1547">
            <v>9</v>
          </cell>
          <cell r="H1547">
            <v>0.99</v>
          </cell>
          <cell r="I1547">
            <v>1</v>
          </cell>
          <cell r="J1547">
            <v>5</v>
          </cell>
          <cell r="K1547">
            <v>2.5</v>
          </cell>
          <cell r="L1547">
            <v>103.851</v>
          </cell>
        </row>
        <row r="1548">
          <cell r="B1548" t="str">
            <v>1 Ø 1/2 @ 0,3 AMBAS CARAS</v>
          </cell>
          <cell r="C1548" t="str">
            <v>CARRERA 17 ENTRE CALLE 99 Y 99AA</v>
          </cell>
          <cell r="D1548"/>
          <cell r="E1548" t="str">
            <v>KG</v>
          </cell>
          <cell r="F1548">
            <v>20</v>
          </cell>
          <cell r="G1548">
            <v>10</v>
          </cell>
          <cell r="H1548">
            <v>0.99</v>
          </cell>
          <cell r="I1548">
            <v>1</v>
          </cell>
          <cell r="J1548">
            <v>6</v>
          </cell>
          <cell r="K1548">
            <v>3</v>
          </cell>
          <cell r="L1548">
            <v>145.53</v>
          </cell>
        </row>
        <row r="1549">
          <cell r="B1549" t="str">
            <v>1 Ø 1/2 @ 0,3 AMBAS CARAS</v>
          </cell>
          <cell r="C1549" t="str">
            <v>CARRERA 17 ENTRE CALLE 99AA Y 99A</v>
          </cell>
          <cell r="D1549"/>
          <cell r="E1549" t="str">
            <v>KG</v>
          </cell>
          <cell r="F1549">
            <v>20</v>
          </cell>
          <cell r="G1549">
            <v>10</v>
          </cell>
          <cell r="H1549">
            <v>0.99</v>
          </cell>
          <cell r="I1549">
            <v>1</v>
          </cell>
          <cell r="J1549">
            <v>6</v>
          </cell>
          <cell r="K1549">
            <v>3</v>
          </cell>
          <cell r="L1549">
            <v>145.53</v>
          </cell>
        </row>
        <row r="1550">
          <cell r="B1550" t="str">
            <v>1 Ø 1/2 @ 0,3 AMBAS CARAS</v>
          </cell>
          <cell r="C1550" t="str">
            <v>CARRERA 17 ENTRE CALLE 99A Y 99B</v>
          </cell>
          <cell r="D1550"/>
          <cell r="E1550" t="str">
            <v>KG</v>
          </cell>
          <cell r="F1550">
            <v>20</v>
          </cell>
          <cell r="G1550">
            <v>10</v>
          </cell>
          <cell r="H1550">
            <v>0.99</v>
          </cell>
          <cell r="I1550">
            <v>1</v>
          </cell>
          <cell r="J1550">
            <v>6</v>
          </cell>
          <cell r="K1550">
            <v>3</v>
          </cell>
          <cell r="L1550">
            <v>145.53</v>
          </cell>
        </row>
        <row r="1551">
          <cell r="B1551" t="str">
            <v>1 Ø 1/2 @ 0,3 AMBAS CARAS</v>
          </cell>
          <cell r="C1551" t="str">
            <v>CARRERA 17 ENTRE CALLE 99B Y 99E</v>
          </cell>
          <cell r="D1551"/>
          <cell r="E1551" t="str">
            <v>KG</v>
          </cell>
          <cell r="F1551">
            <v>20</v>
          </cell>
          <cell r="G1551">
            <v>10</v>
          </cell>
          <cell r="H1551">
            <v>0.99</v>
          </cell>
          <cell r="I1551">
            <v>1</v>
          </cell>
          <cell r="J1551">
            <v>6</v>
          </cell>
          <cell r="K1551">
            <v>3</v>
          </cell>
          <cell r="L1551">
            <v>145.53</v>
          </cell>
        </row>
        <row r="1552">
          <cell r="B1552" t="str">
            <v>1 Ø 1/2 @ 0,3 AMBAS CARAS</v>
          </cell>
          <cell r="C1552" t="str">
            <v>CARRERA 17 ENTRE CALLE 99E Y 99F</v>
          </cell>
          <cell r="D1552"/>
          <cell r="E1552" t="str">
            <v>KG</v>
          </cell>
          <cell r="F1552">
            <v>20</v>
          </cell>
          <cell r="G1552">
            <v>10</v>
          </cell>
          <cell r="H1552">
            <v>0.99</v>
          </cell>
          <cell r="I1552">
            <v>1</v>
          </cell>
          <cell r="J1552">
            <v>6</v>
          </cell>
          <cell r="K1552">
            <v>3</v>
          </cell>
          <cell r="L1552">
            <v>145.53</v>
          </cell>
        </row>
        <row r="1553">
          <cell r="B1553" t="str">
            <v>1 Ø 1/2 @ 0,3 AMBAS CARAS</v>
          </cell>
          <cell r="C1553" t="str">
            <v>CARRERA 17 ENTRE CALLE 99F Y 100</v>
          </cell>
          <cell r="D1553"/>
          <cell r="E1553" t="str">
            <v>KG</v>
          </cell>
          <cell r="F1553">
            <v>20</v>
          </cell>
          <cell r="G1553">
            <v>10</v>
          </cell>
          <cell r="H1553">
            <v>0.99</v>
          </cell>
          <cell r="I1553">
            <v>1</v>
          </cell>
          <cell r="J1553">
            <v>6</v>
          </cell>
          <cell r="K1553">
            <v>3</v>
          </cell>
          <cell r="L1553">
            <v>145.53</v>
          </cell>
        </row>
        <row r="1554">
          <cell r="B1554" t="str">
            <v>1 Ø 1/2 @ 0,3 AMBAS CARAS</v>
          </cell>
          <cell r="C1554" t="str">
            <v>CARRERA 17A ENTRE CALLE 99 Y 99A</v>
          </cell>
          <cell r="D1554"/>
          <cell r="E1554" t="str">
            <v>KG</v>
          </cell>
          <cell r="F1554">
            <v>17</v>
          </cell>
          <cell r="G1554">
            <v>9</v>
          </cell>
          <cell r="H1554">
            <v>0.99</v>
          </cell>
          <cell r="I1554">
            <v>1</v>
          </cell>
          <cell r="J1554">
            <v>5</v>
          </cell>
          <cell r="K1554">
            <v>2.5</v>
          </cell>
          <cell r="L1554">
            <v>103.851</v>
          </cell>
        </row>
        <row r="1555">
          <cell r="B1555" t="str">
            <v>1 Ø 1/2 @ 0,3 AMBAS CARAS</v>
          </cell>
          <cell r="C1555" t="str">
            <v>CARRERA 17 ENTRE CALLE 99A Y 99E</v>
          </cell>
          <cell r="D1555"/>
          <cell r="E1555" t="str">
            <v>KG</v>
          </cell>
          <cell r="F1555">
            <v>17</v>
          </cell>
          <cell r="G1555">
            <v>9</v>
          </cell>
          <cell r="H1555">
            <v>0.99</v>
          </cell>
          <cell r="I1555">
            <v>1</v>
          </cell>
          <cell r="J1555">
            <v>5</v>
          </cell>
          <cell r="K1555">
            <v>2.5</v>
          </cell>
          <cell r="L1555">
            <v>103.851</v>
          </cell>
        </row>
        <row r="1556">
          <cell r="B1556" t="str">
            <v>1 Ø 1/2 @ 0,3 AMBAS CARAS</v>
          </cell>
          <cell r="C1556" t="str">
            <v>CARRERA 17 ENTRE CALLE 99A Y 99B</v>
          </cell>
          <cell r="D1556"/>
          <cell r="E1556" t="str">
            <v>KG</v>
          </cell>
          <cell r="F1556">
            <v>17</v>
          </cell>
          <cell r="G1556">
            <v>9</v>
          </cell>
          <cell r="H1556">
            <v>0.99</v>
          </cell>
          <cell r="I1556">
            <v>1</v>
          </cell>
          <cell r="J1556">
            <v>5</v>
          </cell>
          <cell r="K1556">
            <v>2.5</v>
          </cell>
          <cell r="L1556">
            <v>103.851</v>
          </cell>
        </row>
        <row r="1557">
          <cell r="B1557" t="str">
            <v>1 Ø 1/2 @ 0,3 AMBAS CARAS</v>
          </cell>
          <cell r="C1557" t="str">
            <v>CALLE 97A ENTRE CRA 19-20</v>
          </cell>
          <cell r="D1557"/>
          <cell r="E1557" t="str">
            <v>KG</v>
          </cell>
          <cell r="F1557">
            <v>20</v>
          </cell>
          <cell r="G1557">
            <v>10</v>
          </cell>
          <cell r="H1557">
            <v>0.99</v>
          </cell>
          <cell r="I1557">
            <v>1</v>
          </cell>
          <cell r="J1557">
            <v>6</v>
          </cell>
          <cell r="K1557">
            <v>3</v>
          </cell>
          <cell r="L1557">
            <v>145.53</v>
          </cell>
        </row>
        <row r="1558">
          <cell r="B1558" t="str">
            <v>1 Ø 1/2 @ 0,3 AMBAS CARAS</v>
          </cell>
          <cell r="C1558" t="str">
            <v>CALLE 97A ENTRE CRA 20-21</v>
          </cell>
          <cell r="D1558"/>
          <cell r="E1558" t="str">
            <v>KG</v>
          </cell>
          <cell r="F1558">
            <v>20</v>
          </cell>
          <cell r="G1558">
            <v>10</v>
          </cell>
          <cell r="H1558">
            <v>0.99</v>
          </cell>
          <cell r="I1558">
            <v>1</v>
          </cell>
          <cell r="J1558">
            <v>6</v>
          </cell>
          <cell r="K1558">
            <v>3</v>
          </cell>
          <cell r="L1558">
            <v>145.53</v>
          </cell>
        </row>
        <row r="1559">
          <cell r="B1559" t="str">
            <v>1 Ø 1/2 @ 0,3 AMBAS CARAS</v>
          </cell>
          <cell r="C1559" t="str">
            <v>CALLE 97A ENTRE CRA 21-22</v>
          </cell>
          <cell r="D1559"/>
          <cell r="E1559" t="str">
            <v>KG</v>
          </cell>
          <cell r="F1559">
            <v>20</v>
          </cell>
          <cell r="G1559">
            <v>10</v>
          </cell>
          <cell r="H1559">
            <v>0.99</v>
          </cell>
          <cell r="I1559">
            <v>1</v>
          </cell>
          <cell r="J1559">
            <v>6</v>
          </cell>
          <cell r="K1559">
            <v>3</v>
          </cell>
          <cell r="L1559">
            <v>145.53</v>
          </cell>
        </row>
        <row r="1560">
          <cell r="B1560" t="str">
            <v>1 Ø 1/2 @ 0,3 AMBAS CARAS</v>
          </cell>
          <cell r="C1560" t="str">
            <v>CALLE 97 ENTRE CRA 15-16</v>
          </cell>
          <cell r="D1560"/>
          <cell r="E1560" t="str">
            <v>KG</v>
          </cell>
          <cell r="F1560">
            <v>20</v>
          </cell>
          <cell r="G1560">
            <v>10</v>
          </cell>
          <cell r="H1560">
            <v>0.99</v>
          </cell>
          <cell r="I1560">
            <v>1</v>
          </cell>
          <cell r="J1560">
            <v>6</v>
          </cell>
          <cell r="K1560">
            <v>3</v>
          </cell>
          <cell r="L1560">
            <v>145.53</v>
          </cell>
        </row>
        <row r="1561">
          <cell r="B1561" t="str">
            <v>1 Ø 1/2 @ 0,3 AMBAS CARAS</v>
          </cell>
          <cell r="C1561" t="str">
            <v>CALLE 97 ENTRE CRA 16-17</v>
          </cell>
          <cell r="D1561"/>
          <cell r="E1561" t="str">
            <v>KG</v>
          </cell>
          <cell r="F1561">
            <v>20</v>
          </cell>
          <cell r="G1561">
            <v>10</v>
          </cell>
          <cell r="H1561">
            <v>0.99</v>
          </cell>
          <cell r="I1561">
            <v>1</v>
          </cell>
          <cell r="J1561">
            <v>6</v>
          </cell>
          <cell r="K1561">
            <v>3</v>
          </cell>
          <cell r="L1561">
            <v>145.53</v>
          </cell>
        </row>
        <row r="1562">
          <cell r="B1562" t="str">
            <v>1 Ø 1/2 @ 0,3 AMBAS CARAS</v>
          </cell>
          <cell r="C1562" t="str">
            <v>CALLE 97 ENTRE CRA 17-19</v>
          </cell>
          <cell r="D1562"/>
          <cell r="E1562" t="str">
            <v>KG</v>
          </cell>
          <cell r="F1562">
            <v>20</v>
          </cell>
          <cell r="G1562">
            <v>10</v>
          </cell>
          <cell r="H1562">
            <v>0.99</v>
          </cell>
          <cell r="I1562">
            <v>1</v>
          </cell>
          <cell r="J1562">
            <v>6</v>
          </cell>
          <cell r="K1562">
            <v>3</v>
          </cell>
          <cell r="L1562">
            <v>145.53</v>
          </cell>
        </row>
        <row r="1563">
          <cell r="B1563" t="str">
            <v>1 Ø 1/2 @ 0,3 AMBAS CARAS</v>
          </cell>
          <cell r="C1563" t="str">
            <v>CALLE 97 ENTRE CRA 19-20</v>
          </cell>
          <cell r="D1563"/>
          <cell r="E1563" t="str">
            <v>KG</v>
          </cell>
          <cell r="F1563">
            <v>20</v>
          </cell>
          <cell r="G1563">
            <v>10</v>
          </cell>
          <cell r="H1563">
            <v>0.99</v>
          </cell>
          <cell r="I1563">
            <v>1</v>
          </cell>
          <cell r="J1563">
            <v>6</v>
          </cell>
          <cell r="K1563">
            <v>3</v>
          </cell>
          <cell r="L1563">
            <v>145.53</v>
          </cell>
        </row>
        <row r="1564">
          <cell r="B1564" t="str">
            <v>1 Ø 1/2 @ 0,3 AMBAS CARAS</v>
          </cell>
          <cell r="C1564" t="str">
            <v>CALLE 97 ENTRE CRA 20-21</v>
          </cell>
          <cell r="D1564"/>
          <cell r="E1564" t="str">
            <v>KG</v>
          </cell>
          <cell r="F1564">
            <v>20</v>
          </cell>
          <cell r="G1564">
            <v>10</v>
          </cell>
          <cell r="H1564">
            <v>0.99</v>
          </cell>
          <cell r="I1564">
            <v>1</v>
          </cell>
          <cell r="J1564">
            <v>6</v>
          </cell>
          <cell r="K1564">
            <v>3</v>
          </cell>
          <cell r="L1564">
            <v>145.53</v>
          </cell>
        </row>
        <row r="1565">
          <cell r="B1565" t="str">
            <v>1 Ø 1/2 @ 0,3 AMBAS CARAS</v>
          </cell>
          <cell r="C1565" t="str">
            <v>CALLE 97 ENTRE CRA 21-22</v>
          </cell>
          <cell r="D1565"/>
          <cell r="E1565" t="str">
            <v>KG</v>
          </cell>
          <cell r="F1565">
            <v>20</v>
          </cell>
          <cell r="G1565">
            <v>10</v>
          </cell>
          <cell r="H1565">
            <v>0.99</v>
          </cell>
          <cell r="I1565">
            <v>1</v>
          </cell>
          <cell r="J1565">
            <v>6</v>
          </cell>
          <cell r="K1565">
            <v>3</v>
          </cell>
          <cell r="L1565">
            <v>145.53</v>
          </cell>
        </row>
        <row r="1566">
          <cell r="B1566" t="str">
            <v>1 Ø 1/2 @ 0,3 AMBAS CARAS</v>
          </cell>
          <cell r="C1566" t="str">
            <v>CALLE 96A ENTRE CRA 15-17</v>
          </cell>
          <cell r="D1566"/>
          <cell r="E1566" t="str">
            <v>KG</v>
          </cell>
          <cell r="F1566">
            <v>20</v>
          </cell>
          <cell r="G1566">
            <v>10</v>
          </cell>
          <cell r="H1566">
            <v>0.99</v>
          </cell>
          <cell r="I1566">
            <v>1</v>
          </cell>
          <cell r="J1566">
            <v>6</v>
          </cell>
          <cell r="K1566">
            <v>3</v>
          </cell>
          <cell r="L1566">
            <v>145.53</v>
          </cell>
        </row>
        <row r="1567">
          <cell r="B1567" t="str">
            <v>1 Ø 1/2 @ 0,3 AMBAS CARAS</v>
          </cell>
          <cell r="C1567" t="str">
            <v>CALLE 96A ENTRE CRA 17-19</v>
          </cell>
          <cell r="D1567"/>
          <cell r="E1567" t="str">
            <v>KG</v>
          </cell>
          <cell r="F1567">
            <v>20</v>
          </cell>
          <cell r="G1567">
            <v>10</v>
          </cell>
          <cell r="H1567">
            <v>0.99</v>
          </cell>
          <cell r="I1567">
            <v>1</v>
          </cell>
          <cell r="J1567">
            <v>6</v>
          </cell>
          <cell r="K1567">
            <v>3</v>
          </cell>
          <cell r="L1567">
            <v>145.53</v>
          </cell>
        </row>
        <row r="1568">
          <cell r="B1568" t="str">
            <v>1 Ø 1/2 @ 0,3 AMBAS CARAS</v>
          </cell>
          <cell r="C1568" t="str">
            <v>CALLE 96A ENTRE CRA 19-20</v>
          </cell>
          <cell r="D1568"/>
          <cell r="E1568" t="str">
            <v>KG</v>
          </cell>
          <cell r="F1568">
            <v>20</v>
          </cell>
          <cell r="G1568">
            <v>10</v>
          </cell>
          <cell r="H1568">
            <v>0.99</v>
          </cell>
          <cell r="I1568">
            <v>1</v>
          </cell>
          <cell r="J1568">
            <v>6</v>
          </cell>
          <cell r="K1568">
            <v>3</v>
          </cell>
          <cell r="L1568">
            <v>145.53</v>
          </cell>
        </row>
        <row r="1569">
          <cell r="B1569" t="str">
            <v>1 Ø 1/2 @ 0,3 AMBAS CARAS</v>
          </cell>
          <cell r="C1569" t="str">
            <v>CALLE 96A ENTRE CRA 20-21</v>
          </cell>
          <cell r="D1569"/>
          <cell r="E1569" t="str">
            <v>KG</v>
          </cell>
          <cell r="F1569">
            <v>20</v>
          </cell>
          <cell r="G1569">
            <v>10</v>
          </cell>
          <cell r="H1569">
            <v>0.99</v>
          </cell>
          <cell r="I1569">
            <v>1</v>
          </cell>
          <cell r="J1569">
            <v>6</v>
          </cell>
          <cell r="K1569">
            <v>3</v>
          </cell>
          <cell r="L1569">
            <v>145.53</v>
          </cell>
        </row>
        <row r="1570">
          <cell r="B1570" t="str">
            <v>1 Ø 1/2 @ 0,3 AMBAS CARAS</v>
          </cell>
          <cell r="C1570" t="str">
            <v>CALLE 96A ENTRE CRA 21-22</v>
          </cell>
          <cell r="D1570"/>
          <cell r="E1570" t="str">
            <v>KG</v>
          </cell>
          <cell r="F1570">
            <v>20</v>
          </cell>
          <cell r="G1570">
            <v>10</v>
          </cell>
          <cell r="H1570">
            <v>0.99</v>
          </cell>
          <cell r="I1570">
            <v>1</v>
          </cell>
          <cell r="J1570">
            <v>6</v>
          </cell>
          <cell r="K1570">
            <v>3</v>
          </cell>
          <cell r="L1570">
            <v>145.53</v>
          </cell>
        </row>
        <row r="1571">
          <cell r="B1571" t="str">
            <v>1 Ø 1/2 @ 0,3 AMBAS CARAS</v>
          </cell>
          <cell r="C1571" t="str">
            <v>CALLE 96 ENTRE CRA 15-17</v>
          </cell>
          <cell r="D1571"/>
          <cell r="E1571" t="str">
            <v>KG</v>
          </cell>
          <cell r="F1571">
            <v>20</v>
          </cell>
          <cell r="G1571">
            <v>10</v>
          </cell>
          <cell r="H1571">
            <v>0.99</v>
          </cell>
          <cell r="I1571">
            <v>1</v>
          </cell>
          <cell r="J1571">
            <v>6</v>
          </cell>
          <cell r="K1571">
            <v>3</v>
          </cell>
          <cell r="L1571">
            <v>145.53</v>
          </cell>
        </row>
        <row r="1572">
          <cell r="B1572" t="str">
            <v>1 Ø 1/2 @ 0,3 AMBAS CARAS</v>
          </cell>
          <cell r="C1572" t="str">
            <v>CALLE 96 ENTRE CRA 17-19</v>
          </cell>
          <cell r="D1572"/>
          <cell r="E1572" t="str">
            <v>KG</v>
          </cell>
          <cell r="F1572">
            <v>20</v>
          </cell>
          <cell r="G1572">
            <v>10</v>
          </cell>
          <cell r="H1572">
            <v>0.99</v>
          </cell>
          <cell r="I1572">
            <v>1</v>
          </cell>
          <cell r="J1572">
            <v>6</v>
          </cell>
          <cell r="K1572">
            <v>3</v>
          </cell>
          <cell r="L1572">
            <v>145.53</v>
          </cell>
        </row>
        <row r="1573">
          <cell r="B1573" t="str">
            <v>1 Ø 1/2 @ 0,3 AMBAS CARAS</v>
          </cell>
          <cell r="C1573" t="str">
            <v>CALLE 96 ENTRE CRA 19-20</v>
          </cell>
          <cell r="D1573"/>
          <cell r="E1573" t="str">
            <v>KG</v>
          </cell>
          <cell r="F1573">
            <v>20</v>
          </cell>
          <cell r="G1573">
            <v>10</v>
          </cell>
          <cell r="H1573">
            <v>0.99</v>
          </cell>
          <cell r="I1573">
            <v>1</v>
          </cell>
          <cell r="J1573">
            <v>6</v>
          </cell>
          <cell r="K1573">
            <v>3</v>
          </cell>
          <cell r="L1573">
            <v>145.53</v>
          </cell>
        </row>
        <row r="1574">
          <cell r="B1574" t="str">
            <v>1 Ø 1/2 @ 0,3 AMBAS CARAS</v>
          </cell>
          <cell r="C1574" t="str">
            <v>CALLE 96 ENTRE CRA 20-21</v>
          </cell>
          <cell r="D1574"/>
          <cell r="E1574" t="str">
            <v>KG</v>
          </cell>
          <cell r="F1574">
            <v>20</v>
          </cell>
          <cell r="G1574">
            <v>10</v>
          </cell>
          <cell r="H1574">
            <v>0.99</v>
          </cell>
          <cell r="I1574">
            <v>1</v>
          </cell>
          <cell r="J1574">
            <v>6</v>
          </cell>
          <cell r="K1574">
            <v>3</v>
          </cell>
          <cell r="L1574">
            <v>145.53</v>
          </cell>
        </row>
        <row r="1575">
          <cell r="B1575" t="str">
            <v>1 Ø 1/2 @ 0,3 AMBAS CARAS</v>
          </cell>
          <cell r="C1575" t="str">
            <v>CALLE 96 ENTRE CRA 21-22</v>
          </cell>
          <cell r="D1575"/>
          <cell r="E1575" t="str">
            <v>KG</v>
          </cell>
          <cell r="F1575">
            <v>20</v>
          </cell>
          <cell r="G1575">
            <v>10</v>
          </cell>
          <cell r="H1575">
            <v>0.99</v>
          </cell>
          <cell r="I1575">
            <v>1</v>
          </cell>
          <cell r="J1575">
            <v>6</v>
          </cell>
          <cell r="K1575">
            <v>3</v>
          </cell>
          <cell r="L1575">
            <v>145.53</v>
          </cell>
        </row>
        <row r="1576">
          <cell r="B1576" t="str">
            <v>1 Ø 1/2 @ 0,3 AMBAS CARAS</v>
          </cell>
          <cell r="C1576" t="str">
            <v>CALLE 95 ENTRE CRA 19-20</v>
          </cell>
          <cell r="D1576"/>
          <cell r="E1576" t="str">
            <v>KG</v>
          </cell>
          <cell r="F1576">
            <v>20</v>
          </cell>
          <cell r="G1576">
            <v>10</v>
          </cell>
          <cell r="H1576">
            <v>0.99</v>
          </cell>
          <cell r="I1576">
            <v>1</v>
          </cell>
          <cell r="J1576">
            <v>6</v>
          </cell>
          <cell r="K1576">
            <v>3</v>
          </cell>
          <cell r="L1576">
            <v>145.53</v>
          </cell>
        </row>
        <row r="1577">
          <cell r="B1577" t="str">
            <v>1 Ø 1/2 @ 0,3 AMBAS CARAS</v>
          </cell>
          <cell r="C1577" t="str">
            <v>CALLE 95 ENTRE CRA 20-21</v>
          </cell>
          <cell r="D1577"/>
          <cell r="E1577" t="str">
            <v>KG</v>
          </cell>
          <cell r="F1577">
            <v>20</v>
          </cell>
          <cell r="G1577">
            <v>10</v>
          </cell>
          <cell r="H1577">
            <v>0.99</v>
          </cell>
          <cell r="I1577">
            <v>1</v>
          </cell>
          <cell r="J1577">
            <v>6</v>
          </cell>
          <cell r="K1577">
            <v>3</v>
          </cell>
          <cell r="L1577">
            <v>145.53</v>
          </cell>
        </row>
        <row r="1578">
          <cell r="B1578" t="str">
            <v>1 Ø 1/2 @ 0,3 AMBAS CARAS</v>
          </cell>
          <cell r="C1578" t="str">
            <v>CALLE 95 ENTRE CRA 21-22</v>
          </cell>
          <cell r="D1578"/>
          <cell r="E1578" t="str">
            <v>KG</v>
          </cell>
          <cell r="F1578">
            <v>20</v>
          </cell>
          <cell r="G1578">
            <v>10</v>
          </cell>
          <cell r="H1578">
            <v>0.99</v>
          </cell>
          <cell r="I1578">
            <v>1</v>
          </cell>
          <cell r="J1578">
            <v>6</v>
          </cell>
          <cell r="K1578">
            <v>3</v>
          </cell>
          <cell r="L1578">
            <v>145.53</v>
          </cell>
        </row>
        <row r="1579">
          <cell r="B1579" t="str">
            <v>1 Ø 1/2 @ 0,3 AMBAS CARAS</v>
          </cell>
          <cell r="C1579" t="str">
            <v>CALLE 94 ENTRE CRA 19-20</v>
          </cell>
          <cell r="D1579"/>
          <cell r="E1579" t="str">
            <v>KG</v>
          </cell>
          <cell r="F1579">
            <v>20</v>
          </cell>
          <cell r="G1579">
            <v>10</v>
          </cell>
          <cell r="H1579">
            <v>0.99</v>
          </cell>
          <cell r="I1579">
            <v>1</v>
          </cell>
          <cell r="J1579">
            <v>6</v>
          </cell>
          <cell r="K1579">
            <v>3</v>
          </cell>
          <cell r="L1579">
            <v>145.53</v>
          </cell>
        </row>
        <row r="1580">
          <cell r="B1580" t="str">
            <v>1 Ø 1/2 @ 0,3 AMBAS CARAS</v>
          </cell>
          <cell r="C1580" t="str">
            <v>CALLE 94 ENTRE CRA 20-21</v>
          </cell>
          <cell r="D1580"/>
          <cell r="E1580" t="str">
            <v>KG</v>
          </cell>
          <cell r="F1580">
            <v>20</v>
          </cell>
          <cell r="G1580">
            <v>10</v>
          </cell>
          <cell r="H1580">
            <v>0.99</v>
          </cell>
          <cell r="I1580">
            <v>1</v>
          </cell>
          <cell r="J1580">
            <v>6</v>
          </cell>
          <cell r="K1580">
            <v>3</v>
          </cell>
          <cell r="L1580">
            <v>145.53</v>
          </cell>
        </row>
        <row r="1581">
          <cell r="B1581" t="str">
            <v>1 Ø 1/2 @ 0,3 AMBAS CARAS</v>
          </cell>
          <cell r="C1581" t="str">
            <v>CALLE 94 ENTRE CRA 21-22</v>
          </cell>
          <cell r="D1581"/>
          <cell r="E1581" t="str">
            <v>KG</v>
          </cell>
          <cell r="F1581">
            <v>20</v>
          </cell>
          <cell r="G1581">
            <v>10</v>
          </cell>
          <cell r="H1581">
            <v>0.99</v>
          </cell>
          <cell r="I1581">
            <v>1</v>
          </cell>
          <cell r="J1581">
            <v>6</v>
          </cell>
          <cell r="K1581">
            <v>3</v>
          </cell>
          <cell r="L1581">
            <v>145.53</v>
          </cell>
        </row>
        <row r="1582">
          <cell r="B1582" t="str">
            <v>1 Ø 1/2 @ 0,3 AMBAS CARAS</v>
          </cell>
          <cell r="C1582" t="str">
            <v>CALLE 93 ENTRE CRA 15-17A</v>
          </cell>
          <cell r="D1582"/>
          <cell r="E1582" t="str">
            <v>KG</v>
          </cell>
          <cell r="F1582">
            <v>20</v>
          </cell>
          <cell r="G1582">
            <v>10</v>
          </cell>
          <cell r="H1582">
            <v>0.99</v>
          </cell>
          <cell r="I1582">
            <v>1</v>
          </cell>
          <cell r="J1582">
            <v>6</v>
          </cell>
          <cell r="K1582">
            <v>3</v>
          </cell>
          <cell r="L1582">
            <v>145.53</v>
          </cell>
        </row>
        <row r="1583">
          <cell r="B1583" t="str">
            <v>1 Ø 1/2 @ 0,3 AMBAS CARAS</v>
          </cell>
          <cell r="C1583" t="str">
            <v>CALLE 93 ENTRE CRA 17A-19</v>
          </cell>
          <cell r="D1583"/>
          <cell r="E1583" t="str">
            <v>KG</v>
          </cell>
          <cell r="F1583">
            <v>20</v>
          </cell>
          <cell r="G1583">
            <v>10</v>
          </cell>
          <cell r="H1583">
            <v>0.99</v>
          </cell>
          <cell r="I1583">
            <v>1</v>
          </cell>
          <cell r="J1583">
            <v>6</v>
          </cell>
          <cell r="K1583">
            <v>3</v>
          </cell>
          <cell r="L1583">
            <v>145.53</v>
          </cell>
        </row>
        <row r="1584">
          <cell r="B1584" t="str">
            <v>1 Ø 1/2 @ 0,3 AMBAS CARAS</v>
          </cell>
          <cell r="C1584" t="str">
            <v>CALLE 93 ENTRE CRA 19-20</v>
          </cell>
          <cell r="D1584"/>
          <cell r="E1584" t="str">
            <v>KG</v>
          </cell>
          <cell r="F1584">
            <v>20</v>
          </cell>
          <cell r="G1584">
            <v>10</v>
          </cell>
          <cell r="H1584">
            <v>0.99</v>
          </cell>
          <cell r="I1584">
            <v>1</v>
          </cell>
          <cell r="J1584">
            <v>6</v>
          </cell>
          <cell r="K1584">
            <v>3</v>
          </cell>
          <cell r="L1584">
            <v>145.53</v>
          </cell>
        </row>
        <row r="1585">
          <cell r="B1585" t="str">
            <v>1 Ø 1/2 @ 0,3 AMBAS CARAS</v>
          </cell>
          <cell r="C1585" t="str">
            <v>CALLE 93 ENTRE CRA 20-21</v>
          </cell>
          <cell r="D1585"/>
          <cell r="E1585" t="str">
            <v>KG</v>
          </cell>
          <cell r="F1585">
            <v>20</v>
          </cell>
          <cell r="G1585">
            <v>10</v>
          </cell>
          <cell r="H1585">
            <v>0.99</v>
          </cell>
          <cell r="I1585">
            <v>1</v>
          </cell>
          <cell r="J1585">
            <v>6</v>
          </cell>
          <cell r="K1585">
            <v>3</v>
          </cell>
          <cell r="L1585">
            <v>145.53</v>
          </cell>
        </row>
        <row r="1586">
          <cell r="B1586" t="str">
            <v>1 Ø 1/2 @ 0,3 AMBAS CARAS</v>
          </cell>
          <cell r="C1586" t="str">
            <v>CALLE 93 ENTRE CRA 21-22</v>
          </cell>
          <cell r="D1586"/>
          <cell r="E1586" t="str">
            <v>KG</v>
          </cell>
          <cell r="F1586">
            <v>20</v>
          </cell>
          <cell r="G1586">
            <v>10</v>
          </cell>
          <cell r="H1586">
            <v>0.99</v>
          </cell>
          <cell r="I1586">
            <v>1</v>
          </cell>
          <cell r="J1586">
            <v>6</v>
          </cell>
          <cell r="K1586">
            <v>3</v>
          </cell>
          <cell r="L1586">
            <v>145.53</v>
          </cell>
        </row>
        <row r="1587">
          <cell r="B1587" t="str">
            <v>1 Ø 1/2 @ 0,3 AMBAS CARAS</v>
          </cell>
          <cell r="C1587" t="str">
            <v>CARRERA 17 ENTRE CALLE 94 Y 95</v>
          </cell>
          <cell r="D1587"/>
          <cell r="E1587" t="str">
            <v>KG</v>
          </cell>
          <cell r="F1587">
            <v>20</v>
          </cell>
          <cell r="G1587">
            <v>10</v>
          </cell>
          <cell r="H1587">
            <v>0.99</v>
          </cell>
          <cell r="I1587">
            <v>1</v>
          </cell>
          <cell r="J1587">
            <v>6</v>
          </cell>
          <cell r="K1587">
            <v>3</v>
          </cell>
          <cell r="L1587">
            <v>145.53</v>
          </cell>
        </row>
        <row r="1588">
          <cell r="B1588" t="str">
            <v>1 Ø 1/2 @ 0,3 AMBAS CARAS</v>
          </cell>
          <cell r="C1588" t="str">
            <v>CARRERA 17 ENTRE CALLE 95 Y 96</v>
          </cell>
          <cell r="D1588"/>
          <cell r="E1588" t="str">
            <v>KG</v>
          </cell>
          <cell r="F1588">
            <v>20</v>
          </cell>
          <cell r="G1588">
            <v>10</v>
          </cell>
          <cell r="H1588">
            <v>0.99</v>
          </cell>
          <cell r="I1588">
            <v>1</v>
          </cell>
          <cell r="J1588">
            <v>6</v>
          </cell>
          <cell r="K1588">
            <v>3</v>
          </cell>
          <cell r="L1588">
            <v>145.53</v>
          </cell>
        </row>
        <row r="1589">
          <cell r="B1589" t="str">
            <v>1 Ø 1/2 @ 0,3 AMBAS CARAS</v>
          </cell>
          <cell r="C1589" t="str">
            <v>CARRERA 17 ENTRE CALLE 96 Y 96A</v>
          </cell>
          <cell r="D1589"/>
          <cell r="E1589" t="str">
            <v>KG</v>
          </cell>
          <cell r="F1589">
            <v>20</v>
          </cell>
          <cell r="G1589">
            <v>10</v>
          </cell>
          <cell r="H1589">
            <v>0.99</v>
          </cell>
          <cell r="I1589">
            <v>1</v>
          </cell>
          <cell r="J1589">
            <v>6</v>
          </cell>
          <cell r="K1589">
            <v>3</v>
          </cell>
          <cell r="L1589">
            <v>145.53</v>
          </cell>
        </row>
        <row r="1590">
          <cell r="B1590" t="str">
            <v>1 Ø 1/2 @ 0,3 AMBAS CARAS</v>
          </cell>
          <cell r="C1590" t="str">
            <v>CARRERA 17 ENTRE CALLE 96A Y 97</v>
          </cell>
          <cell r="D1590"/>
          <cell r="E1590" t="str">
            <v>KG</v>
          </cell>
          <cell r="F1590">
            <v>20</v>
          </cell>
          <cell r="G1590">
            <v>10</v>
          </cell>
          <cell r="H1590">
            <v>0.99</v>
          </cell>
          <cell r="I1590">
            <v>1</v>
          </cell>
          <cell r="J1590">
            <v>6</v>
          </cell>
          <cell r="K1590">
            <v>3</v>
          </cell>
          <cell r="L1590">
            <v>145.53</v>
          </cell>
        </row>
        <row r="1591">
          <cell r="B1591" t="str">
            <v>1 Ø 1/2 @ 0,3 AMBAS CARAS</v>
          </cell>
          <cell r="C1591" t="str">
            <v>CARRERA 17 ENTRE CALLE 97 Y 97A</v>
          </cell>
          <cell r="D1591"/>
          <cell r="E1591" t="str">
            <v>KG</v>
          </cell>
          <cell r="F1591">
            <v>20</v>
          </cell>
          <cell r="G1591">
            <v>10</v>
          </cell>
          <cell r="H1591">
            <v>0.99</v>
          </cell>
          <cell r="I1591">
            <v>1</v>
          </cell>
          <cell r="J1591">
            <v>6</v>
          </cell>
          <cell r="K1591">
            <v>3</v>
          </cell>
          <cell r="L1591">
            <v>145.53</v>
          </cell>
        </row>
        <row r="1592">
          <cell r="B1592" t="str">
            <v>1 Ø 1/2 @ 0,3 AMBAS CARAS</v>
          </cell>
          <cell r="C1592" t="str">
            <v>CARRERA 20 ENTRE CALLE 93 Y 94</v>
          </cell>
          <cell r="D1592"/>
          <cell r="E1592" t="str">
            <v>KG</v>
          </cell>
          <cell r="F1592">
            <v>20</v>
          </cell>
          <cell r="G1592">
            <v>10</v>
          </cell>
          <cell r="H1592">
            <v>0.99</v>
          </cell>
          <cell r="I1592">
            <v>1</v>
          </cell>
          <cell r="J1592">
            <v>6</v>
          </cell>
          <cell r="K1592">
            <v>3</v>
          </cell>
          <cell r="L1592">
            <v>145.53</v>
          </cell>
        </row>
        <row r="1593">
          <cell r="B1593" t="str">
            <v>1 Ø 1/2 @ 0,3 AMBAS CARAS</v>
          </cell>
          <cell r="C1593" t="str">
            <v>CARRERA 20 ENTRE CALLE 94 Y 95</v>
          </cell>
          <cell r="D1593"/>
          <cell r="E1593" t="str">
            <v>KG</v>
          </cell>
          <cell r="F1593">
            <v>20</v>
          </cell>
          <cell r="G1593">
            <v>10</v>
          </cell>
          <cell r="H1593">
            <v>0.99</v>
          </cell>
          <cell r="I1593">
            <v>1</v>
          </cell>
          <cell r="J1593">
            <v>6</v>
          </cell>
          <cell r="K1593">
            <v>3</v>
          </cell>
          <cell r="L1593">
            <v>145.53</v>
          </cell>
        </row>
        <row r="1594">
          <cell r="B1594" t="str">
            <v>1 Ø 1/2 @ 0,3 AMBAS CARAS</v>
          </cell>
          <cell r="C1594" t="str">
            <v>CARRERA 20 ENTRE CALLE 95 Y 96</v>
          </cell>
          <cell r="D1594"/>
          <cell r="E1594" t="str">
            <v>KG</v>
          </cell>
          <cell r="F1594">
            <v>20</v>
          </cell>
          <cell r="G1594">
            <v>10</v>
          </cell>
          <cell r="H1594">
            <v>0.99</v>
          </cell>
          <cell r="I1594">
            <v>1</v>
          </cell>
          <cell r="J1594">
            <v>6</v>
          </cell>
          <cell r="K1594">
            <v>3</v>
          </cell>
          <cell r="L1594">
            <v>145.53</v>
          </cell>
        </row>
        <row r="1595">
          <cell r="B1595" t="str">
            <v>1 Ø 1/2 @ 0,3 AMBAS CARAS</v>
          </cell>
          <cell r="C1595" t="str">
            <v>CARRERA 20 ENTRE CALLE 96 Y 96A</v>
          </cell>
          <cell r="D1595"/>
          <cell r="E1595" t="str">
            <v>KG</v>
          </cell>
          <cell r="F1595">
            <v>20</v>
          </cell>
          <cell r="G1595">
            <v>10</v>
          </cell>
          <cell r="H1595">
            <v>0.99</v>
          </cell>
          <cell r="I1595">
            <v>1</v>
          </cell>
          <cell r="J1595">
            <v>6</v>
          </cell>
          <cell r="K1595">
            <v>3</v>
          </cell>
          <cell r="L1595">
            <v>145.53</v>
          </cell>
        </row>
        <row r="1596">
          <cell r="B1596" t="str">
            <v>1 Ø 1/2 @ 0,3 AMBAS CARAS</v>
          </cell>
          <cell r="C1596" t="str">
            <v>CARRERA 20 ENTRE CALLE 96A Y 97</v>
          </cell>
          <cell r="D1596"/>
          <cell r="E1596" t="str">
            <v>KG</v>
          </cell>
          <cell r="F1596">
            <v>20</v>
          </cell>
          <cell r="G1596">
            <v>10</v>
          </cell>
          <cell r="H1596">
            <v>0.99</v>
          </cell>
          <cell r="I1596">
            <v>1</v>
          </cell>
          <cell r="J1596">
            <v>6</v>
          </cell>
          <cell r="K1596">
            <v>3</v>
          </cell>
          <cell r="L1596">
            <v>145.53</v>
          </cell>
        </row>
        <row r="1597">
          <cell r="B1597" t="str">
            <v>1 Ø 1/2 @ 0,3 AMBAS CARAS</v>
          </cell>
          <cell r="C1597" t="str">
            <v>CARRERA 20 ENTRE CALLE 97 Y 97A</v>
          </cell>
          <cell r="D1597"/>
          <cell r="E1597" t="str">
            <v>KG</v>
          </cell>
          <cell r="F1597">
            <v>20</v>
          </cell>
          <cell r="G1597">
            <v>10</v>
          </cell>
          <cell r="H1597">
            <v>0.99</v>
          </cell>
          <cell r="I1597">
            <v>1</v>
          </cell>
          <cell r="J1597">
            <v>6</v>
          </cell>
          <cell r="K1597">
            <v>3</v>
          </cell>
          <cell r="L1597">
            <v>145.53</v>
          </cell>
        </row>
        <row r="1598">
          <cell r="B1598" t="str">
            <v>1 Ø 1/2 @ 0,3 AMBAS CARAS</v>
          </cell>
          <cell r="C1598" t="str">
            <v>CARRERA 21 ENTRE CALLE 93 Y 94</v>
          </cell>
          <cell r="D1598"/>
          <cell r="E1598" t="str">
            <v>KG</v>
          </cell>
          <cell r="F1598">
            <v>17</v>
          </cell>
          <cell r="G1598">
            <v>9</v>
          </cell>
          <cell r="H1598">
            <v>0.99</v>
          </cell>
          <cell r="I1598">
            <v>1</v>
          </cell>
          <cell r="J1598">
            <v>5</v>
          </cell>
          <cell r="K1598">
            <v>2.5</v>
          </cell>
          <cell r="L1598">
            <v>103.851</v>
          </cell>
        </row>
        <row r="1599">
          <cell r="B1599" t="str">
            <v>1 Ø 1/2 @ 0,3 AMBAS CARAS</v>
          </cell>
          <cell r="C1599" t="str">
            <v>CARRERA 21 ENTRE CALLE 94 Y 95</v>
          </cell>
          <cell r="D1599"/>
          <cell r="E1599" t="str">
            <v>KG</v>
          </cell>
          <cell r="F1599">
            <v>17</v>
          </cell>
          <cell r="G1599">
            <v>9</v>
          </cell>
          <cell r="H1599">
            <v>0.99</v>
          </cell>
          <cell r="I1599">
            <v>1</v>
          </cell>
          <cell r="J1599">
            <v>5</v>
          </cell>
          <cell r="K1599">
            <v>2.5</v>
          </cell>
          <cell r="L1599">
            <v>103.851</v>
          </cell>
        </row>
        <row r="1600">
          <cell r="B1600" t="str">
            <v>1 Ø 1/2 @ 0,3 AMBAS CARAS</v>
          </cell>
          <cell r="C1600" t="str">
            <v>CARRERA 21 ENTRE CALLE 95 Y 96</v>
          </cell>
          <cell r="D1600"/>
          <cell r="E1600" t="str">
            <v>KG</v>
          </cell>
          <cell r="F1600">
            <v>17</v>
          </cell>
          <cell r="G1600">
            <v>9</v>
          </cell>
          <cell r="H1600">
            <v>0.99</v>
          </cell>
          <cell r="I1600">
            <v>1</v>
          </cell>
          <cell r="J1600">
            <v>5</v>
          </cell>
          <cell r="K1600">
            <v>2.5</v>
          </cell>
          <cell r="L1600">
            <v>103.851</v>
          </cell>
        </row>
        <row r="1601">
          <cell r="B1601" t="str">
            <v>1 Ø 1/2 @ 0,3 AMBAS CARAS</v>
          </cell>
          <cell r="C1601" t="str">
            <v>CARRERA 21 ENTRE CALLE 96 Y 96A</v>
          </cell>
          <cell r="D1601"/>
          <cell r="E1601" t="str">
            <v>KG</v>
          </cell>
          <cell r="F1601">
            <v>17</v>
          </cell>
          <cell r="G1601">
            <v>9</v>
          </cell>
          <cell r="H1601">
            <v>0.99</v>
          </cell>
          <cell r="I1601">
            <v>1</v>
          </cell>
          <cell r="J1601">
            <v>5</v>
          </cell>
          <cell r="K1601">
            <v>2.5</v>
          </cell>
          <cell r="L1601">
            <v>103.851</v>
          </cell>
        </row>
        <row r="1602">
          <cell r="B1602" t="str">
            <v>1 Ø 1/2 @ 0,3 AMBAS CARAS</v>
          </cell>
          <cell r="C1602" t="str">
            <v>CARRERA 21 ENTRE CALLE 96A Y 97</v>
          </cell>
          <cell r="D1602"/>
          <cell r="E1602" t="str">
            <v>KG</v>
          </cell>
          <cell r="F1602">
            <v>17</v>
          </cell>
          <cell r="G1602">
            <v>9</v>
          </cell>
          <cell r="H1602">
            <v>0.99</v>
          </cell>
          <cell r="I1602">
            <v>1</v>
          </cell>
          <cell r="J1602">
            <v>5</v>
          </cell>
          <cell r="K1602">
            <v>2.5</v>
          </cell>
          <cell r="L1602">
            <v>103.851</v>
          </cell>
        </row>
        <row r="1603">
          <cell r="B1603" t="str">
            <v>1 Ø 1/2 @ 0,3 AMBAS CARAS</v>
          </cell>
          <cell r="C1603" t="str">
            <v>CARRERA 21 ENTRE CALLE 97 Y 97A</v>
          </cell>
          <cell r="D1603"/>
          <cell r="E1603" t="str">
            <v>KG</v>
          </cell>
          <cell r="F1603">
            <v>17</v>
          </cell>
          <cell r="G1603">
            <v>9</v>
          </cell>
          <cell r="H1603">
            <v>0.99</v>
          </cell>
          <cell r="I1603">
            <v>1</v>
          </cell>
          <cell r="J1603">
            <v>5</v>
          </cell>
          <cell r="K1603">
            <v>2.5</v>
          </cell>
          <cell r="L1603">
            <v>103.851</v>
          </cell>
        </row>
        <row r="1604">
          <cell r="B1604" t="str">
            <v>2 Ø 1/2 @ 0,3 AMBAS CARAS</v>
          </cell>
          <cell r="C1604" t="str">
            <v>CRA 14 * CLL 110</v>
          </cell>
          <cell r="D1604"/>
          <cell r="E1604" t="str">
            <v>KG</v>
          </cell>
          <cell r="F1604">
            <v>20</v>
          </cell>
          <cell r="G1604">
            <v>10</v>
          </cell>
          <cell r="H1604">
            <v>0.99</v>
          </cell>
          <cell r="I1604">
            <v>1</v>
          </cell>
          <cell r="J1604">
            <v>6</v>
          </cell>
          <cell r="K1604">
            <v>3</v>
          </cell>
          <cell r="L1604">
            <v>145.53</v>
          </cell>
        </row>
        <row r="1605">
          <cell r="B1605" t="str">
            <v>3 Ø 1/2 @ 0,3 AMBAS CARAS</v>
          </cell>
          <cell r="C1605" t="str">
            <v>CRA 14A * CLL 110</v>
          </cell>
          <cell r="D1605"/>
          <cell r="E1605" t="str">
            <v>KG</v>
          </cell>
          <cell r="F1605">
            <v>20</v>
          </cell>
          <cell r="G1605">
            <v>10</v>
          </cell>
          <cell r="H1605">
            <v>0.99</v>
          </cell>
          <cell r="I1605">
            <v>1</v>
          </cell>
          <cell r="J1605">
            <v>6</v>
          </cell>
          <cell r="K1605">
            <v>3</v>
          </cell>
          <cell r="L1605">
            <v>145.53</v>
          </cell>
        </row>
        <row r="1606">
          <cell r="B1606" t="str">
            <v>4 Ø 1/2 @ 0,3 AMBAS CARAS</v>
          </cell>
          <cell r="C1606" t="str">
            <v>CRA 15 * CLL 110</v>
          </cell>
          <cell r="D1606"/>
          <cell r="E1606" t="str">
            <v>KG</v>
          </cell>
          <cell r="F1606">
            <v>20</v>
          </cell>
          <cell r="G1606">
            <v>10</v>
          </cell>
          <cell r="H1606">
            <v>0.99</v>
          </cell>
          <cell r="I1606">
            <v>1</v>
          </cell>
          <cell r="J1606">
            <v>6</v>
          </cell>
          <cell r="K1606">
            <v>3</v>
          </cell>
          <cell r="L1606">
            <v>145.53</v>
          </cell>
        </row>
        <row r="1607">
          <cell r="B1607" t="str">
            <v>5 Ø 1/2 @ 0,3 AMBAS CARAS</v>
          </cell>
          <cell r="C1607" t="str">
            <v>CRA 16 * CLL 110</v>
          </cell>
          <cell r="D1607"/>
          <cell r="E1607" t="str">
            <v>KG</v>
          </cell>
          <cell r="F1607">
            <v>20</v>
          </cell>
          <cell r="G1607">
            <v>10</v>
          </cell>
          <cell r="H1607">
            <v>0.99</v>
          </cell>
          <cell r="I1607">
            <v>1</v>
          </cell>
          <cell r="J1607">
            <v>6</v>
          </cell>
          <cell r="K1607">
            <v>3</v>
          </cell>
          <cell r="L1607">
            <v>145.53</v>
          </cell>
        </row>
        <row r="1608">
          <cell r="B1608" t="str">
            <v>6 Ø 1/2 @ 0,3 AMBAS CARAS</v>
          </cell>
          <cell r="C1608" t="str">
            <v>CRA 17 * CLL 110</v>
          </cell>
          <cell r="D1608"/>
          <cell r="E1608" t="str">
            <v>KG</v>
          </cell>
          <cell r="F1608">
            <v>20</v>
          </cell>
          <cell r="G1608">
            <v>10</v>
          </cell>
          <cell r="H1608">
            <v>0.99</v>
          </cell>
          <cell r="I1608">
            <v>1</v>
          </cell>
          <cell r="J1608">
            <v>6</v>
          </cell>
          <cell r="K1608">
            <v>3</v>
          </cell>
          <cell r="L1608">
            <v>145.53</v>
          </cell>
        </row>
        <row r="1609">
          <cell r="B1609" t="str">
            <v>7 Ø 1/2 @ 0,3 AMBAS CARAS</v>
          </cell>
          <cell r="C1609" t="str">
            <v>CRA 18 * CLL 110</v>
          </cell>
          <cell r="D1609"/>
          <cell r="E1609" t="str">
            <v>KG</v>
          </cell>
          <cell r="F1609">
            <v>20</v>
          </cell>
          <cell r="G1609">
            <v>10</v>
          </cell>
          <cell r="H1609">
            <v>0.99</v>
          </cell>
          <cell r="I1609">
            <v>1</v>
          </cell>
          <cell r="J1609">
            <v>6</v>
          </cell>
          <cell r="K1609">
            <v>3</v>
          </cell>
          <cell r="L1609">
            <v>145.53</v>
          </cell>
        </row>
        <row r="1610">
          <cell r="B1610" t="str">
            <v>8 Ø 1/2 @ 0,3 AMBAS CARAS</v>
          </cell>
          <cell r="C1610" t="str">
            <v>CRA 19 * CLL 110</v>
          </cell>
          <cell r="D1610"/>
          <cell r="E1610" t="str">
            <v>KG</v>
          </cell>
          <cell r="F1610">
            <v>20</v>
          </cell>
          <cell r="G1610">
            <v>10</v>
          </cell>
          <cell r="H1610">
            <v>0.99</v>
          </cell>
          <cell r="I1610">
            <v>1</v>
          </cell>
          <cell r="J1610">
            <v>6</v>
          </cell>
          <cell r="K1610">
            <v>3</v>
          </cell>
          <cell r="L1610">
            <v>145.53</v>
          </cell>
        </row>
        <row r="1611">
          <cell r="B1611" t="str">
            <v>9 Ø 1/2 @ 0,3 AMBAS CARAS</v>
          </cell>
          <cell r="C1611" t="str">
            <v>CRA 19A * CLL 110</v>
          </cell>
          <cell r="D1611"/>
          <cell r="E1611" t="str">
            <v>KG</v>
          </cell>
          <cell r="F1611">
            <v>20</v>
          </cell>
          <cell r="G1611">
            <v>10</v>
          </cell>
          <cell r="H1611">
            <v>0.99</v>
          </cell>
          <cell r="I1611">
            <v>1</v>
          </cell>
          <cell r="J1611">
            <v>6</v>
          </cell>
          <cell r="K1611">
            <v>3</v>
          </cell>
          <cell r="L1611">
            <v>145.53</v>
          </cell>
        </row>
        <row r="1612">
          <cell r="B1612" t="str">
            <v>10 Ø 1/2 @ 0,3 AMBAS CARAS</v>
          </cell>
          <cell r="C1612" t="str">
            <v>CRA 20 * CLL 110</v>
          </cell>
          <cell r="D1612"/>
          <cell r="E1612" t="str">
            <v>KG</v>
          </cell>
          <cell r="F1612">
            <v>20</v>
          </cell>
          <cell r="G1612">
            <v>10</v>
          </cell>
          <cell r="H1612">
            <v>0.99</v>
          </cell>
          <cell r="I1612">
            <v>1</v>
          </cell>
          <cell r="J1612">
            <v>6</v>
          </cell>
          <cell r="K1612">
            <v>3</v>
          </cell>
          <cell r="L1612">
            <v>145.53</v>
          </cell>
        </row>
        <row r="1613">
          <cell r="B1613" t="str">
            <v>11 Ø 1/2 @ 0,3 AMBAS CARAS</v>
          </cell>
          <cell r="C1613" t="str">
            <v>CRA 20A * CLL 110</v>
          </cell>
          <cell r="D1613"/>
          <cell r="E1613" t="str">
            <v>KG</v>
          </cell>
          <cell r="F1613">
            <v>20</v>
          </cell>
          <cell r="G1613">
            <v>10</v>
          </cell>
          <cell r="H1613">
            <v>0.99</v>
          </cell>
          <cell r="I1613">
            <v>1</v>
          </cell>
          <cell r="J1613">
            <v>6</v>
          </cell>
          <cell r="K1613">
            <v>3</v>
          </cell>
          <cell r="L1613">
            <v>145.53</v>
          </cell>
        </row>
        <row r="1614">
          <cell r="B1614" t="str">
            <v>12 Ø 1/2 @ 0,3 AMBAS CARAS</v>
          </cell>
          <cell r="C1614" t="str">
            <v>CRA 21 * CLL 110</v>
          </cell>
          <cell r="D1614"/>
          <cell r="E1614" t="str">
            <v>KG</v>
          </cell>
          <cell r="F1614">
            <v>20</v>
          </cell>
          <cell r="G1614">
            <v>10</v>
          </cell>
          <cell r="H1614">
            <v>0.99</v>
          </cell>
          <cell r="I1614">
            <v>1</v>
          </cell>
          <cell r="J1614">
            <v>6</v>
          </cell>
          <cell r="K1614">
            <v>3</v>
          </cell>
          <cell r="L1614">
            <v>145.53</v>
          </cell>
        </row>
        <row r="1615">
          <cell r="B1615" t="str">
            <v>13 Ø 1/2 @ 0,3 AMBAS CARAS</v>
          </cell>
          <cell r="C1615" t="str">
            <v>CRA 22 * CLL 110</v>
          </cell>
          <cell r="D1615"/>
          <cell r="E1615" t="str">
            <v>KG</v>
          </cell>
          <cell r="F1615">
            <v>20</v>
          </cell>
          <cell r="G1615">
            <v>10</v>
          </cell>
          <cell r="H1615">
            <v>0.99</v>
          </cell>
          <cell r="I1615">
            <v>1</v>
          </cell>
          <cell r="J1615">
            <v>6</v>
          </cell>
          <cell r="K1615">
            <v>3</v>
          </cell>
          <cell r="L1615">
            <v>145.53</v>
          </cell>
        </row>
        <row r="1616">
          <cell r="B1616" t="str">
            <v>14 Ø 1/2 @ 0,3 AMBAS CARAS</v>
          </cell>
          <cell r="C1616" t="str">
            <v>CRA 23 * CLL 110</v>
          </cell>
          <cell r="D1616"/>
          <cell r="E1616" t="str">
            <v>KG</v>
          </cell>
          <cell r="F1616">
            <v>20</v>
          </cell>
          <cell r="G1616">
            <v>10</v>
          </cell>
          <cell r="H1616">
            <v>0.99</v>
          </cell>
          <cell r="I1616">
            <v>1</v>
          </cell>
          <cell r="J1616">
            <v>6</v>
          </cell>
          <cell r="K1616">
            <v>3</v>
          </cell>
          <cell r="L1616">
            <v>145.53</v>
          </cell>
        </row>
        <row r="1617">
          <cell r="B1617" t="str">
            <v>15 Ø 1/2 @ 0,3 AMBAS CARAS</v>
          </cell>
          <cell r="C1617" t="str">
            <v>CRA 24 * CLL 110</v>
          </cell>
          <cell r="D1617"/>
          <cell r="E1617" t="str">
            <v>KG</v>
          </cell>
          <cell r="F1617">
            <v>20</v>
          </cell>
          <cell r="G1617">
            <v>10</v>
          </cell>
          <cell r="H1617">
            <v>0.99</v>
          </cell>
          <cell r="I1617">
            <v>1</v>
          </cell>
          <cell r="J1617">
            <v>6</v>
          </cell>
          <cell r="K1617">
            <v>3</v>
          </cell>
          <cell r="L1617">
            <v>145.53</v>
          </cell>
        </row>
        <row r="1618">
          <cell r="B1618" t="str">
            <v>16 Ø 1/2 @ 0,3 AMBAS CARAS</v>
          </cell>
          <cell r="C1618" t="str">
            <v>CRA 25 * CLL 110</v>
          </cell>
          <cell r="D1618"/>
          <cell r="E1618" t="str">
            <v>KG</v>
          </cell>
          <cell r="F1618">
            <v>20</v>
          </cell>
          <cell r="G1618">
            <v>10</v>
          </cell>
          <cell r="H1618">
            <v>0.99</v>
          </cell>
          <cell r="I1618">
            <v>1</v>
          </cell>
          <cell r="J1618">
            <v>6</v>
          </cell>
          <cell r="K1618">
            <v>3</v>
          </cell>
          <cell r="L1618">
            <v>145.53</v>
          </cell>
        </row>
        <row r="1619">
          <cell r="B1619" t="str">
            <v>17 Ø 1/2 @ 0,3 AMBAS CARAS</v>
          </cell>
          <cell r="C1619" t="str">
            <v>CRA 26 * CLL 110</v>
          </cell>
          <cell r="D1619"/>
          <cell r="E1619" t="str">
            <v>KG</v>
          </cell>
          <cell r="F1619">
            <v>20</v>
          </cell>
          <cell r="G1619">
            <v>10</v>
          </cell>
          <cell r="H1619">
            <v>0.99</v>
          </cell>
          <cell r="I1619">
            <v>1</v>
          </cell>
          <cell r="J1619">
            <v>6</v>
          </cell>
          <cell r="K1619">
            <v>3</v>
          </cell>
          <cell r="L1619">
            <v>145.53</v>
          </cell>
        </row>
        <row r="1620">
          <cell r="J1620" t="str">
            <v>VALOR TOTAL</v>
          </cell>
          <cell r="K1620"/>
          <cell r="L1620">
            <v>13465.881000000019</v>
          </cell>
        </row>
        <row r="1622">
          <cell r="B1622" t="str">
            <v>3.7</v>
          </cell>
          <cell r="C1622" t="str">
            <v>DESCRIPCION</v>
          </cell>
          <cell r="D1622"/>
          <cell r="E1622" t="str">
            <v>Inducción de junta transversal y longitudinal con acerrado mecánico</v>
          </cell>
          <cell r="F1622"/>
          <cell r="G1622"/>
          <cell r="H1622"/>
          <cell r="I1622" t="str">
            <v>UN</v>
          </cell>
          <cell r="J1622" t="str">
            <v>ML</v>
          </cell>
          <cell r="K1622" t="str">
            <v>CANTIDAD</v>
          </cell>
          <cell r="L1622">
            <v>27148.241249999992</v>
          </cell>
        </row>
        <row r="1624">
          <cell r="B1624" t="str">
            <v>DESCRIPCION</v>
          </cell>
          <cell r="C1624" t="str">
            <v>DESCRIPCION /LOCALIZACION</v>
          </cell>
          <cell r="D1624"/>
          <cell r="E1624" t="str">
            <v>UNIDAD</v>
          </cell>
          <cell r="F1624" t="str">
            <v>CAN/JUN C1</v>
          </cell>
          <cell r="G1624" t="str">
            <v>CAN/JUN C2</v>
          </cell>
          <cell r="H1624" t="str">
            <v>CAN TOT</v>
          </cell>
          <cell r="I1624" t="str">
            <v>LARGO</v>
          </cell>
          <cell r="J1624" t="str">
            <v>ANCHO</v>
          </cell>
          <cell r="K1624" t="str">
            <v>ALTURA</v>
          </cell>
          <cell r="L1624" t="str">
            <v>CAN MED</v>
          </cell>
        </row>
        <row r="1625">
          <cell r="B1625" t="str">
            <v>JUNTA TRANSVERSAL INDUCCION CADA 3,2M EN UNA LONGITUD 3M POR CALZADA</v>
          </cell>
          <cell r="C1625" t="str">
            <v>TODAS LAS VIAS</v>
          </cell>
          <cell r="D1625"/>
          <cell r="E1625" t="str">
            <v>ML</v>
          </cell>
          <cell r="F1625">
            <v>2822.0624999999986</v>
          </cell>
          <cell r="G1625">
            <v>2822.0624999999986</v>
          </cell>
          <cell r="H1625">
            <v>5644.1249999999973</v>
          </cell>
          <cell r="I1625">
            <v>3</v>
          </cell>
          <cell r="J1625">
            <v>0</v>
          </cell>
          <cell r="K1625">
            <v>0</v>
          </cell>
          <cell r="L1625">
            <v>16932.374999999993</v>
          </cell>
        </row>
        <row r="1626">
          <cell r="B1626" t="str">
            <v xml:space="preserve">PORENTANJE JUNTAS EN CURUCES DE VIA PARA JUNTAS TRANSVERSAL 7% DEL NUMERO DE PLACAS </v>
          </cell>
          <cell r="C1626" t="str">
            <v>TODAS LAS VIAS</v>
          </cell>
          <cell r="D1626"/>
          <cell r="E1626" t="str">
            <v>ML</v>
          </cell>
          <cell r="F1626"/>
          <cell r="G1626"/>
          <cell r="H1626">
            <v>395.08874999999983</v>
          </cell>
          <cell r="I1626">
            <v>3</v>
          </cell>
          <cell r="J1626">
            <v>0</v>
          </cell>
          <cell r="K1626">
            <v>0</v>
          </cell>
          <cell r="L1626">
            <v>1185.2662499999994</v>
          </cell>
        </row>
        <row r="1627">
          <cell r="B1627" t="str">
            <v>JUNTA LONGITUDINAL EN TODA LA LONGITUD</v>
          </cell>
          <cell r="C1627" t="str">
            <v>TODAS LAS VIAS</v>
          </cell>
          <cell r="D1627"/>
          <cell r="E1627" t="str">
            <v>ML</v>
          </cell>
          <cell r="F1627">
            <v>9030.5999999999967</v>
          </cell>
          <cell r="G1627">
            <v>0</v>
          </cell>
          <cell r="H1627">
            <v>9030.5999999999967</v>
          </cell>
          <cell r="I1627">
            <v>1</v>
          </cell>
          <cell r="J1627">
            <v>0</v>
          </cell>
          <cell r="K1627">
            <v>0</v>
          </cell>
          <cell r="L1627">
            <v>9030.5999999999967</v>
          </cell>
        </row>
        <row r="1628">
          <cell r="J1628" t="str">
            <v>VALOR TOTAL</v>
          </cell>
          <cell r="K1628"/>
          <cell r="L1628">
            <v>27148.241249999992</v>
          </cell>
        </row>
        <row r="1630">
          <cell r="B1630" t="str">
            <v>3.8</v>
          </cell>
          <cell r="C1630" t="str">
            <v>DESCRIPCION</v>
          </cell>
          <cell r="D1630"/>
          <cell r="E1630" t="str">
            <v>Instalación de sello en junta transversal y longitudinal</v>
          </cell>
          <cell r="F1630"/>
          <cell r="G1630"/>
          <cell r="H1630"/>
          <cell r="I1630" t="str">
            <v>UN</v>
          </cell>
          <cell r="J1630" t="str">
            <v>ML</v>
          </cell>
          <cell r="K1630" t="str">
            <v>CANTIDAD</v>
          </cell>
          <cell r="L1630">
            <v>27148.241249999992</v>
          </cell>
        </row>
        <row r="1632">
          <cell r="B1632" t="str">
            <v>DESCRIPCION</v>
          </cell>
          <cell r="C1632" t="str">
            <v>DESCRIPCION /LOCALIZACION</v>
          </cell>
          <cell r="D1632"/>
          <cell r="E1632" t="str">
            <v>UNIDAD</v>
          </cell>
          <cell r="F1632" t="str">
            <v>CAN/JUN C1</v>
          </cell>
          <cell r="G1632" t="str">
            <v>CAN/JUN C2</v>
          </cell>
          <cell r="H1632" t="str">
            <v>CAN TOT</v>
          </cell>
          <cell r="I1632" t="str">
            <v>LARGO</v>
          </cell>
          <cell r="J1632" t="str">
            <v>ANCHO</v>
          </cell>
          <cell r="K1632" t="str">
            <v>ALTURA</v>
          </cell>
          <cell r="L1632" t="str">
            <v>CAN MED</v>
          </cell>
        </row>
        <row r="1633">
          <cell r="B1633" t="str">
            <v>JUNTA TRANSVERSAL INDUCCION CADA 3,2M EN UNA LONGITUD 3M POR CALZADA</v>
          </cell>
          <cell r="C1633" t="str">
            <v>TODAS LAS VIAS</v>
          </cell>
          <cell r="D1633"/>
          <cell r="E1633" t="str">
            <v>ML</v>
          </cell>
          <cell r="F1633">
            <v>2822.0624999999986</v>
          </cell>
          <cell r="G1633">
            <v>2822.0624999999986</v>
          </cell>
          <cell r="H1633">
            <v>5644.1249999999973</v>
          </cell>
          <cell r="I1633">
            <v>3</v>
          </cell>
          <cell r="J1633">
            <v>0</v>
          </cell>
          <cell r="K1633">
            <v>0</v>
          </cell>
          <cell r="L1633">
            <v>16932.374999999993</v>
          </cell>
        </row>
        <row r="1634">
          <cell r="B1634" t="str">
            <v xml:space="preserve">PORENTANJE JUNTAS EN CURUCES DE VIA PARA JUNTAS TRANSVERSAL 7% DEL NUMERO DE PLACAS </v>
          </cell>
          <cell r="C1634" t="str">
            <v>TODAS LAS VIAS</v>
          </cell>
          <cell r="D1634"/>
          <cell r="E1634" t="str">
            <v>ML</v>
          </cell>
          <cell r="F1634"/>
          <cell r="G1634"/>
          <cell r="H1634">
            <v>395.08874999999983</v>
          </cell>
          <cell r="I1634">
            <v>3</v>
          </cell>
          <cell r="J1634">
            <v>0</v>
          </cell>
          <cell r="K1634">
            <v>0</v>
          </cell>
          <cell r="L1634">
            <v>1185.2662499999994</v>
          </cell>
        </row>
        <row r="1635">
          <cell r="B1635" t="str">
            <v>JUNTA LONGITUDINAL EN TODA LA LONGITUD</v>
          </cell>
          <cell r="C1635" t="str">
            <v>TODAS LAS VIAS</v>
          </cell>
          <cell r="D1635"/>
          <cell r="E1635" t="str">
            <v>ML</v>
          </cell>
          <cell r="F1635">
            <v>9030.5999999999967</v>
          </cell>
          <cell r="G1635">
            <v>0</v>
          </cell>
          <cell r="H1635">
            <v>9030.5999999999967</v>
          </cell>
          <cell r="I1635">
            <v>1</v>
          </cell>
          <cell r="J1635">
            <v>0</v>
          </cell>
          <cell r="K1635">
            <v>0</v>
          </cell>
          <cell r="L1635">
            <v>9030.5999999999967</v>
          </cell>
        </row>
        <row r="1636">
          <cell r="J1636" t="str">
            <v>VALOR TOTAL</v>
          </cell>
          <cell r="K1636"/>
          <cell r="L1636">
            <v>27148.241249999992</v>
          </cell>
        </row>
        <row r="1638">
          <cell r="B1638" t="str">
            <v>3.9</v>
          </cell>
          <cell r="C1638" t="str">
            <v>DESCRIPCION</v>
          </cell>
          <cell r="D1638"/>
          <cell r="E1638" t="str">
            <v>Mano de obra para la fabricación de la canastilla incluye equipo de corte soldadura</v>
          </cell>
          <cell r="F1638"/>
          <cell r="G1638"/>
          <cell r="H1638"/>
          <cell r="I1638" t="str">
            <v>UN</v>
          </cell>
          <cell r="J1638" t="str">
            <v>UNIDAD</v>
          </cell>
          <cell r="K1638" t="str">
            <v>CANTIDAD</v>
          </cell>
          <cell r="L1638">
            <v>5644.1249999999973</v>
          </cell>
        </row>
        <row r="1640">
          <cell r="B1640" t="str">
            <v>DESCRIPCION</v>
          </cell>
          <cell r="C1640" t="str">
            <v>DESCRIPCION /LOCALIZACION</v>
          </cell>
          <cell r="D1640"/>
          <cell r="E1640" t="str">
            <v>UNIDAD</v>
          </cell>
          <cell r="F1640" t="str">
            <v>CAN/JUN C1</v>
          </cell>
          <cell r="G1640" t="str">
            <v>CAN/JUN C2</v>
          </cell>
          <cell r="H1640" t="str">
            <v>CAN TOT</v>
          </cell>
          <cell r="I1640" t="str">
            <v>LARGO</v>
          </cell>
          <cell r="J1640" t="str">
            <v>ANCHO</v>
          </cell>
          <cell r="K1640" t="str">
            <v>ALTURA</v>
          </cell>
          <cell r="L1640" t="str">
            <v>CAN MED</v>
          </cell>
        </row>
        <row r="1641">
          <cell r="B1641" t="str">
            <v>JUNTA TRANSVERSAL INDUCCION CADA 3,2M EN UNA LONGITUD 3M POR CALZADA</v>
          </cell>
          <cell r="C1641" t="str">
            <v>TODAS LAS VIAS</v>
          </cell>
          <cell r="D1641"/>
          <cell r="E1641" t="str">
            <v>UNIDAD</v>
          </cell>
          <cell r="F1641">
            <v>2822.0624999999986</v>
          </cell>
          <cell r="G1641">
            <v>2822.0624999999986</v>
          </cell>
          <cell r="H1641">
            <v>5644.1249999999973</v>
          </cell>
          <cell r="I1641">
            <v>0</v>
          </cell>
          <cell r="J1641">
            <v>0</v>
          </cell>
          <cell r="K1641">
            <v>0</v>
          </cell>
          <cell r="L1641">
            <v>5644.1249999999973</v>
          </cell>
        </row>
        <row r="1642">
          <cell r="J1642" t="str">
            <v>VALOR TOTAL</v>
          </cell>
          <cell r="K1642"/>
          <cell r="L1642">
            <v>5644.1249999999973</v>
          </cell>
        </row>
        <row r="1644">
          <cell r="B1644" t="str">
            <v>4.1</v>
          </cell>
          <cell r="C1644" t="str">
            <v>DESCRIPCION</v>
          </cell>
          <cell r="D1644"/>
          <cell r="E1644" t="str">
            <v>BORDILLOS EN CONCRETO</v>
          </cell>
          <cell r="F1644"/>
          <cell r="G1644"/>
          <cell r="H1644"/>
          <cell r="I1644" t="str">
            <v>UN</v>
          </cell>
          <cell r="J1644" t="str">
            <v>ML</v>
          </cell>
          <cell r="K1644" t="str">
            <v>CANTIDAD</v>
          </cell>
          <cell r="L1644">
            <v>15131</v>
          </cell>
        </row>
        <row r="1646">
          <cell r="B1646" t="str">
            <v>COD EP</v>
          </cell>
          <cell r="C1646" t="str">
            <v>COD EP</v>
          </cell>
          <cell r="D1646" t="str">
            <v>DESCRIPCION /LOCALIZACION</v>
          </cell>
          <cell r="E1646"/>
          <cell r="F1646"/>
          <cell r="G1646" t="str">
            <v>UNIDAD</v>
          </cell>
          <cell r="H1646" t="str">
            <v>CAN/UN</v>
          </cell>
          <cell r="I1646" t="str">
            <v>LARGO</v>
          </cell>
          <cell r="J1646" t="str">
            <v>ANCHO</v>
          </cell>
          <cell r="K1646" t="str">
            <v>ALTURA</v>
          </cell>
          <cell r="L1646" t="str">
            <v>CAN MED</v>
          </cell>
        </row>
        <row r="1647">
          <cell r="B1647" t="str">
            <v>CALLE 102C ENTRE CARRERA 19 - 20</v>
          </cell>
          <cell r="C1647" t="str">
            <v>DV_TOTALA</v>
          </cell>
          <cell r="D1647" t="str">
            <v>BARRIO CIUDADELA INDUSTRIAL</v>
          </cell>
          <cell r="E1647"/>
          <cell r="F1647"/>
          <cell r="G1647" t="str">
            <v>ML</v>
          </cell>
          <cell r="H1647">
            <v>2</v>
          </cell>
          <cell r="I1647">
            <v>87.95</v>
          </cell>
          <cell r="L1647">
            <v>175.9</v>
          </cell>
        </row>
        <row r="1648">
          <cell r="B1648" t="str">
            <v>CALLE 102C ENTRE CARRERA 20 - 21</v>
          </cell>
          <cell r="C1648" t="str">
            <v>DV_TOTALA</v>
          </cell>
          <cell r="D1648" t="str">
            <v>BARRIO CIUDADELA INDUSTRIAL</v>
          </cell>
          <cell r="E1648"/>
          <cell r="F1648"/>
          <cell r="G1648" t="str">
            <v>ML</v>
          </cell>
          <cell r="H1648">
            <v>2</v>
          </cell>
          <cell r="I1648">
            <v>93.72</v>
          </cell>
          <cell r="L1648">
            <v>187.44</v>
          </cell>
        </row>
        <row r="1649">
          <cell r="B1649" t="str">
            <v>CALLE 102B ENTRE CARRERA 19 - 20</v>
          </cell>
          <cell r="C1649" t="str">
            <v>DV_TOTALA</v>
          </cell>
          <cell r="D1649" t="str">
            <v>BARRIO CIUDADELA INDUSTRIAL</v>
          </cell>
          <cell r="E1649"/>
          <cell r="F1649"/>
          <cell r="G1649" t="str">
            <v>ML</v>
          </cell>
          <cell r="H1649">
            <v>2</v>
          </cell>
          <cell r="I1649">
            <v>79.709999999999994</v>
          </cell>
          <cell r="L1649">
            <v>159.41999999999999</v>
          </cell>
        </row>
        <row r="1650">
          <cell r="B1650" t="str">
            <v>CALLE 102B ENTRE CARRERA 20 - 21</v>
          </cell>
          <cell r="C1650" t="str">
            <v>DV_TOTALA</v>
          </cell>
          <cell r="D1650" t="str">
            <v>BARRIO CIUDADELA INDUSTRIAL</v>
          </cell>
          <cell r="E1650"/>
          <cell r="F1650"/>
          <cell r="G1650" t="str">
            <v>ML</v>
          </cell>
          <cell r="H1650">
            <v>2</v>
          </cell>
          <cell r="I1650">
            <v>93.02</v>
          </cell>
          <cell r="L1650">
            <v>186.04</v>
          </cell>
        </row>
        <row r="1651">
          <cell r="B1651" t="str">
            <v>CALLE 102B ENTRE CARRERA 20 - 21A</v>
          </cell>
          <cell r="C1651" t="str">
            <v>DV_TOTALA</v>
          </cell>
          <cell r="D1651" t="str">
            <v>BARRIO CIUDADELA INDUSTRIAL</v>
          </cell>
          <cell r="E1651"/>
          <cell r="F1651"/>
          <cell r="G1651" t="str">
            <v>ML</v>
          </cell>
          <cell r="H1651">
            <v>2</v>
          </cell>
          <cell r="I1651">
            <v>48.73</v>
          </cell>
          <cell r="L1651">
            <v>97.46</v>
          </cell>
        </row>
        <row r="1652">
          <cell r="B1652" t="str">
            <v>CARRERA 20 ENTRE CALLE 102 B Y 102 C</v>
          </cell>
          <cell r="C1652" t="str">
            <v>DV_TOTALA</v>
          </cell>
          <cell r="D1652" t="str">
            <v>BARRIO CIUDADELA INDUSTRIAL</v>
          </cell>
          <cell r="E1652"/>
          <cell r="F1652"/>
          <cell r="G1652" t="str">
            <v>ML</v>
          </cell>
          <cell r="H1652">
            <v>2</v>
          </cell>
          <cell r="I1652">
            <v>44.93</v>
          </cell>
          <cell r="L1652">
            <v>89.86</v>
          </cell>
        </row>
        <row r="1653">
          <cell r="B1653" t="str">
            <v>CARRERA 20 ENTRE CALLE 102 C Y 102D</v>
          </cell>
          <cell r="C1653" t="str">
            <v>DV_TOTALA</v>
          </cell>
          <cell r="D1653" t="str">
            <v>BARRIO CIUDADELA INDUSTRIAL</v>
          </cell>
          <cell r="E1653"/>
          <cell r="F1653"/>
          <cell r="G1653" t="str">
            <v>ML</v>
          </cell>
          <cell r="H1653">
            <v>2</v>
          </cell>
          <cell r="I1653">
            <v>42.8</v>
          </cell>
          <cell r="L1653">
            <v>85.6</v>
          </cell>
        </row>
        <row r="1654">
          <cell r="B1654" t="str">
            <v>CARRERA 21 ENTRE CALLE 102 B Y 102 C</v>
          </cell>
          <cell r="C1654" t="str">
            <v>DV_TOTALA</v>
          </cell>
          <cell r="D1654" t="str">
            <v>BARRIO CIUDADELA INDUSTRIAL</v>
          </cell>
          <cell r="E1654"/>
          <cell r="F1654"/>
          <cell r="G1654" t="str">
            <v>ML</v>
          </cell>
          <cell r="H1654">
            <v>2</v>
          </cell>
          <cell r="I1654">
            <v>45</v>
          </cell>
          <cell r="L1654">
            <v>90</v>
          </cell>
        </row>
        <row r="1655">
          <cell r="B1655" t="str">
            <v>CARRERA 21 ENTRE CALLE 102 C Y 102D</v>
          </cell>
          <cell r="C1655" t="str">
            <v>DV_TOTALA</v>
          </cell>
          <cell r="D1655" t="str">
            <v>BARRIO CIUDADELA INDUSTRIAL</v>
          </cell>
          <cell r="E1655"/>
          <cell r="F1655"/>
          <cell r="G1655" t="str">
            <v>ML</v>
          </cell>
          <cell r="H1655">
            <v>2</v>
          </cell>
          <cell r="I1655">
            <v>40.57</v>
          </cell>
          <cell r="L1655">
            <v>81.14</v>
          </cell>
        </row>
        <row r="1656">
          <cell r="B1656" t="str">
            <v>CALLE 102D ENTRE CARRERA 20 - 21</v>
          </cell>
          <cell r="C1656" t="str">
            <v>DV_TOTALA</v>
          </cell>
          <cell r="D1656" t="str">
            <v>BARRIO CIUDADELA INDUSTRIAL</v>
          </cell>
          <cell r="E1656"/>
          <cell r="F1656"/>
          <cell r="G1656" t="str">
            <v>ML</v>
          </cell>
          <cell r="H1656">
            <v>2</v>
          </cell>
          <cell r="I1656">
            <v>102.75</v>
          </cell>
          <cell r="L1656">
            <v>205.5</v>
          </cell>
        </row>
        <row r="1657">
          <cell r="B1657" t="str">
            <v>CALLE 102A ENTRE CARRERA 17 - 19</v>
          </cell>
          <cell r="C1657" t="str">
            <v>DV_TOTALB</v>
          </cell>
          <cell r="D1657" t="str">
            <v>BARRIO JUAN XXIII</v>
          </cell>
          <cell r="E1657"/>
          <cell r="F1657"/>
          <cell r="G1657" t="str">
            <v>ML</v>
          </cell>
          <cell r="H1657">
            <v>2</v>
          </cell>
          <cell r="I1657">
            <v>180.84</v>
          </cell>
          <cell r="L1657">
            <v>361.68</v>
          </cell>
        </row>
        <row r="1658">
          <cell r="B1658" t="str">
            <v>CALLE 102B ENTRE CARRERA 17 - 19</v>
          </cell>
          <cell r="C1658" t="str">
            <v>DV_TOTALB</v>
          </cell>
          <cell r="D1658" t="str">
            <v>BARRIO JUAN XXIII</v>
          </cell>
          <cell r="E1658"/>
          <cell r="F1658"/>
          <cell r="G1658" t="str">
            <v>ML</v>
          </cell>
          <cell r="H1658">
            <v>2</v>
          </cell>
          <cell r="I1658">
            <v>129.94</v>
          </cell>
          <cell r="L1658">
            <v>259.88</v>
          </cell>
        </row>
        <row r="1659">
          <cell r="B1659" t="str">
            <v>CALLE 102 ENTRE CARRERA 17 - 17A</v>
          </cell>
          <cell r="C1659" t="str">
            <v>DV_TOTALB</v>
          </cell>
          <cell r="D1659" t="str">
            <v>BARRIO JUAN XXIII</v>
          </cell>
          <cell r="E1659"/>
          <cell r="F1659"/>
          <cell r="G1659" t="str">
            <v>ML</v>
          </cell>
          <cell r="H1659">
            <v>2</v>
          </cell>
          <cell r="I1659">
            <v>143.56</v>
          </cell>
          <cell r="L1659">
            <v>287.12</v>
          </cell>
        </row>
        <row r="1660">
          <cell r="B1660" t="str">
            <v>CALLE 102 ENTRE CARRERA 17A - 19</v>
          </cell>
          <cell r="C1660" t="str">
            <v>DV_TOTALB</v>
          </cell>
          <cell r="D1660" t="str">
            <v>BARRIO JUAN XXIII</v>
          </cell>
          <cell r="E1660"/>
          <cell r="F1660"/>
          <cell r="G1660" t="str">
            <v>ML</v>
          </cell>
          <cell r="H1660">
            <v>2</v>
          </cell>
          <cell r="I1660">
            <v>86.13</v>
          </cell>
          <cell r="L1660">
            <v>172.26</v>
          </cell>
        </row>
        <row r="1661">
          <cell r="B1661" t="str">
            <v>CALLE 101 ENTRE CARRERA 17 - 17A</v>
          </cell>
          <cell r="C1661" t="str">
            <v>DV_TOTALB</v>
          </cell>
          <cell r="D1661" t="str">
            <v>BARRIO JUAN XXIII</v>
          </cell>
          <cell r="E1661"/>
          <cell r="F1661"/>
          <cell r="G1661" t="str">
            <v>ML</v>
          </cell>
          <cell r="H1661">
            <v>2</v>
          </cell>
          <cell r="I1661">
            <v>155.94999999999999</v>
          </cell>
          <cell r="L1661">
            <v>155.94999999999999</v>
          </cell>
        </row>
        <row r="1662">
          <cell r="B1662" t="str">
            <v>CRA 17A ENTRE CALLE 101 Y 102</v>
          </cell>
          <cell r="C1662" t="str">
            <v>DV_TOTALB</v>
          </cell>
          <cell r="D1662" t="str">
            <v>BARRIO JUAN XXIII</v>
          </cell>
          <cell r="E1662"/>
          <cell r="F1662"/>
          <cell r="G1662" t="str">
            <v>ML</v>
          </cell>
          <cell r="H1662">
            <v>2</v>
          </cell>
          <cell r="I1662">
            <v>44.239999999999995</v>
          </cell>
          <cell r="L1662">
            <v>44.239999999999995</v>
          </cell>
        </row>
        <row r="1663">
          <cell r="B1663" t="str">
            <v>CRA 17 ENTRE CALLE 100 Y 101</v>
          </cell>
          <cell r="C1663" t="str">
            <v>DV_TOTALB</v>
          </cell>
          <cell r="D1663" t="str">
            <v>BARRIO JUAN XXIII</v>
          </cell>
          <cell r="E1663"/>
          <cell r="F1663"/>
          <cell r="G1663" t="str">
            <v>ML</v>
          </cell>
          <cell r="H1663">
            <v>2</v>
          </cell>
          <cell r="I1663">
            <v>100.75</v>
          </cell>
          <cell r="L1663">
            <v>100.75</v>
          </cell>
        </row>
        <row r="1664">
          <cell r="B1664" t="str">
            <v>CRA 17 ENTRE CALLE 101 Y 102</v>
          </cell>
          <cell r="C1664" t="str">
            <v>DV_TOTALB</v>
          </cell>
          <cell r="D1664" t="str">
            <v>BARRIO JUAN XXIII</v>
          </cell>
          <cell r="E1664"/>
          <cell r="F1664"/>
          <cell r="G1664" t="str">
            <v>ML</v>
          </cell>
          <cell r="H1664">
            <v>2</v>
          </cell>
          <cell r="I1664">
            <v>72.400000000000006</v>
          </cell>
          <cell r="L1664">
            <v>72.400000000000006</v>
          </cell>
        </row>
        <row r="1665">
          <cell r="B1665" t="str">
            <v>CRA 17 ENTRE CALLE 102 Y 102A</v>
          </cell>
          <cell r="C1665" t="str">
            <v>DV_TOTALB</v>
          </cell>
          <cell r="D1665" t="str">
            <v>BARRIO JUAN XXIII</v>
          </cell>
          <cell r="E1665"/>
          <cell r="F1665"/>
          <cell r="G1665" t="str">
            <v>ML</v>
          </cell>
          <cell r="H1665">
            <v>2</v>
          </cell>
          <cell r="I1665">
            <v>56.95</v>
          </cell>
          <cell r="L1665">
            <v>56.95</v>
          </cell>
        </row>
        <row r="1666">
          <cell r="B1666" t="str">
            <v>CRA 17 ENTRE CALLE 102A Y 102B</v>
          </cell>
          <cell r="C1666" t="str">
            <v>DV_TOTALB</v>
          </cell>
          <cell r="D1666" t="str">
            <v>BARRIO JUAN XXIII</v>
          </cell>
          <cell r="E1666"/>
          <cell r="F1666"/>
          <cell r="G1666" t="str">
            <v>ML</v>
          </cell>
          <cell r="H1666">
            <v>2</v>
          </cell>
          <cell r="I1666">
            <v>57.339999999999996</v>
          </cell>
          <cell r="L1666">
            <v>57.339999999999996</v>
          </cell>
        </row>
        <row r="1667">
          <cell r="B1667" t="str">
            <v>CALLE 99E ENTRE CRA 16A-LOTE</v>
          </cell>
          <cell r="C1667" t="str">
            <v>DV_TOTALC</v>
          </cell>
          <cell r="D1667" t="str">
            <v>BARRIO LAS DELICIAS</v>
          </cell>
          <cell r="E1667"/>
          <cell r="F1667"/>
          <cell r="G1667" t="str">
            <v>ML</v>
          </cell>
          <cell r="H1667">
            <v>2</v>
          </cell>
          <cell r="I1667">
            <v>71.13</v>
          </cell>
          <cell r="L1667">
            <v>71.13</v>
          </cell>
        </row>
        <row r="1668">
          <cell r="B1668" t="str">
            <v>CALLE 99E ENTRE CRA 16A Y 17</v>
          </cell>
          <cell r="C1668" t="str">
            <v>DV_TOTALC</v>
          </cell>
          <cell r="D1668" t="str">
            <v>BARRIO LAS DELICIAS</v>
          </cell>
          <cell r="E1668"/>
          <cell r="F1668"/>
          <cell r="G1668" t="str">
            <v>ML</v>
          </cell>
          <cell r="H1668">
            <v>2</v>
          </cell>
          <cell r="I1668">
            <v>74.91</v>
          </cell>
          <cell r="L1668">
            <v>74.91</v>
          </cell>
        </row>
        <row r="1669">
          <cell r="B1669" t="str">
            <v>CALLE 99D ENTRE CRA 16A Y 17</v>
          </cell>
          <cell r="C1669" t="str">
            <v>DV_TOTALC</v>
          </cell>
          <cell r="D1669" t="str">
            <v>BARRIO LAS DELICIAS</v>
          </cell>
          <cell r="E1669"/>
          <cell r="F1669"/>
          <cell r="G1669" t="str">
            <v>ML</v>
          </cell>
          <cell r="H1669">
            <v>2</v>
          </cell>
          <cell r="I1669">
            <v>69.63</v>
          </cell>
          <cell r="L1669">
            <v>139.26</v>
          </cell>
        </row>
        <row r="1670">
          <cell r="B1670" t="str">
            <v>CALLE 99C ENTRE CRA 16A Y 17</v>
          </cell>
          <cell r="C1670" t="str">
            <v>DV_TOTALC</v>
          </cell>
          <cell r="D1670" t="str">
            <v>BARRIO LAS DELICIAS</v>
          </cell>
          <cell r="E1670"/>
          <cell r="F1670"/>
          <cell r="G1670" t="str">
            <v>ML</v>
          </cell>
          <cell r="H1670">
            <v>2</v>
          </cell>
          <cell r="I1670">
            <v>63.64</v>
          </cell>
          <cell r="L1670">
            <v>127.28</v>
          </cell>
        </row>
        <row r="1671">
          <cell r="B1671" t="str">
            <v>CALLE 99B ENTRE CRA 16A Y 17</v>
          </cell>
          <cell r="C1671" t="str">
            <v>DV_TOTALC</v>
          </cell>
          <cell r="D1671" t="str">
            <v>BARRIO LAS DELICIAS</v>
          </cell>
          <cell r="E1671"/>
          <cell r="F1671"/>
          <cell r="G1671" t="str">
            <v>ML</v>
          </cell>
          <cell r="H1671">
            <v>2</v>
          </cell>
          <cell r="I1671">
            <v>54.67</v>
          </cell>
          <cell r="L1671">
            <v>109.34</v>
          </cell>
        </row>
        <row r="1672">
          <cell r="B1672" t="str">
            <v>CALLE 99A ENTRE CRA 16A Y 16</v>
          </cell>
          <cell r="C1672" t="str">
            <v>DV_TOTALC</v>
          </cell>
          <cell r="D1672" t="str">
            <v>BARRIO LAS DELICIAS</v>
          </cell>
          <cell r="E1672"/>
          <cell r="F1672"/>
          <cell r="G1672" t="str">
            <v>ML</v>
          </cell>
          <cell r="H1672">
            <v>2</v>
          </cell>
          <cell r="I1672">
            <v>67</v>
          </cell>
          <cell r="L1672">
            <v>134</v>
          </cell>
        </row>
        <row r="1673">
          <cell r="B1673" t="str">
            <v>CALLE 99A ENTRE CRA 16A Y 17</v>
          </cell>
          <cell r="C1673" t="str">
            <v>DV_TOTALC</v>
          </cell>
          <cell r="D1673" t="str">
            <v>BARRIO LAS DELICIAS</v>
          </cell>
          <cell r="E1673"/>
          <cell r="F1673"/>
          <cell r="G1673" t="str">
            <v>ML</v>
          </cell>
          <cell r="H1673">
            <v>2</v>
          </cell>
          <cell r="I1673">
            <v>49.3</v>
          </cell>
          <cell r="L1673">
            <v>98.6</v>
          </cell>
        </row>
        <row r="1674">
          <cell r="B1674" t="str">
            <v>CALLE 99A ENTRE CRA 17 Y 19</v>
          </cell>
          <cell r="C1674" t="str">
            <v>DV_TOTALC</v>
          </cell>
          <cell r="D1674" t="str">
            <v>BARRIO LAS DELICIAS</v>
          </cell>
          <cell r="E1674"/>
          <cell r="F1674"/>
          <cell r="G1674" t="str">
            <v>ML</v>
          </cell>
          <cell r="H1674">
            <v>2</v>
          </cell>
          <cell r="I1674">
            <v>150</v>
          </cell>
          <cell r="L1674">
            <v>300</v>
          </cell>
        </row>
        <row r="1675">
          <cell r="B1675" t="str">
            <v xml:space="preserve">CALLE 99AA ENTRE CRA 17 Y 19 </v>
          </cell>
          <cell r="C1675" t="str">
            <v>DV_TOTALC</v>
          </cell>
          <cell r="D1675" t="str">
            <v>BARRIO LAS DELICIAS</v>
          </cell>
          <cell r="E1675"/>
          <cell r="F1675"/>
          <cell r="G1675" t="str">
            <v>ML</v>
          </cell>
          <cell r="H1675">
            <v>2</v>
          </cell>
          <cell r="I1675">
            <v>150</v>
          </cell>
          <cell r="L1675">
            <v>300</v>
          </cell>
        </row>
        <row r="1676">
          <cell r="B1676" t="str">
            <v>CARRERA 17 ENTRE CALLE 99 Y 99AA</v>
          </cell>
          <cell r="C1676" t="str">
            <v>DV_TOTALC</v>
          </cell>
          <cell r="D1676" t="str">
            <v>BARRIO LAS DELICIAS</v>
          </cell>
          <cell r="E1676"/>
          <cell r="F1676"/>
          <cell r="G1676" t="str">
            <v>ML</v>
          </cell>
          <cell r="H1676">
            <v>2</v>
          </cell>
          <cell r="I1676">
            <v>54</v>
          </cell>
          <cell r="L1676">
            <v>108</v>
          </cell>
        </row>
        <row r="1677">
          <cell r="B1677" t="str">
            <v>CARRERA 17 ENTRE CALLE 99AA Y 99A</v>
          </cell>
          <cell r="C1677" t="str">
            <v>DV_TOTALC</v>
          </cell>
          <cell r="D1677" t="str">
            <v>BARRIO LAS DELICIAS</v>
          </cell>
          <cell r="E1677"/>
          <cell r="F1677"/>
          <cell r="G1677" t="str">
            <v>ML</v>
          </cell>
          <cell r="H1677">
            <v>2</v>
          </cell>
          <cell r="I1677">
            <v>56.37</v>
          </cell>
          <cell r="L1677">
            <v>112.74</v>
          </cell>
        </row>
        <row r="1678">
          <cell r="B1678" t="str">
            <v>CARRERA 17 ENTRE CALLE 99A Y 99B</v>
          </cell>
          <cell r="C1678" t="str">
            <v>DV_TOTALC</v>
          </cell>
          <cell r="D1678" t="str">
            <v>BARRIO LAS DELICIAS</v>
          </cell>
          <cell r="E1678"/>
          <cell r="F1678"/>
          <cell r="G1678" t="str">
            <v>ML</v>
          </cell>
          <cell r="H1678">
            <v>2</v>
          </cell>
          <cell r="I1678">
            <v>23.93</v>
          </cell>
          <cell r="L1678">
            <v>47.86</v>
          </cell>
        </row>
        <row r="1679">
          <cell r="B1679" t="str">
            <v>CARRERA 17 ENTRE CALLE 99B Y 99E</v>
          </cell>
          <cell r="C1679" t="str">
            <v>DV_TOTALC</v>
          </cell>
          <cell r="D1679" t="str">
            <v>BARRIO LAS DELICIAS</v>
          </cell>
          <cell r="E1679"/>
          <cell r="F1679"/>
          <cell r="G1679" t="str">
            <v>ML</v>
          </cell>
          <cell r="H1679">
            <v>2</v>
          </cell>
          <cell r="I1679">
            <v>82.740000000000009</v>
          </cell>
          <cell r="L1679">
            <v>165.48000000000002</v>
          </cell>
        </row>
        <row r="1680">
          <cell r="B1680" t="str">
            <v>CARRERA 17 ENTRE CALLE 99E Y 99F</v>
          </cell>
          <cell r="C1680" t="str">
            <v>DV_TOTALC</v>
          </cell>
          <cell r="D1680" t="str">
            <v>BARRIO LAS DELICIAS</v>
          </cell>
          <cell r="E1680"/>
          <cell r="F1680"/>
          <cell r="G1680" t="str">
            <v>ML</v>
          </cell>
          <cell r="H1680">
            <v>2</v>
          </cell>
          <cell r="I1680">
            <v>37.61</v>
          </cell>
          <cell r="L1680">
            <v>75.22</v>
          </cell>
        </row>
        <row r="1681">
          <cell r="B1681" t="str">
            <v>CARRERA 17 ENTRE CALLE 99F Y 100</v>
          </cell>
          <cell r="C1681" t="str">
            <v>DV_TOTALC</v>
          </cell>
          <cell r="D1681" t="str">
            <v>BARRIO LAS DELICIAS</v>
          </cell>
          <cell r="E1681"/>
          <cell r="F1681"/>
          <cell r="G1681" t="str">
            <v>ML</v>
          </cell>
          <cell r="H1681">
            <v>2</v>
          </cell>
          <cell r="I1681">
            <v>74</v>
          </cell>
          <cell r="L1681">
            <v>148</v>
          </cell>
        </row>
        <row r="1682">
          <cell r="B1682" t="str">
            <v>CARRERA 17A ENTRE CALLE 99 Y 99A</v>
          </cell>
          <cell r="C1682" t="str">
            <v>DV_TOTALC</v>
          </cell>
          <cell r="D1682" t="str">
            <v>BARRIO LAS DELICIAS</v>
          </cell>
          <cell r="E1682"/>
          <cell r="F1682"/>
          <cell r="G1682" t="str">
            <v>ML</v>
          </cell>
          <cell r="H1682">
            <v>2</v>
          </cell>
          <cell r="I1682">
            <v>107.91</v>
          </cell>
          <cell r="L1682">
            <v>107.91</v>
          </cell>
        </row>
        <row r="1683">
          <cell r="B1683" t="str">
            <v>CARRERA 17 ENTRE CALLE 99A Y 99E</v>
          </cell>
          <cell r="C1683" t="str">
            <v>DV_TOTALC</v>
          </cell>
          <cell r="D1683" t="str">
            <v>BARRIO LAS DELICIAS</v>
          </cell>
          <cell r="E1683"/>
          <cell r="F1683"/>
          <cell r="G1683" t="str">
            <v>ML</v>
          </cell>
          <cell r="H1683">
            <v>2</v>
          </cell>
          <cell r="I1683">
            <v>122.36000000000001</v>
          </cell>
          <cell r="L1683">
            <v>122.36000000000001</v>
          </cell>
        </row>
        <row r="1684">
          <cell r="B1684" t="str">
            <v>CARRERA 17 ENTRE CALLE 99A Y 99B</v>
          </cell>
          <cell r="C1684" t="str">
            <v>DV_TOTALC</v>
          </cell>
          <cell r="D1684" t="str">
            <v>BARRIO LAS DELICIAS</v>
          </cell>
          <cell r="E1684"/>
          <cell r="F1684"/>
          <cell r="G1684" t="str">
            <v>ML</v>
          </cell>
          <cell r="H1684">
            <v>2</v>
          </cell>
          <cell r="I1684">
            <v>44</v>
          </cell>
          <cell r="L1684">
            <v>44</v>
          </cell>
        </row>
        <row r="1685">
          <cell r="B1685" t="str">
            <v>CALLE 97A ENTRE CRA 19-20</v>
          </cell>
          <cell r="C1685" t="str">
            <v>DV_TOTALD</v>
          </cell>
          <cell r="D1685" t="str">
            <v>BARRIO EL BOSQUE</v>
          </cell>
          <cell r="E1685"/>
          <cell r="F1685"/>
          <cell r="G1685" t="str">
            <v>ML</v>
          </cell>
          <cell r="H1685">
            <v>2</v>
          </cell>
          <cell r="I1685">
            <v>102.49</v>
          </cell>
          <cell r="L1685">
            <v>102.49</v>
          </cell>
        </row>
        <row r="1686">
          <cell r="B1686" t="str">
            <v>CALLE 97A ENTRE CRA 20-21</v>
          </cell>
          <cell r="C1686" t="str">
            <v>DV_TOTALD</v>
          </cell>
          <cell r="D1686" t="str">
            <v>BARRIO EL BOSQUE</v>
          </cell>
          <cell r="E1686"/>
          <cell r="F1686"/>
          <cell r="G1686" t="str">
            <v>ML</v>
          </cell>
          <cell r="H1686">
            <v>2</v>
          </cell>
          <cell r="I1686">
            <v>96.72999999999999</v>
          </cell>
          <cell r="L1686">
            <v>96.72999999999999</v>
          </cell>
        </row>
        <row r="1687">
          <cell r="B1687" t="str">
            <v>CALLE 97A ENTRE CRA 21-22</v>
          </cell>
          <cell r="C1687" t="str">
            <v>DV_TOTALD</v>
          </cell>
          <cell r="D1687" t="str">
            <v>BARRIO EL BOSQUE</v>
          </cell>
          <cell r="E1687"/>
          <cell r="F1687"/>
          <cell r="G1687" t="str">
            <v>ML</v>
          </cell>
          <cell r="H1687">
            <v>2</v>
          </cell>
          <cell r="I1687">
            <v>102.87</v>
          </cell>
          <cell r="L1687">
            <v>102.87</v>
          </cell>
        </row>
        <row r="1688">
          <cell r="B1688" t="str">
            <v>CALLE 97 ENTRE CRA 15-16</v>
          </cell>
          <cell r="C1688" t="str">
            <v>DV_TOTALD</v>
          </cell>
          <cell r="D1688" t="str">
            <v>BARRIO EL BOSQUE</v>
          </cell>
          <cell r="E1688"/>
          <cell r="F1688"/>
          <cell r="G1688" t="str">
            <v>ML</v>
          </cell>
          <cell r="H1688">
            <v>2</v>
          </cell>
          <cell r="I1688">
            <v>66.39</v>
          </cell>
          <cell r="L1688">
            <v>66.39</v>
          </cell>
        </row>
        <row r="1689">
          <cell r="B1689" t="str">
            <v>CALLE 97 ENTRE CRA 16-17</v>
          </cell>
          <cell r="C1689" t="str">
            <v>DV_TOTALD</v>
          </cell>
          <cell r="D1689" t="str">
            <v>BARRIO EL BOSQUE</v>
          </cell>
          <cell r="E1689"/>
          <cell r="F1689"/>
          <cell r="G1689" t="str">
            <v>ML</v>
          </cell>
          <cell r="H1689">
            <v>2</v>
          </cell>
          <cell r="I1689">
            <v>47.15</v>
          </cell>
          <cell r="L1689">
            <v>94.3</v>
          </cell>
        </row>
        <row r="1690">
          <cell r="B1690" t="str">
            <v>CALLE 97 ENTRE CRA 17-19</v>
          </cell>
          <cell r="C1690" t="str">
            <v>DV_TOTALD</v>
          </cell>
          <cell r="D1690" t="str">
            <v>BARRIO EL BOSQUE</v>
          </cell>
          <cell r="E1690"/>
          <cell r="F1690"/>
          <cell r="G1690" t="str">
            <v>ML</v>
          </cell>
          <cell r="H1690">
            <v>2</v>
          </cell>
          <cell r="I1690">
            <v>111.63</v>
          </cell>
          <cell r="L1690">
            <v>223.26</v>
          </cell>
        </row>
        <row r="1691">
          <cell r="B1691" t="str">
            <v>CALLE 97 ENTRE CRA 19-20</v>
          </cell>
          <cell r="C1691" t="str">
            <v>DV_TOTALD</v>
          </cell>
          <cell r="D1691" t="str">
            <v>BARRIO EL BOSQUE</v>
          </cell>
          <cell r="E1691"/>
          <cell r="F1691"/>
          <cell r="G1691" t="str">
            <v>ML</v>
          </cell>
          <cell r="H1691">
            <v>2</v>
          </cell>
          <cell r="I1691">
            <v>98.31</v>
          </cell>
          <cell r="L1691">
            <v>196.62</v>
          </cell>
        </row>
        <row r="1692">
          <cell r="B1692" t="str">
            <v>CALLE 97 ENTRE CRA 20-21</v>
          </cell>
          <cell r="C1692" t="str">
            <v>DV_TOTALD</v>
          </cell>
          <cell r="D1692" t="str">
            <v>BARRIO EL BOSQUE</v>
          </cell>
          <cell r="E1692"/>
          <cell r="F1692"/>
          <cell r="G1692" t="str">
            <v>ML</v>
          </cell>
          <cell r="H1692">
            <v>2</v>
          </cell>
          <cell r="I1692">
            <v>101.73</v>
          </cell>
          <cell r="L1692">
            <v>203.46</v>
          </cell>
        </row>
        <row r="1693">
          <cell r="B1693" t="str">
            <v>CALLE 97 ENTRE CRA 21-22</v>
          </cell>
          <cell r="C1693" t="str">
            <v>DV_TOTALD</v>
          </cell>
          <cell r="D1693" t="str">
            <v>BARRIO EL BOSQUE</v>
          </cell>
          <cell r="E1693"/>
          <cell r="F1693"/>
          <cell r="G1693" t="str">
            <v>ML</v>
          </cell>
          <cell r="H1693">
            <v>2</v>
          </cell>
          <cell r="I1693">
            <v>101.04</v>
          </cell>
          <cell r="L1693">
            <v>202.08</v>
          </cell>
        </row>
        <row r="1694">
          <cell r="B1694" t="str">
            <v>CALLE 96A ENTRE CRA 15-17</v>
          </cell>
          <cell r="C1694" t="str">
            <v>DV_TOTALD</v>
          </cell>
          <cell r="D1694" t="str">
            <v>BARRIO EL BOSQUE</v>
          </cell>
          <cell r="E1694"/>
          <cell r="F1694"/>
          <cell r="G1694" t="str">
            <v>ML</v>
          </cell>
          <cell r="H1694">
            <v>2</v>
          </cell>
          <cell r="I1694">
            <v>111.7</v>
          </cell>
          <cell r="L1694">
            <v>223.4</v>
          </cell>
        </row>
        <row r="1695">
          <cell r="B1695" t="str">
            <v>CALLE 96A ENTRE CRA 17-19</v>
          </cell>
          <cell r="C1695" t="str">
            <v>DV_TOTALD</v>
          </cell>
          <cell r="D1695" t="str">
            <v>BARRIO EL BOSQUE</v>
          </cell>
          <cell r="E1695"/>
          <cell r="F1695"/>
          <cell r="G1695" t="str">
            <v>ML</v>
          </cell>
          <cell r="H1695">
            <v>2</v>
          </cell>
          <cell r="I1695">
            <v>108.14</v>
          </cell>
          <cell r="L1695">
            <v>216.28</v>
          </cell>
        </row>
        <row r="1696">
          <cell r="B1696" t="str">
            <v>CALLE 96A ENTRE CRA 19-20</v>
          </cell>
          <cell r="C1696" t="str">
            <v>DV_TOTALD</v>
          </cell>
          <cell r="D1696" t="str">
            <v>BARRIO EL BOSQUE</v>
          </cell>
          <cell r="E1696"/>
          <cell r="F1696"/>
          <cell r="G1696" t="str">
            <v>ML</v>
          </cell>
          <cell r="H1696">
            <v>2</v>
          </cell>
          <cell r="I1696">
            <v>99.02</v>
          </cell>
          <cell r="L1696">
            <v>198.04</v>
          </cell>
        </row>
        <row r="1697">
          <cell r="B1697" t="str">
            <v>CALLE 96A ENTRE CRA 20-21</v>
          </cell>
          <cell r="C1697" t="str">
            <v>DV_TOTALD</v>
          </cell>
          <cell r="D1697" t="str">
            <v>BARRIO EL BOSQUE</v>
          </cell>
          <cell r="E1697"/>
          <cell r="F1697"/>
          <cell r="G1697" t="str">
            <v>ML</v>
          </cell>
          <cell r="H1697">
            <v>2</v>
          </cell>
          <cell r="I1697">
            <v>101.32</v>
          </cell>
          <cell r="L1697">
            <v>202.64</v>
          </cell>
        </row>
        <row r="1698">
          <cell r="B1698" t="str">
            <v>CALLE 96A ENTRE CRA 21-22</v>
          </cell>
          <cell r="C1698" t="str">
            <v>DV_TOTALD</v>
          </cell>
          <cell r="D1698" t="str">
            <v>BARRIO EL BOSQUE</v>
          </cell>
          <cell r="E1698"/>
          <cell r="F1698"/>
          <cell r="G1698" t="str">
            <v>ML</v>
          </cell>
          <cell r="H1698">
            <v>2</v>
          </cell>
          <cell r="I1698">
            <v>99.2</v>
          </cell>
          <cell r="L1698">
            <v>198.4</v>
          </cell>
        </row>
        <row r="1699">
          <cell r="B1699" t="str">
            <v>CALLE 96 ENTRE CRA 15-17</v>
          </cell>
          <cell r="C1699" t="str">
            <v>DV_TOTALD</v>
          </cell>
          <cell r="D1699" t="str">
            <v>BARRIO EL BOSQUE</v>
          </cell>
          <cell r="E1699"/>
          <cell r="F1699"/>
          <cell r="G1699" t="str">
            <v>ML</v>
          </cell>
          <cell r="H1699">
            <v>2</v>
          </cell>
          <cell r="I1699">
            <v>100.5</v>
          </cell>
          <cell r="L1699">
            <v>201</v>
          </cell>
        </row>
        <row r="1700">
          <cell r="B1700" t="str">
            <v>CALLE 96 ENTRE CRA 17-19</v>
          </cell>
          <cell r="C1700" t="str">
            <v>DV_TOTALD</v>
          </cell>
          <cell r="D1700" t="str">
            <v>BARRIO EL BOSQUE</v>
          </cell>
          <cell r="E1700"/>
          <cell r="F1700"/>
          <cell r="G1700" t="str">
            <v>ML</v>
          </cell>
          <cell r="H1700">
            <v>2</v>
          </cell>
          <cell r="I1700">
            <v>110.91</v>
          </cell>
          <cell r="L1700">
            <v>110.91</v>
          </cell>
        </row>
        <row r="1701">
          <cell r="B1701" t="str">
            <v>CALLE 96 ENTRE CRA 19-20</v>
          </cell>
          <cell r="C1701" t="str">
            <v>DV_TOTALD</v>
          </cell>
          <cell r="D1701" t="str">
            <v>BARRIO EL BOSQUE</v>
          </cell>
          <cell r="E1701"/>
          <cell r="F1701"/>
          <cell r="G1701" t="str">
            <v>ML</v>
          </cell>
          <cell r="H1701">
            <v>2</v>
          </cell>
          <cell r="I1701">
            <v>100.12</v>
          </cell>
          <cell r="L1701">
            <v>100.12</v>
          </cell>
        </row>
        <row r="1702">
          <cell r="B1702" t="str">
            <v>CALLE 96 ENTRE CRA 20-21</v>
          </cell>
          <cell r="C1702" t="str">
            <v>DV_TOTALD</v>
          </cell>
          <cell r="D1702" t="str">
            <v>BARRIO EL BOSQUE</v>
          </cell>
          <cell r="E1702"/>
          <cell r="F1702"/>
          <cell r="G1702" t="str">
            <v>ML</v>
          </cell>
          <cell r="H1702">
            <v>2</v>
          </cell>
          <cell r="I1702">
            <v>102.38</v>
          </cell>
          <cell r="L1702">
            <v>102.38</v>
          </cell>
        </row>
        <row r="1703">
          <cell r="B1703" t="str">
            <v>CALLE 96 ENTRE CRA 21-22</v>
          </cell>
          <cell r="C1703" t="str">
            <v>DV_TOTALD</v>
          </cell>
          <cell r="D1703" t="str">
            <v>BARRIO EL BOSQUE</v>
          </cell>
          <cell r="E1703"/>
          <cell r="F1703"/>
          <cell r="G1703" t="str">
            <v>ML</v>
          </cell>
          <cell r="H1703">
            <v>2</v>
          </cell>
          <cell r="I1703">
            <v>101.4</v>
          </cell>
          <cell r="L1703">
            <v>101.4</v>
          </cell>
        </row>
        <row r="1704">
          <cell r="B1704" t="str">
            <v>CALLE 95 ENTRE CRA 19-20</v>
          </cell>
          <cell r="C1704" t="str">
            <v>DV_TOTALD</v>
          </cell>
          <cell r="D1704" t="str">
            <v>BARRIO EL BOSQUE</v>
          </cell>
          <cell r="E1704"/>
          <cell r="F1704"/>
          <cell r="G1704" t="str">
            <v>ML</v>
          </cell>
          <cell r="H1704">
            <v>2</v>
          </cell>
          <cell r="I1704">
            <v>99.98</v>
          </cell>
          <cell r="L1704">
            <v>99.98</v>
          </cell>
        </row>
        <row r="1705">
          <cell r="B1705" t="str">
            <v>CALLE 95 ENTRE CRA 20-21</v>
          </cell>
          <cell r="C1705" t="str">
            <v>DV_TOTALD</v>
          </cell>
          <cell r="D1705" t="str">
            <v>BARRIO EL BOSQUE</v>
          </cell>
          <cell r="E1705"/>
          <cell r="F1705"/>
          <cell r="G1705" t="str">
            <v>ML</v>
          </cell>
          <cell r="H1705">
            <v>2</v>
          </cell>
          <cell r="I1705">
            <v>102.15</v>
          </cell>
          <cell r="L1705">
            <v>102.15</v>
          </cell>
        </row>
        <row r="1706">
          <cell r="B1706" t="str">
            <v>CALLE 95 ENTRE CRA 21-22</v>
          </cell>
          <cell r="C1706" t="str">
            <v>DV_TOTALD</v>
          </cell>
          <cell r="D1706" t="str">
            <v>BARRIO EL BOSQUE</v>
          </cell>
          <cell r="E1706"/>
          <cell r="F1706"/>
          <cell r="G1706" t="str">
            <v>ML</v>
          </cell>
          <cell r="H1706">
            <v>2</v>
          </cell>
          <cell r="I1706">
            <v>100.63</v>
          </cell>
          <cell r="L1706">
            <v>100.63</v>
          </cell>
        </row>
        <row r="1707">
          <cell r="B1707" t="str">
            <v>CALLE 94 ENTRE CRA 19-20</v>
          </cell>
          <cell r="C1707" t="str">
            <v>DV_TOTALD</v>
          </cell>
          <cell r="D1707" t="str">
            <v>BARRIO EL BOSQUE</v>
          </cell>
          <cell r="E1707"/>
          <cell r="F1707"/>
          <cell r="G1707" t="str">
            <v>ML</v>
          </cell>
          <cell r="H1707">
            <v>2</v>
          </cell>
          <cell r="I1707">
            <v>102.03</v>
          </cell>
          <cell r="L1707">
            <v>204.06</v>
          </cell>
        </row>
        <row r="1708">
          <cell r="B1708" t="str">
            <v>CALLE 94 ENTRE CRA 20-21</v>
          </cell>
          <cell r="C1708" t="str">
            <v>DV_TOTALD</v>
          </cell>
          <cell r="D1708" t="str">
            <v>BARRIO EL BOSQUE</v>
          </cell>
          <cell r="E1708"/>
          <cell r="F1708"/>
          <cell r="G1708" t="str">
            <v>ML</v>
          </cell>
          <cell r="H1708">
            <v>2</v>
          </cell>
          <cell r="I1708">
            <v>98.36</v>
          </cell>
          <cell r="L1708">
            <v>196.72</v>
          </cell>
        </row>
        <row r="1709">
          <cell r="B1709" t="str">
            <v>CALLE 94 ENTRE CRA 21-22</v>
          </cell>
          <cell r="C1709" t="str">
            <v>DV_TOTALD</v>
          </cell>
          <cell r="D1709" t="str">
            <v>BARRIO EL BOSQUE</v>
          </cell>
          <cell r="E1709"/>
          <cell r="F1709"/>
          <cell r="G1709" t="str">
            <v>ML</v>
          </cell>
          <cell r="H1709">
            <v>2</v>
          </cell>
          <cell r="I1709">
            <v>100.79</v>
          </cell>
          <cell r="L1709">
            <v>201.58</v>
          </cell>
        </row>
        <row r="1710">
          <cell r="B1710" t="str">
            <v>CALLE 93 ENTRE CRA 15-17A</v>
          </cell>
          <cell r="C1710" t="str">
            <v>DV_TOTALD</v>
          </cell>
          <cell r="D1710" t="str">
            <v>BARRIO EL BOSQUE</v>
          </cell>
          <cell r="E1710"/>
          <cell r="F1710"/>
          <cell r="G1710" t="str">
            <v>ML</v>
          </cell>
          <cell r="H1710">
            <v>2</v>
          </cell>
          <cell r="I1710">
            <v>105.65</v>
          </cell>
          <cell r="L1710">
            <v>211.3</v>
          </cell>
        </row>
        <row r="1711">
          <cell r="B1711" t="str">
            <v>CALLE 93 ENTRE CRA 17A-19</v>
          </cell>
          <cell r="C1711" t="str">
            <v>DV_TOTALD</v>
          </cell>
          <cell r="D1711" t="str">
            <v>BARRIO EL BOSQUE</v>
          </cell>
          <cell r="E1711"/>
          <cell r="F1711"/>
          <cell r="G1711" t="str">
            <v>ML</v>
          </cell>
          <cell r="H1711">
            <v>2</v>
          </cell>
          <cell r="I1711">
            <v>71.7</v>
          </cell>
          <cell r="L1711">
            <v>143.4</v>
          </cell>
        </row>
        <row r="1712">
          <cell r="B1712" t="str">
            <v>CALLE 93 ENTRE CRA 19-20</v>
          </cell>
          <cell r="C1712" t="str">
            <v>DV_TOTALD</v>
          </cell>
          <cell r="D1712" t="str">
            <v>BARRIO EL BOSQUE</v>
          </cell>
          <cell r="E1712"/>
          <cell r="F1712"/>
          <cell r="G1712" t="str">
            <v>ML</v>
          </cell>
          <cell r="H1712">
            <v>2</v>
          </cell>
          <cell r="I1712">
            <v>101.82</v>
          </cell>
          <cell r="L1712">
            <v>203.64</v>
          </cell>
        </row>
        <row r="1713">
          <cell r="B1713" t="str">
            <v>CALLE 93 ENTRE CRA 20-21</v>
          </cell>
          <cell r="C1713" t="str">
            <v>DV_TOTALD</v>
          </cell>
          <cell r="D1713" t="str">
            <v>BARRIO EL BOSQUE</v>
          </cell>
          <cell r="E1713"/>
          <cell r="F1713"/>
          <cell r="G1713" t="str">
            <v>ML</v>
          </cell>
          <cell r="H1713">
            <v>2</v>
          </cell>
          <cell r="I1713">
            <v>99.53</v>
          </cell>
          <cell r="L1713">
            <v>199.06</v>
          </cell>
        </row>
        <row r="1714">
          <cell r="B1714" t="str">
            <v>CALLE 93 ENTRE CRA 21-22</v>
          </cell>
          <cell r="C1714" t="str">
            <v>DV_TOTALD</v>
          </cell>
          <cell r="D1714" t="str">
            <v>BARRIO EL BOSQUE</v>
          </cell>
          <cell r="E1714"/>
          <cell r="F1714"/>
          <cell r="G1714" t="str">
            <v>ML</v>
          </cell>
          <cell r="H1714">
            <v>2</v>
          </cell>
          <cell r="I1714">
            <v>103.29</v>
          </cell>
          <cell r="L1714">
            <v>206.58</v>
          </cell>
        </row>
        <row r="1715">
          <cell r="B1715" t="str">
            <v>CARRERA 17 ENTRE CALLE 94 Y 95</v>
          </cell>
          <cell r="C1715" t="str">
            <v>DV_TOTALD</v>
          </cell>
          <cell r="D1715" t="str">
            <v>BARRIO EL BOSQUE</v>
          </cell>
          <cell r="E1715"/>
          <cell r="F1715"/>
          <cell r="G1715" t="str">
            <v>ML</v>
          </cell>
          <cell r="H1715">
            <v>2</v>
          </cell>
          <cell r="I1715">
            <v>50.06</v>
          </cell>
          <cell r="L1715">
            <v>100.12</v>
          </cell>
        </row>
        <row r="1716">
          <cell r="B1716" t="str">
            <v>CARRERA 17 ENTRE CALLE 95 Y 96</v>
          </cell>
          <cell r="C1716" t="str">
            <v>DV_TOTALD</v>
          </cell>
          <cell r="D1716" t="str">
            <v>BARRIO EL BOSQUE</v>
          </cell>
          <cell r="E1716"/>
          <cell r="F1716"/>
          <cell r="G1716" t="str">
            <v>ML</v>
          </cell>
          <cell r="H1716">
            <v>2</v>
          </cell>
          <cell r="I1716">
            <v>40.24</v>
          </cell>
          <cell r="L1716">
            <v>80.48</v>
          </cell>
        </row>
        <row r="1717">
          <cell r="B1717" t="str">
            <v>CARRERA 17 ENTRE CALLE 96 Y 96A</v>
          </cell>
          <cell r="C1717" t="str">
            <v>DV_TOTALD</v>
          </cell>
          <cell r="D1717" t="str">
            <v>BARRIO EL BOSQUE</v>
          </cell>
          <cell r="E1717"/>
          <cell r="F1717"/>
          <cell r="G1717" t="str">
            <v>ML</v>
          </cell>
          <cell r="H1717">
            <v>2</v>
          </cell>
          <cell r="I1717">
            <v>46.44</v>
          </cell>
          <cell r="L1717">
            <v>46.44</v>
          </cell>
        </row>
        <row r="1718">
          <cell r="B1718" t="str">
            <v>CARRERA 17 ENTRE CALLE 96A Y 97</v>
          </cell>
          <cell r="C1718" t="str">
            <v>DV_TOTALD</v>
          </cell>
          <cell r="D1718" t="str">
            <v>BARRIO EL BOSQUE</v>
          </cell>
          <cell r="E1718"/>
          <cell r="F1718"/>
          <cell r="G1718" t="str">
            <v>ML</v>
          </cell>
          <cell r="H1718">
            <v>2</v>
          </cell>
          <cell r="I1718">
            <v>40.380000000000003</v>
          </cell>
          <cell r="L1718">
            <v>40.380000000000003</v>
          </cell>
        </row>
        <row r="1719">
          <cell r="B1719" t="str">
            <v>CARRERA 17 ENTRE CALLE 97 Y 97A</v>
          </cell>
          <cell r="C1719" t="str">
            <v>DV_TOTALD</v>
          </cell>
          <cell r="D1719" t="str">
            <v>BARRIO EL BOSQUE</v>
          </cell>
          <cell r="E1719"/>
          <cell r="F1719"/>
          <cell r="G1719" t="str">
            <v>ML</v>
          </cell>
          <cell r="H1719">
            <v>2</v>
          </cell>
          <cell r="I1719">
            <v>51.63</v>
          </cell>
          <cell r="L1719">
            <v>51.63</v>
          </cell>
        </row>
        <row r="1720">
          <cell r="B1720" t="str">
            <v>CARRERA 20 ENTRE CALLE 93 Y 94</v>
          </cell>
          <cell r="C1720" t="str">
            <v>DV_TOTALD</v>
          </cell>
          <cell r="D1720" t="str">
            <v>BARRIO EL BOSQUE</v>
          </cell>
          <cell r="E1720"/>
          <cell r="F1720"/>
          <cell r="G1720" t="str">
            <v>ML</v>
          </cell>
          <cell r="H1720">
            <v>2</v>
          </cell>
          <cell r="I1720">
            <v>28.89</v>
          </cell>
          <cell r="L1720">
            <v>28.89</v>
          </cell>
        </row>
        <row r="1721">
          <cell r="B1721" t="str">
            <v>CARRERA 20 ENTRE CALLE 94 Y 95</v>
          </cell>
          <cell r="C1721" t="str">
            <v>DV_TOTALD</v>
          </cell>
          <cell r="D1721" t="str">
            <v>BARRIO EL BOSQUE</v>
          </cell>
          <cell r="E1721"/>
          <cell r="F1721"/>
          <cell r="G1721" t="str">
            <v>ML</v>
          </cell>
          <cell r="H1721">
            <v>2</v>
          </cell>
          <cell r="I1721">
            <v>39.590000000000003</v>
          </cell>
          <cell r="L1721">
            <v>39.590000000000003</v>
          </cell>
        </row>
        <row r="1722">
          <cell r="B1722" t="str">
            <v>CARRERA 20 ENTRE CALLE 95 Y 96</v>
          </cell>
          <cell r="C1722" t="str">
            <v>DV_TOTALD</v>
          </cell>
          <cell r="D1722" t="str">
            <v>BARRIO EL BOSQUE</v>
          </cell>
          <cell r="E1722"/>
          <cell r="F1722"/>
          <cell r="G1722" t="str">
            <v>ML</v>
          </cell>
          <cell r="H1722">
            <v>2</v>
          </cell>
          <cell r="I1722">
            <v>41.77</v>
          </cell>
          <cell r="L1722">
            <v>41.77</v>
          </cell>
        </row>
        <row r="1723">
          <cell r="B1723" t="str">
            <v>CARRERA 20 ENTRE CALLE 96 Y 96A</v>
          </cell>
          <cell r="C1723" t="str">
            <v>DV_TOTALD</v>
          </cell>
          <cell r="D1723" t="str">
            <v>BARRIO EL BOSQUE</v>
          </cell>
          <cell r="E1723"/>
          <cell r="F1723"/>
          <cell r="G1723" t="str">
            <v>ML</v>
          </cell>
          <cell r="H1723">
            <v>2</v>
          </cell>
          <cell r="I1723">
            <v>42.25</v>
          </cell>
          <cell r="L1723">
            <v>42.25</v>
          </cell>
        </row>
        <row r="1724">
          <cell r="B1724" t="str">
            <v>CARRERA 20 ENTRE CALLE 96A Y 97</v>
          </cell>
          <cell r="C1724" t="str">
            <v>DV_TOTALD</v>
          </cell>
          <cell r="D1724" t="str">
            <v>BARRIO EL BOSQUE</v>
          </cell>
          <cell r="E1724"/>
          <cell r="F1724"/>
          <cell r="G1724" t="str">
            <v>ML</v>
          </cell>
          <cell r="H1724">
            <v>2</v>
          </cell>
          <cell r="I1724">
            <v>41.33</v>
          </cell>
          <cell r="L1724">
            <v>41.33</v>
          </cell>
        </row>
        <row r="1725">
          <cell r="B1725" t="str">
            <v>CARRERA 20 ENTRE CALLE 97 Y 97A</v>
          </cell>
          <cell r="C1725" t="str">
            <v>DV_TOTALD</v>
          </cell>
          <cell r="D1725" t="str">
            <v>BARRIO EL BOSQUE</v>
          </cell>
          <cell r="E1725"/>
          <cell r="F1725"/>
          <cell r="G1725" t="str">
            <v>ML</v>
          </cell>
          <cell r="H1725">
            <v>2</v>
          </cell>
          <cell r="I1725">
            <v>54</v>
          </cell>
          <cell r="L1725">
            <v>108</v>
          </cell>
        </row>
        <row r="1726">
          <cell r="B1726" t="str">
            <v>CARRERA 21 ENTRE CALLE 93 Y 94</v>
          </cell>
          <cell r="C1726" t="str">
            <v>DV_TOTALD</v>
          </cell>
          <cell r="D1726" t="str">
            <v>BARRIO EL BOSQUE</v>
          </cell>
          <cell r="E1726"/>
          <cell r="F1726"/>
          <cell r="G1726" t="str">
            <v>ML</v>
          </cell>
          <cell r="H1726">
            <v>2</v>
          </cell>
          <cell r="I1726">
            <v>32.44</v>
          </cell>
          <cell r="L1726">
            <v>64.88</v>
          </cell>
        </row>
        <row r="1727">
          <cell r="B1727" t="str">
            <v>CARRERA 21 ENTRE CALLE 94 Y 95</v>
          </cell>
          <cell r="C1727" t="str">
            <v>DV_TOTALD</v>
          </cell>
          <cell r="D1727" t="str">
            <v>BARRIO EL BOSQUE</v>
          </cell>
          <cell r="E1727"/>
          <cell r="F1727"/>
          <cell r="G1727" t="str">
            <v>ML</v>
          </cell>
          <cell r="H1727">
            <v>2</v>
          </cell>
          <cell r="I1727">
            <v>40.58</v>
          </cell>
          <cell r="L1727">
            <v>81.16</v>
          </cell>
        </row>
        <row r="1728">
          <cell r="B1728" t="str">
            <v>CARRERA 21 ENTRE CALLE 95 Y 96</v>
          </cell>
          <cell r="C1728" t="str">
            <v>DV_TOTALD</v>
          </cell>
          <cell r="D1728" t="str">
            <v>BARRIO EL BOSQUE</v>
          </cell>
          <cell r="E1728"/>
          <cell r="F1728"/>
          <cell r="G1728" t="str">
            <v>ML</v>
          </cell>
          <cell r="H1728">
            <v>2</v>
          </cell>
          <cell r="I1728">
            <v>42.43</v>
          </cell>
          <cell r="L1728">
            <v>84.86</v>
          </cell>
        </row>
        <row r="1729">
          <cell r="B1729" t="str">
            <v>CARRERA 21 ENTRE CALLE 96 Y 96A</v>
          </cell>
          <cell r="C1729" t="str">
            <v>DV_TOTALD</v>
          </cell>
          <cell r="D1729" t="str">
            <v>BARRIO EL BOSQUE</v>
          </cell>
          <cell r="E1729"/>
          <cell r="F1729"/>
          <cell r="G1729" t="str">
            <v>ML</v>
          </cell>
          <cell r="H1729">
            <v>2</v>
          </cell>
          <cell r="I1729">
            <v>40.01</v>
          </cell>
          <cell r="L1729">
            <v>80.02</v>
          </cell>
        </row>
        <row r="1730">
          <cell r="B1730" t="str">
            <v>CARRERA 21 ENTRE CALLE 96A Y 97</v>
          </cell>
          <cell r="C1730" t="str">
            <v>DV_TOTALD</v>
          </cell>
          <cell r="D1730" t="str">
            <v>BARRIO EL BOSQUE</v>
          </cell>
          <cell r="E1730"/>
          <cell r="F1730"/>
          <cell r="G1730" t="str">
            <v>ML</v>
          </cell>
          <cell r="H1730">
            <v>2</v>
          </cell>
          <cell r="I1730">
            <v>42.87</v>
          </cell>
          <cell r="L1730">
            <v>85.74</v>
          </cell>
        </row>
        <row r="1731">
          <cell r="B1731" t="str">
            <v>CARRERA 21 ENTRE CALLE 97 Y 97A</v>
          </cell>
          <cell r="C1731" t="str">
            <v>DV_TOTALD</v>
          </cell>
          <cell r="D1731" t="str">
            <v>BARRIO EL BOSQUE</v>
          </cell>
          <cell r="E1731"/>
          <cell r="F1731"/>
          <cell r="G1731" t="str">
            <v>ML</v>
          </cell>
          <cell r="H1731">
            <v>2</v>
          </cell>
          <cell r="I1731">
            <v>52.73</v>
          </cell>
          <cell r="L1731">
            <v>105.46</v>
          </cell>
        </row>
        <row r="1732">
          <cell r="B1732" t="str">
            <v>CLL 110-CRA 14-14A</v>
          </cell>
          <cell r="C1732" t="str">
            <v>DV_TOTALE</v>
          </cell>
          <cell r="D1732" t="str">
            <v>BARRIO JESUS MORA CALLE 110</v>
          </cell>
          <cell r="E1732"/>
          <cell r="F1732"/>
          <cell r="G1732" t="str">
            <v>ML</v>
          </cell>
          <cell r="H1732">
            <v>2</v>
          </cell>
          <cell r="I1732">
            <v>68.86</v>
          </cell>
          <cell r="L1732">
            <v>137.72</v>
          </cell>
        </row>
        <row r="1733">
          <cell r="B1733" t="str">
            <v>CLL 110-CRA 14A-15</v>
          </cell>
          <cell r="C1733" t="str">
            <v>DV_TOTALE</v>
          </cell>
          <cell r="D1733" t="str">
            <v>BARRIO JESUS MORA CALLE 110</v>
          </cell>
          <cell r="E1733"/>
          <cell r="F1733"/>
          <cell r="G1733" t="str">
            <v>ML</v>
          </cell>
          <cell r="H1733">
            <v>2</v>
          </cell>
          <cell r="I1733">
            <v>52.429999999999993</v>
          </cell>
          <cell r="L1733">
            <v>104.85999999999999</v>
          </cell>
        </row>
        <row r="1734">
          <cell r="B1734" t="str">
            <v>CLL 110 CRA 15-16</v>
          </cell>
          <cell r="C1734" t="str">
            <v>DV_TOTALE</v>
          </cell>
          <cell r="D1734" t="str">
            <v>BARRIO JESUS MORA CALLE 110</v>
          </cell>
          <cell r="E1734"/>
          <cell r="F1734"/>
          <cell r="G1734" t="str">
            <v>ML</v>
          </cell>
          <cell r="H1734">
            <v>2</v>
          </cell>
          <cell r="I1734">
            <v>114.43999999999998</v>
          </cell>
          <cell r="L1734">
            <v>228.87999999999997</v>
          </cell>
        </row>
        <row r="1735">
          <cell r="B1735" t="str">
            <v>CLL 110 CRA 16-17</v>
          </cell>
          <cell r="C1735" t="str">
            <v>DV_TOTALE</v>
          </cell>
          <cell r="D1735" t="str">
            <v>BARRIO JESUS MORA CALLE 110</v>
          </cell>
          <cell r="E1735"/>
          <cell r="F1735"/>
          <cell r="G1735" t="str">
            <v>ML</v>
          </cell>
          <cell r="H1735">
            <v>2</v>
          </cell>
          <cell r="I1735">
            <v>73.349999999999994</v>
          </cell>
          <cell r="L1735">
            <v>146.69999999999999</v>
          </cell>
        </row>
        <row r="1736">
          <cell r="B1736" t="str">
            <v>CLL 110 CRA 17-18</v>
          </cell>
          <cell r="C1736" t="str">
            <v>DV_TOTALE</v>
          </cell>
          <cell r="D1736" t="str">
            <v>BARRIO JESUS MORA CALLE 110</v>
          </cell>
          <cell r="E1736"/>
          <cell r="F1736"/>
          <cell r="G1736" t="str">
            <v>ML</v>
          </cell>
          <cell r="H1736">
            <v>2</v>
          </cell>
          <cell r="I1736">
            <v>120.88</v>
          </cell>
          <cell r="L1736">
            <v>241.76</v>
          </cell>
        </row>
        <row r="1737">
          <cell r="B1737" t="str">
            <v>CLL 110 CRA 18-19</v>
          </cell>
          <cell r="C1737" t="str">
            <v>DV_TOTALE</v>
          </cell>
          <cell r="D1737" t="str">
            <v>BARRIO JESUS MORA CALLE 110</v>
          </cell>
          <cell r="E1737"/>
          <cell r="F1737"/>
          <cell r="G1737" t="str">
            <v>ML</v>
          </cell>
          <cell r="H1737">
            <v>2</v>
          </cell>
          <cell r="I1737">
            <v>175.6</v>
          </cell>
          <cell r="L1737">
            <v>351.2</v>
          </cell>
        </row>
        <row r="1738">
          <cell r="B1738" t="str">
            <v>CLL 110 CRA 19-19A</v>
          </cell>
          <cell r="C1738" t="str">
            <v>DV_TOTALE</v>
          </cell>
          <cell r="D1738" t="str">
            <v>BARRIO JESUS MORA CALLE 110</v>
          </cell>
          <cell r="E1738"/>
          <cell r="F1738"/>
          <cell r="G1738" t="str">
            <v>ML</v>
          </cell>
          <cell r="H1738">
            <v>2</v>
          </cell>
          <cell r="I1738">
            <v>32.76</v>
          </cell>
          <cell r="L1738">
            <v>65.52</v>
          </cell>
        </row>
        <row r="1739">
          <cell r="B1739" t="str">
            <v>CLL 110 CRA 19A-20</v>
          </cell>
          <cell r="C1739" t="str">
            <v>DV_TOTALE</v>
          </cell>
          <cell r="D1739" t="str">
            <v>BARRIO JESUS MORA CALLE 110</v>
          </cell>
          <cell r="E1739"/>
          <cell r="F1739"/>
          <cell r="G1739" t="str">
            <v>ML</v>
          </cell>
          <cell r="H1739">
            <v>2</v>
          </cell>
          <cell r="I1739">
            <v>36.520000000000003</v>
          </cell>
          <cell r="L1739">
            <v>73.040000000000006</v>
          </cell>
        </row>
        <row r="1740">
          <cell r="B1740" t="str">
            <v>CLL 110 CRA 20-20A</v>
          </cell>
          <cell r="C1740" t="str">
            <v>DV_TOTALE</v>
          </cell>
          <cell r="D1740" t="str">
            <v>BARRIO JESUS MORA CALLE 110</v>
          </cell>
          <cell r="E1740"/>
          <cell r="F1740"/>
          <cell r="G1740" t="str">
            <v>ML</v>
          </cell>
          <cell r="H1740">
            <v>2</v>
          </cell>
          <cell r="I1740">
            <v>11.29</v>
          </cell>
          <cell r="L1740">
            <v>22.58</v>
          </cell>
        </row>
        <row r="1741">
          <cell r="B1741" t="str">
            <v>CLL 110 CRA 20-21</v>
          </cell>
          <cell r="C1741" t="str">
            <v>DV_TOTALE</v>
          </cell>
          <cell r="D1741" t="str">
            <v>BARRIO JESUS MORA CALLE 110</v>
          </cell>
          <cell r="E1741"/>
          <cell r="F1741"/>
          <cell r="G1741" t="str">
            <v>ML</v>
          </cell>
          <cell r="H1741">
            <v>2</v>
          </cell>
          <cell r="I1741">
            <v>27.05</v>
          </cell>
          <cell r="L1741">
            <v>54.1</v>
          </cell>
        </row>
        <row r="1742">
          <cell r="B1742" t="str">
            <v>CLL 110 CRA 21-22</v>
          </cell>
          <cell r="C1742" t="str">
            <v>DV_TOTALE</v>
          </cell>
          <cell r="D1742" t="str">
            <v>BARRIO JESUS MORA CALLE 110</v>
          </cell>
          <cell r="E1742"/>
          <cell r="F1742"/>
          <cell r="G1742" t="str">
            <v>ML</v>
          </cell>
          <cell r="H1742">
            <v>2</v>
          </cell>
          <cell r="I1742">
            <v>94.210000000000008</v>
          </cell>
          <cell r="L1742">
            <v>188.42000000000002</v>
          </cell>
        </row>
        <row r="1743">
          <cell r="B1743" t="str">
            <v>CLL 110 CRA 22-23</v>
          </cell>
          <cell r="C1743" t="str">
            <v>DV_TOTALE</v>
          </cell>
          <cell r="D1743" t="str">
            <v>BARRIO JESUS MORA CALLE 110</v>
          </cell>
          <cell r="E1743"/>
          <cell r="F1743"/>
          <cell r="G1743" t="str">
            <v>ML</v>
          </cell>
          <cell r="H1743">
            <v>2</v>
          </cell>
          <cell r="I1743">
            <v>85.78</v>
          </cell>
          <cell r="L1743">
            <v>171.56</v>
          </cell>
        </row>
        <row r="1744">
          <cell r="B1744" t="str">
            <v>CLL 110 CRA 23-24</v>
          </cell>
          <cell r="C1744" t="str">
            <v>DV_TOTALE</v>
          </cell>
          <cell r="D1744" t="str">
            <v>BARRIO JESUS MORA CALLE 110</v>
          </cell>
          <cell r="E1744"/>
          <cell r="F1744"/>
          <cell r="G1744" t="str">
            <v>ML</v>
          </cell>
          <cell r="H1744">
            <v>2</v>
          </cell>
          <cell r="I1744">
            <v>80.75</v>
          </cell>
          <cell r="L1744">
            <v>161.5</v>
          </cell>
        </row>
        <row r="1745">
          <cell r="B1745" t="str">
            <v>CLL 110 CRA 24-25</v>
          </cell>
          <cell r="C1745" t="str">
            <v>DV_TOTALE</v>
          </cell>
          <cell r="D1745" t="str">
            <v>BARRIO JESUS MORA CALLE 110</v>
          </cell>
          <cell r="E1745"/>
          <cell r="F1745"/>
          <cell r="G1745" t="str">
            <v>ML</v>
          </cell>
          <cell r="H1745">
            <v>2</v>
          </cell>
          <cell r="I1745">
            <v>79.25</v>
          </cell>
          <cell r="L1745">
            <v>158.5</v>
          </cell>
        </row>
        <row r="1746">
          <cell r="B1746" t="str">
            <v>CLL 110 CRA 25-26</v>
          </cell>
          <cell r="C1746" t="str">
            <v>DV_TOTALE</v>
          </cell>
          <cell r="D1746" t="str">
            <v>BARRIO JESUS MORA CALLE 110</v>
          </cell>
          <cell r="E1746"/>
          <cell r="F1746"/>
          <cell r="G1746" t="str">
            <v>ML</v>
          </cell>
          <cell r="H1746">
            <v>2</v>
          </cell>
          <cell r="I1746">
            <v>78.599999999999994</v>
          </cell>
          <cell r="L1746">
            <v>157.19999999999999</v>
          </cell>
        </row>
        <row r="1747">
          <cell r="B1747" t="str">
            <v>CLL 110 CRA 26-27</v>
          </cell>
          <cell r="C1747" t="str">
            <v>DV_TOTALE</v>
          </cell>
          <cell r="D1747" t="str">
            <v>BARRIO JESUS MORA CALLE 110</v>
          </cell>
          <cell r="E1747"/>
          <cell r="F1747"/>
          <cell r="G1747" t="str">
            <v>ML</v>
          </cell>
          <cell r="H1747">
            <v>2</v>
          </cell>
          <cell r="I1747">
            <v>79.599999999999994</v>
          </cell>
          <cell r="L1747">
            <v>159.19999999999999</v>
          </cell>
        </row>
        <row r="1748">
          <cell r="B1748" t="str">
            <v>TODAS LAS VIAS</v>
          </cell>
          <cell r="C1748" t="str">
            <v>DV_TOTAL</v>
          </cell>
          <cell r="D1748" t="str">
            <v>TODAS LAS VIAS</v>
          </cell>
          <cell r="E1748"/>
          <cell r="F1748"/>
          <cell r="G1748" t="str">
            <v>ML</v>
          </cell>
          <cell r="H1748">
            <v>520</v>
          </cell>
          <cell r="I1748">
            <v>3</v>
          </cell>
          <cell r="L1748">
            <v>1560</v>
          </cell>
        </row>
        <row r="1749">
          <cell r="J1749" t="str">
            <v>VALOR TOTAL</v>
          </cell>
          <cell r="K1749"/>
          <cell r="L1749">
            <v>15130.629999999994</v>
          </cell>
        </row>
        <row r="1751">
          <cell r="B1751" t="str">
            <v>4.2</v>
          </cell>
          <cell r="C1751" t="str">
            <v>DESCRIPCION</v>
          </cell>
          <cell r="D1751"/>
          <cell r="E1751" t="str">
            <v>LLENO DE CONFINAMIENTO PARA BORDILLO CON MATERIAL GRANULAR DE EXCAVACIÓN NO CONTAMINADO AL 60% Y 40% SUBBASE GRANULAR</v>
          </cell>
          <cell r="F1751"/>
          <cell r="G1751"/>
          <cell r="H1751"/>
          <cell r="I1751" t="str">
            <v>UN</v>
          </cell>
          <cell r="J1751" t="str">
            <v>M3</v>
          </cell>
          <cell r="K1751" t="str">
            <v>CANTIDAD</v>
          </cell>
          <cell r="L1751">
            <v>4237</v>
          </cell>
        </row>
        <row r="1753">
          <cell r="B1753" t="str">
            <v>COD EP</v>
          </cell>
          <cell r="C1753" t="str">
            <v>COD EP</v>
          </cell>
          <cell r="D1753" t="str">
            <v>DESCRIPCION /LOCALIZACION</v>
          </cell>
          <cell r="E1753"/>
          <cell r="F1753"/>
          <cell r="G1753" t="str">
            <v>UNIDAD</v>
          </cell>
          <cell r="H1753" t="str">
            <v>CAN/UN</v>
          </cell>
          <cell r="I1753" t="str">
            <v>LARGO</v>
          </cell>
          <cell r="J1753" t="str">
            <v>ANCHO</v>
          </cell>
          <cell r="K1753" t="str">
            <v>ALTURA</v>
          </cell>
          <cell r="L1753" t="str">
            <v>CAN MED</v>
          </cell>
        </row>
        <row r="1754">
          <cell r="B1754" t="str">
            <v>BORDILLO</v>
          </cell>
          <cell r="C1754"/>
          <cell r="D1754" t="str">
            <v>TODAS LAS VIAS</v>
          </cell>
          <cell r="E1754"/>
          <cell r="F1754"/>
          <cell r="G1754" t="str">
            <v>M3</v>
          </cell>
          <cell r="H1754">
            <v>1</v>
          </cell>
          <cell r="I1754">
            <v>15130.629999999994</v>
          </cell>
          <cell r="J1754">
            <v>1.4</v>
          </cell>
          <cell r="K1754">
            <v>0.2</v>
          </cell>
          <cell r="L1754">
            <v>4236.5763999999981</v>
          </cell>
        </row>
        <row r="1755">
          <cell r="J1755" t="str">
            <v>VALOR TOTAL</v>
          </cell>
          <cell r="K1755"/>
          <cell r="L1755">
            <v>4236.5763999999981</v>
          </cell>
        </row>
        <row r="1757">
          <cell r="B1757" t="str">
            <v>4.3</v>
          </cell>
          <cell r="C1757" t="str">
            <v>DESCRIPCION</v>
          </cell>
          <cell r="D1757"/>
          <cell r="E1757" t="str">
            <v>ANDEN EN CONCRE TEXTURIADO CON TABLETA 20*20 TACTIL Y 10*20 SEÑALIZADO</v>
          </cell>
          <cell r="F1757"/>
          <cell r="G1757"/>
          <cell r="H1757"/>
          <cell r="I1757" t="str">
            <v>UN</v>
          </cell>
          <cell r="J1757" t="str">
            <v>M2</v>
          </cell>
          <cell r="K1757" t="str">
            <v>CANTIDAD</v>
          </cell>
          <cell r="L1757">
            <v>18157</v>
          </cell>
        </row>
        <row r="1759">
          <cell r="B1759" t="str">
            <v>COD EP</v>
          </cell>
          <cell r="C1759" t="str">
            <v>COD EP</v>
          </cell>
          <cell r="D1759" t="str">
            <v>DESCRIPCION /LOCALIZACION</v>
          </cell>
          <cell r="E1759"/>
          <cell r="F1759"/>
          <cell r="G1759" t="str">
            <v>UNIDAD</v>
          </cell>
          <cell r="H1759" t="str">
            <v>CAN/UN</v>
          </cell>
          <cell r="I1759" t="str">
            <v>LARGO</v>
          </cell>
          <cell r="J1759" t="str">
            <v>ANCHO</v>
          </cell>
          <cell r="K1759" t="str">
            <v>ALTURA</v>
          </cell>
          <cell r="L1759" t="str">
            <v>CAN MED</v>
          </cell>
        </row>
        <row r="1760">
          <cell r="B1760" t="str">
            <v>BORDILLO</v>
          </cell>
          <cell r="C1760"/>
          <cell r="D1760" t="str">
            <v>TODAS LAS VIAS</v>
          </cell>
          <cell r="E1760"/>
          <cell r="F1760"/>
          <cell r="G1760" t="str">
            <v>M2</v>
          </cell>
          <cell r="H1760">
            <v>1</v>
          </cell>
          <cell r="I1760">
            <v>15130.629999999994</v>
          </cell>
          <cell r="J1760">
            <v>1.2</v>
          </cell>
          <cell r="L1760">
            <v>18156.75599999999</v>
          </cell>
        </row>
        <row r="1761">
          <cell r="J1761" t="str">
            <v>VALOR TOTAL</v>
          </cell>
          <cell r="K1761"/>
          <cell r="L1761">
            <v>18156.75599999999</v>
          </cell>
        </row>
        <row r="1763">
          <cell r="B1763" t="str">
            <v>4.4</v>
          </cell>
          <cell r="C1763" t="str">
            <v>DESCRIPCION</v>
          </cell>
          <cell r="D1763"/>
          <cell r="E1763" t="str">
            <v>PINTURA TIPO TRAFICO, RESALTOS Y CRUCES CICLORUTA</v>
          </cell>
          <cell r="F1763"/>
          <cell r="G1763"/>
          <cell r="H1763"/>
          <cell r="I1763" t="str">
            <v>UN</v>
          </cell>
          <cell r="J1763" t="str">
            <v>M2</v>
          </cell>
          <cell r="K1763" t="str">
            <v>CANTIDAD</v>
          </cell>
          <cell r="L1763">
            <v>540</v>
          </cell>
        </row>
        <row r="1765">
          <cell r="B1765" t="str">
            <v>COD EP</v>
          </cell>
          <cell r="C1765" t="str">
            <v>COD EP</v>
          </cell>
          <cell r="D1765" t="str">
            <v>DESCRIPCION /LOCALIZACION</v>
          </cell>
          <cell r="E1765"/>
          <cell r="F1765"/>
          <cell r="G1765" t="str">
            <v>UNIDAD</v>
          </cell>
          <cell r="H1765" t="str">
            <v>CAN/UN</v>
          </cell>
          <cell r="I1765" t="str">
            <v>LARGO</v>
          </cell>
          <cell r="J1765" t="str">
            <v>ANCHO</v>
          </cell>
          <cell r="K1765" t="str">
            <v>ALTURA</v>
          </cell>
          <cell r="L1765" t="str">
            <v>CAN MED</v>
          </cell>
        </row>
        <row r="1766">
          <cell r="B1766" t="str">
            <v>CALLE 102C ENTRE CARRERA 19 Y 21</v>
          </cell>
          <cell r="C1766" t="str">
            <v>DV_TOTALA</v>
          </cell>
          <cell r="D1766" t="str">
            <v>BARRIO CIUDADELA INDUSTRIAL</v>
          </cell>
          <cell r="E1766"/>
          <cell r="F1766"/>
          <cell r="G1766" t="str">
            <v>M2</v>
          </cell>
          <cell r="H1766">
            <v>1</v>
          </cell>
          <cell r="I1766">
            <v>6</v>
          </cell>
          <cell r="J1766">
            <v>3</v>
          </cell>
          <cell r="K1766">
            <v>0</v>
          </cell>
          <cell r="L1766">
            <v>18</v>
          </cell>
        </row>
        <row r="1767">
          <cell r="B1767" t="str">
            <v>CALLE 102B ENTRE CARRERA 19 Y 21</v>
          </cell>
          <cell r="C1767" t="str">
            <v>DV_TOTALA</v>
          </cell>
          <cell r="D1767" t="str">
            <v>BARRIO CIUDADELA INDUSTRIAL</v>
          </cell>
          <cell r="E1767"/>
          <cell r="F1767"/>
          <cell r="G1767" t="str">
            <v>M2</v>
          </cell>
          <cell r="H1767">
            <v>1</v>
          </cell>
          <cell r="I1767">
            <v>6</v>
          </cell>
          <cell r="J1767">
            <v>3</v>
          </cell>
          <cell r="K1767">
            <v>0</v>
          </cell>
          <cell r="L1767">
            <v>18</v>
          </cell>
        </row>
        <row r="1768">
          <cell r="B1768" t="str">
            <v>CARRERA 20 ENTRE CALLE 102 B Y 102 D</v>
          </cell>
          <cell r="C1768" t="str">
            <v>DV_TOTALA</v>
          </cell>
          <cell r="D1768" t="str">
            <v>BARRIO CIUDADELA INDUSTRIAL</v>
          </cell>
          <cell r="E1768"/>
          <cell r="F1768"/>
          <cell r="G1768" t="str">
            <v>M2</v>
          </cell>
          <cell r="H1768">
            <v>1</v>
          </cell>
          <cell r="I1768">
            <v>6</v>
          </cell>
          <cell r="J1768">
            <v>3</v>
          </cell>
          <cell r="K1768">
            <v>0</v>
          </cell>
          <cell r="L1768">
            <v>18</v>
          </cell>
        </row>
        <row r="1769">
          <cell r="B1769" t="str">
            <v>CARRERA 21 ENTRE CALLE 102 B Y 102 D</v>
          </cell>
          <cell r="C1769" t="str">
            <v>DV_TOTALA</v>
          </cell>
          <cell r="D1769" t="str">
            <v>BARRIO CIUDADELA INDUSTRIAL</v>
          </cell>
          <cell r="E1769"/>
          <cell r="F1769"/>
          <cell r="G1769" t="str">
            <v>M2</v>
          </cell>
          <cell r="H1769">
            <v>1</v>
          </cell>
          <cell r="I1769">
            <v>6</v>
          </cell>
          <cell r="J1769">
            <v>3</v>
          </cell>
          <cell r="K1769">
            <v>0</v>
          </cell>
          <cell r="L1769">
            <v>18</v>
          </cell>
        </row>
        <row r="1770">
          <cell r="B1770" t="str">
            <v>CALLE 102D ENTRE CARRERA 20 Y 21A</v>
          </cell>
          <cell r="C1770" t="str">
            <v>DV_TOTALA</v>
          </cell>
          <cell r="D1770" t="str">
            <v>BARRIO CIUDADELA INDUSTRIAL</v>
          </cell>
          <cell r="E1770"/>
          <cell r="F1770"/>
          <cell r="G1770" t="str">
            <v>M2</v>
          </cell>
          <cell r="H1770">
            <v>1</v>
          </cell>
          <cell r="I1770">
            <v>6</v>
          </cell>
          <cell r="J1770">
            <v>3</v>
          </cell>
          <cell r="K1770">
            <v>0</v>
          </cell>
          <cell r="L1770">
            <v>18</v>
          </cell>
        </row>
        <row r="1771">
          <cell r="B1771" t="str">
            <v>CALLE 102A ENTRE CARRERA 17 Y 19</v>
          </cell>
          <cell r="C1771" t="str">
            <v>DV_TOTALB</v>
          </cell>
          <cell r="D1771" t="str">
            <v>BARRIO JUAN XXIII</v>
          </cell>
          <cell r="E1771"/>
          <cell r="F1771"/>
          <cell r="G1771" t="str">
            <v>M2</v>
          </cell>
          <cell r="H1771">
            <v>1</v>
          </cell>
          <cell r="I1771">
            <v>6</v>
          </cell>
          <cell r="J1771">
            <v>3</v>
          </cell>
          <cell r="K1771">
            <v>0</v>
          </cell>
          <cell r="L1771">
            <v>18</v>
          </cell>
        </row>
        <row r="1772">
          <cell r="B1772" t="str">
            <v>CALLE 102B ENTRE CARRERA 17 Y 19</v>
          </cell>
          <cell r="C1772" t="str">
            <v>DV_TOTALB</v>
          </cell>
          <cell r="D1772" t="str">
            <v>BARRIO JUAN XXIII</v>
          </cell>
          <cell r="E1772"/>
          <cell r="F1772"/>
          <cell r="G1772" t="str">
            <v>M2</v>
          </cell>
          <cell r="H1772">
            <v>1</v>
          </cell>
          <cell r="I1772">
            <v>6</v>
          </cell>
          <cell r="J1772">
            <v>3</v>
          </cell>
          <cell r="K1772">
            <v>0</v>
          </cell>
          <cell r="L1772">
            <v>18</v>
          </cell>
        </row>
        <row r="1773">
          <cell r="B1773" t="str">
            <v>CALLE 102 ENTRE CARRERA 17 Y 19</v>
          </cell>
          <cell r="C1773" t="str">
            <v>DV_TOTALB</v>
          </cell>
          <cell r="D1773" t="str">
            <v>BARRIO JUAN XXIII</v>
          </cell>
          <cell r="E1773"/>
          <cell r="F1773"/>
          <cell r="G1773" t="str">
            <v>M2</v>
          </cell>
          <cell r="H1773">
            <v>1</v>
          </cell>
          <cell r="I1773">
            <v>6</v>
          </cell>
          <cell r="J1773">
            <v>3</v>
          </cell>
          <cell r="K1773">
            <v>0</v>
          </cell>
          <cell r="L1773">
            <v>18</v>
          </cell>
        </row>
        <row r="1774">
          <cell r="B1774" t="str">
            <v>CALLE 101 ENTRE CARRERA 17 Y 17A</v>
          </cell>
          <cell r="C1774" t="str">
            <v>DV_TOTALB</v>
          </cell>
          <cell r="D1774" t="str">
            <v>BARRIO JUAN XXIII</v>
          </cell>
          <cell r="E1774"/>
          <cell r="F1774"/>
          <cell r="G1774" t="str">
            <v>M2</v>
          </cell>
          <cell r="H1774">
            <v>1</v>
          </cell>
          <cell r="I1774">
            <v>6</v>
          </cell>
          <cell r="J1774">
            <v>3</v>
          </cell>
          <cell r="K1774">
            <v>0</v>
          </cell>
          <cell r="L1774">
            <v>18</v>
          </cell>
        </row>
        <row r="1775">
          <cell r="B1775" t="str">
            <v>CARRERA 17A ENTRE CALLE 101 Y 102</v>
          </cell>
          <cell r="C1775" t="str">
            <v>DV_TOTALB</v>
          </cell>
          <cell r="D1775" t="str">
            <v>BARRIO JUAN XXIII</v>
          </cell>
          <cell r="E1775"/>
          <cell r="F1775"/>
          <cell r="G1775" t="str">
            <v>M2</v>
          </cell>
          <cell r="H1775">
            <v>1</v>
          </cell>
          <cell r="I1775">
            <v>6</v>
          </cell>
          <cell r="J1775">
            <v>3</v>
          </cell>
          <cell r="K1775">
            <v>0</v>
          </cell>
          <cell r="L1775">
            <v>18</v>
          </cell>
        </row>
        <row r="1776">
          <cell r="B1776" t="str">
            <v>CARRERA 17 ENTRE CALLE 100 102B</v>
          </cell>
          <cell r="C1776" t="str">
            <v>DV_TOTALB</v>
          </cell>
          <cell r="D1776" t="str">
            <v>BARRIO JUAN XXIII</v>
          </cell>
          <cell r="E1776"/>
          <cell r="F1776"/>
          <cell r="G1776" t="str">
            <v>M2</v>
          </cell>
          <cell r="H1776">
            <v>1</v>
          </cell>
          <cell r="I1776">
            <v>6</v>
          </cell>
          <cell r="J1776">
            <v>3</v>
          </cell>
          <cell r="K1776">
            <v>0</v>
          </cell>
          <cell r="L1776">
            <v>18</v>
          </cell>
        </row>
        <row r="1777">
          <cell r="B1777" t="str">
            <v>CALLE 99E ENTRE LOTE Y CRA 17</v>
          </cell>
          <cell r="C1777" t="str">
            <v>DV_TOTALC</v>
          </cell>
          <cell r="D1777" t="str">
            <v>BARRIO LAS DELICIAS</v>
          </cell>
          <cell r="E1777"/>
          <cell r="F1777"/>
          <cell r="G1777" t="str">
            <v>M2</v>
          </cell>
          <cell r="H1777">
            <v>1</v>
          </cell>
          <cell r="I1777">
            <v>6</v>
          </cell>
          <cell r="J1777">
            <v>3</v>
          </cell>
          <cell r="K1777">
            <v>0</v>
          </cell>
          <cell r="L1777">
            <v>18</v>
          </cell>
        </row>
        <row r="1778">
          <cell r="B1778" t="str">
            <v>CALLE 99D ENTRE LOTE Y CRA 17</v>
          </cell>
          <cell r="C1778" t="str">
            <v>DV_TOTALC</v>
          </cell>
          <cell r="D1778" t="str">
            <v>BARRIO LAS DELICIAS</v>
          </cell>
          <cell r="E1778"/>
          <cell r="F1778"/>
          <cell r="G1778" t="str">
            <v>M2</v>
          </cell>
          <cell r="H1778">
            <v>1</v>
          </cell>
          <cell r="I1778">
            <v>6</v>
          </cell>
          <cell r="J1778">
            <v>3</v>
          </cell>
          <cell r="K1778">
            <v>0</v>
          </cell>
          <cell r="L1778">
            <v>18</v>
          </cell>
        </row>
        <row r="1779">
          <cell r="B1779" t="str">
            <v>CALLE 99C ENTRE LOTE Y CRA 17</v>
          </cell>
          <cell r="C1779" t="str">
            <v>DV_TOTALC</v>
          </cell>
          <cell r="D1779" t="str">
            <v>BARRIO LAS DELICIAS</v>
          </cell>
          <cell r="E1779"/>
          <cell r="F1779"/>
          <cell r="G1779" t="str">
            <v>M2</v>
          </cell>
          <cell r="H1779">
            <v>1</v>
          </cell>
          <cell r="I1779">
            <v>6</v>
          </cell>
          <cell r="J1779">
            <v>3</v>
          </cell>
          <cell r="K1779">
            <v>0</v>
          </cell>
          <cell r="L1779">
            <v>18</v>
          </cell>
        </row>
        <row r="1780">
          <cell r="B1780" t="str">
            <v>CALLE 99B ENTRE LOTE Y CRA 17</v>
          </cell>
          <cell r="C1780" t="str">
            <v>DV_TOTALC</v>
          </cell>
          <cell r="D1780" t="str">
            <v>BARRIO LAS DELICIAS</v>
          </cell>
          <cell r="E1780"/>
          <cell r="F1780"/>
          <cell r="G1780" t="str">
            <v>M2</v>
          </cell>
          <cell r="H1780">
            <v>1</v>
          </cell>
          <cell r="I1780">
            <v>6</v>
          </cell>
          <cell r="J1780">
            <v>3</v>
          </cell>
          <cell r="K1780">
            <v>0</v>
          </cell>
          <cell r="L1780">
            <v>18</v>
          </cell>
        </row>
        <row r="1781">
          <cell r="B1781" t="str">
            <v>CALLE 99A ENTRE LOTE Y CRA 17</v>
          </cell>
          <cell r="C1781" t="str">
            <v>DV_TOTALC</v>
          </cell>
          <cell r="D1781" t="str">
            <v>BARRIO LAS DELICIAS</v>
          </cell>
          <cell r="E1781"/>
          <cell r="F1781"/>
          <cell r="G1781" t="str">
            <v>M2</v>
          </cell>
          <cell r="H1781">
            <v>1</v>
          </cell>
          <cell r="I1781">
            <v>6</v>
          </cell>
          <cell r="J1781">
            <v>3</v>
          </cell>
          <cell r="K1781">
            <v>0</v>
          </cell>
          <cell r="L1781">
            <v>18</v>
          </cell>
        </row>
        <row r="1782">
          <cell r="B1782" t="str">
            <v>CALLE 99AA ENTRE LOTE Y CRA 17</v>
          </cell>
          <cell r="C1782" t="str">
            <v>DV_TOTALC</v>
          </cell>
          <cell r="D1782" t="str">
            <v>BARRIO LAS DELICIAS</v>
          </cell>
          <cell r="E1782"/>
          <cell r="F1782"/>
          <cell r="G1782" t="str">
            <v>M2</v>
          </cell>
          <cell r="H1782">
            <v>1</v>
          </cell>
          <cell r="I1782">
            <v>6</v>
          </cell>
          <cell r="J1782">
            <v>3</v>
          </cell>
          <cell r="K1782">
            <v>0</v>
          </cell>
          <cell r="L1782">
            <v>18</v>
          </cell>
        </row>
        <row r="1783">
          <cell r="B1783" t="str">
            <v>CARRERA 17 ENTRE CALL 99 Y 100</v>
          </cell>
          <cell r="C1783" t="str">
            <v>DV_TOTALC</v>
          </cell>
          <cell r="D1783" t="str">
            <v>BARRIO LAS DELICIAS</v>
          </cell>
          <cell r="E1783"/>
          <cell r="F1783"/>
          <cell r="G1783" t="str">
            <v>M2</v>
          </cell>
          <cell r="H1783">
            <v>1</v>
          </cell>
          <cell r="I1783">
            <v>6</v>
          </cell>
          <cell r="J1783">
            <v>3</v>
          </cell>
          <cell r="K1783">
            <v>0</v>
          </cell>
          <cell r="L1783">
            <v>18</v>
          </cell>
        </row>
        <row r="1784">
          <cell r="B1784" t="str">
            <v>CARRERA 17A ENTRE CALL 99 Y 100</v>
          </cell>
          <cell r="C1784" t="str">
            <v>DV_TOTALC</v>
          </cell>
          <cell r="D1784" t="str">
            <v>BARRIO LAS DELICIAS</v>
          </cell>
          <cell r="E1784"/>
          <cell r="F1784"/>
          <cell r="G1784" t="str">
            <v>M2</v>
          </cell>
          <cell r="H1784">
            <v>1</v>
          </cell>
          <cell r="I1784">
            <v>6</v>
          </cell>
          <cell r="J1784">
            <v>3</v>
          </cell>
          <cell r="K1784">
            <v>0</v>
          </cell>
          <cell r="L1784">
            <v>18</v>
          </cell>
        </row>
        <row r="1785">
          <cell r="B1785" t="str">
            <v>CALLE 97A ENTRE 19 Y 23</v>
          </cell>
          <cell r="C1785" t="str">
            <v>DV_TOTALD</v>
          </cell>
          <cell r="D1785" t="str">
            <v>BARRIO EL BOSQUE</v>
          </cell>
          <cell r="E1785"/>
          <cell r="F1785"/>
          <cell r="G1785" t="str">
            <v>M2</v>
          </cell>
          <cell r="H1785">
            <v>1</v>
          </cell>
          <cell r="I1785">
            <v>6</v>
          </cell>
          <cell r="J1785">
            <v>3</v>
          </cell>
          <cell r="K1785">
            <v>0</v>
          </cell>
          <cell r="L1785">
            <v>18</v>
          </cell>
        </row>
        <row r="1786">
          <cell r="B1786" t="str">
            <v>CALLE 97 ENTRE 19 Y 23</v>
          </cell>
          <cell r="C1786" t="str">
            <v>DV_TOTALD</v>
          </cell>
          <cell r="D1786" t="str">
            <v>BARRIO EL BOSQUE</v>
          </cell>
          <cell r="E1786"/>
          <cell r="F1786"/>
          <cell r="G1786" t="str">
            <v>M2</v>
          </cell>
          <cell r="H1786">
            <v>1</v>
          </cell>
          <cell r="I1786">
            <v>6</v>
          </cell>
          <cell r="J1786">
            <v>3</v>
          </cell>
          <cell r="K1786">
            <v>0</v>
          </cell>
          <cell r="L1786">
            <v>18</v>
          </cell>
        </row>
        <row r="1787">
          <cell r="B1787" t="str">
            <v>CALLE 96A ENTRE 19 Y 23</v>
          </cell>
          <cell r="C1787" t="str">
            <v>DV_TOTALD</v>
          </cell>
          <cell r="D1787" t="str">
            <v>BARRIO EL BOSQUE</v>
          </cell>
          <cell r="E1787"/>
          <cell r="F1787"/>
          <cell r="G1787" t="str">
            <v>M2</v>
          </cell>
          <cell r="H1787">
            <v>1</v>
          </cell>
          <cell r="I1787">
            <v>6</v>
          </cell>
          <cell r="J1787">
            <v>3</v>
          </cell>
          <cell r="K1787">
            <v>0</v>
          </cell>
          <cell r="L1787">
            <v>18</v>
          </cell>
        </row>
        <row r="1788">
          <cell r="B1788" t="str">
            <v>CALLE 96 ENTRE 19 Y 23</v>
          </cell>
          <cell r="C1788" t="str">
            <v>DV_TOTALD</v>
          </cell>
          <cell r="D1788" t="str">
            <v>BARRIO EL BOSQUE</v>
          </cell>
          <cell r="E1788"/>
          <cell r="F1788"/>
          <cell r="G1788" t="str">
            <v>M2</v>
          </cell>
          <cell r="H1788">
            <v>1</v>
          </cell>
          <cell r="I1788">
            <v>6</v>
          </cell>
          <cell r="J1788">
            <v>3</v>
          </cell>
          <cell r="K1788">
            <v>0</v>
          </cell>
          <cell r="L1788">
            <v>18</v>
          </cell>
        </row>
        <row r="1789">
          <cell r="B1789" t="str">
            <v>CALLE 95 ENTRE 19 Y 23</v>
          </cell>
          <cell r="C1789" t="str">
            <v>DV_TOTALD</v>
          </cell>
          <cell r="D1789" t="str">
            <v>BARRIO EL BOSQUE</v>
          </cell>
          <cell r="E1789"/>
          <cell r="F1789"/>
          <cell r="G1789" t="str">
            <v>M2</v>
          </cell>
          <cell r="H1789">
            <v>1</v>
          </cell>
          <cell r="I1789">
            <v>6</v>
          </cell>
          <cell r="J1789">
            <v>3</v>
          </cell>
          <cell r="K1789">
            <v>0</v>
          </cell>
          <cell r="L1789">
            <v>18</v>
          </cell>
        </row>
        <row r="1790">
          <cell r="B1790" t="str">
            <v>CALLE 94 ENTRE 19 Y 23</v>
          </cell>
          <cell r="C1790" t="str">
            <v>DV_TOTALD</v>
          </cell>
          <cell r="D1790" t="str">
            <v>BARRIO EL BOSQUE</v>
          </cell>
          <cell r="E1790"/>
          <cell r="F1790"/>
          <cell r="G1790" t="str">
            <v>M2</v>
          </cell>
          <cell r="H1790">
            <v>1</v>
          </cell>
          <cell r="I1790">
            <v>6</v>
          </cell>
          <cell r="J1790">
            <v>3</v>
          </cell>
          <cell r="K1790">
            <v>0</v>
          </cell>
          <cell r="L1790">
            <v>18</v>
          </cell>
        </row>
        <row r="1791">
          <cell r="B1791" t="str">
            <v>CALLE 93 ENTRE 15 Y 23</v>
          </cell>
          <cell r="C1791" t="str">
            <v>DV_TOTALD</v>
          </cell>
          <cell r="D1791" t="str">
            <v>BARRIO EL BOSQUE</v>
          </cell>
          <cell r="E1791"/>
          <cell r="F1791"/>
          <cell r="G1791" t="str">
            <v>M2</v>
          </cell>
          <cell r="H1791">
            <v>1</v>
          </cell>
          <cell r="I1791">
            <v>6</v>
          </cell>
          <cell r="J1791">
            <v>3</v>
          </cell>
          <cell r="K1791">
            <v>0</v>
          </cell>
          <cell r="L1791">
            <v>18</v>
          </cell>
        </row>
        <row r="1792">
          <cell r="B1792" t="str">
            <v>CARRERA 17 ENTRE CALLE 94 Y 97A</v>
          </cell>
          <cell r="C1792" t="str">
            <v>DV_TOTALD</v>
          </cell>
          <cell r="D1792" t="str">
            <v>BARRIO EL BOSQUE</v>
          </cell>
          <cell r="E1792"/>
          <cell r="F1792"/>
          <cell r="G1792" t="str">
            <v>M2</v>
          </cell>
          <cell r="H1792">
            <v>1</v>
          </cell>
          <cell r="I1792">
            <v>6</v>
          </cell>
          <cell r="J1792">
            <v>3</v>
          </cell>
          <cell r="K1792">
            <v>0</v>
          </cell>
          <cell r="L1792">
            <v>18</v>
          </cell>
        </row>
        <row r="1793">
          <cell r="B1793" t="str">
            <v>CARRERA 20 ENTRE CALLE 93 Y 97A</v>
          </cell>
          <cell r="C1793" t="str">
            <v>DV_TOTALD</v>
          </cell>
          <cell r="D1793" t="str">
            <v>BARRIO EL BOSQUE</v>
          </cell>
          <cell r="E1793"/>
          <cell r="F1793"/>
          <cell r="G1793" t="str">
            <v>M2</v>
          </cell>
          <cell r="H1793">
            <v>1</v>
          </cell>
          <cell r="I1793">
            <v>6</v>
          </cell>
          <cell r="J1793">
            <v>3</v>
          </cell>
          <cell r="K1793">
            <v>0</v>
          </cell>
          <cell r="L1793">
            <v>18</v>
          </cell>
        </row>
        <row r="1794">
          <cell r="B1794" t="str">
            <v>CARRERA 21 ENTRE CALLE 93 Y 97A</v>
          </cell>
          <cell r="C1794" t="str">
            <v>DV_TOTALD</v>
          </cell>
          <cell r="D1794" t="str">
            <v>BARRIO EL BOSQUE</v>
          </cell>
          <cell r="E1794"/>
          <cell r="F1794"/>
          <cell r="G1794" t="str">
            <v>M2</v>
          </cell>
          <cell r="H1794">
            <v>1</v>
          </cell>
          <cell r="I1794">
            <v>6</v>
          </cell>
          <cell r="J1794">
            <v>3</v>
          </cell>
          <cell r="K1794">
            <v>0</v>
          </cell>
          <cell r="L1794">
            <v>18</v>
          </cell>
        </row>
        <row r="1795">
          <cell r="B1795" t="str">
            <v>CALLE 110 ENTRE CARRERA 14 Y 27</v>
          </cell>
          <cell r="C1795" t="str">
            <v>DV_TOTALE</v>
          </cell>
          <cell r="D1795" t="str">
            <v>BARRIO JESUS MORA CALLE 110</v>
          </cell>
          <cell r="E1795"/>
          <cell r="F1795"/>
          <cell r="G1795" t="str">
            <v>M2</v>
          </cell>
          <cell r="H1795">
            <v>1</v>
          </cell>
          <cell r="I1795">
            <v>6</v>
          </cell>
          <cell r="J1795">
            <v>3</v>
          </cell>
          <cell r="K1795">
            <v>0</v>
          </cell>
          <cell r="L1795">
            <v>18</v>
          </cell>
        </row>
        <row r="1796">
          <cell r="B1796"/>
          <cell r="J1796" t="str">
            <v>VALOR TOTAL</v>
          </cell>
          <cell r="K1796"/>
          <cell r="L1796">
            <v>540</v>
          </cell>
        </row>
        <row r="1798">
          <cell r="B1798" t="str">
            <v>4.5</v>
          </cell>
          <cell r="C1798" t="str">
            <v>DESCRIPCION</v>
          </cell>
          <cell r="D1798"/>
          <cell r="E1798" t="str">
            <v>PISO EN LOSETA CUADRATICA PREFABRICADA TACTIL ALERTA, 20*20 E=60 MM-SE INSTALARÁ SOBRE UNA CAPA DE MORTERO 1:4 DE 4CM.</v>
          </cell>
          <cell r="F1798"/>
          <cell r="G1798"/>
          <cell r="H1798"/>
          <cell r="I1798" t="str">
            <v>UN</v>
          </cell>
          <cell r="J1798" t="str">
            <v>m2</v>
          </cell>
          <cell r="K1798" t="str">
            <v>CANTIDAD</v>
          </cell>
          <cell r="L1798">
            <v>124</v>
          </cell>
        </row>
        <row r="1800">
          <cell r="B1800" t="str">
            <v>COD EP</v>
          </cell>
          <cell r="C1800" t="str">
            <v>COD EP</v>
          </cell>
          <cell r="D1800" t="str">
            <v>DESCRIPCION /LOCALIZACION</v>
          </cell>
          <cell r="E1800"/>
          <cell r="F1800"/>
          <cell r="G1800" t="str">
            <v>UNIDAD</v>
          </cell>
          <cell r="H1800" t="str">
            <v>CAN/UN</v>
          </cell>
          <cell r="I1800" t="str">
            <v>LARGO</v>
          </cell>
          <cell r="J1800" t="str">
            <v>ANCHO</v>
          </cell>
          <cell r="K1800" t="str">
            <v>ALTURA</v>
          </cell>
          <cell r="L1800" t="str">
            <v>CAN MED</v>
          </cell>
        </row>
        <row r="1801">
          <cell r="B1801" t="str">
            <v>CALLE 102C ENTRE CARRERA 19 Y 21</v>
          </cell>
          <cell r="C1801" t="str">
            <v>DV_TOTALA</v>
          </cell>
          <cell r="D1801" t="str">
            <v>BARRIO CIUDADELA INDUSTRIAL</v>
          </cell>
          <cell r="E1801"/>
          <cell r="F1801"/>
          <cell r="G1801" t="str">
            <v>M2</v>
          </cell>
          <cell r="H1801">
            <v>2</v>
          </cell>
          <cell r="I1801">
            <v>2</v>
          </cell>
          <cell r="J1801">
            <v>1</v>
          </cell>
          <cell r="K1801">
            <v>0</v>
          </cell>
          <cell r="L1801">
            <v>4</v>
          </cell>
        </row>
        <row r="1802">
          <cell r="B1802" t="str">
            <v>CALLE 102B ENTRE CARRERA 19 Y 21</v>
          </cell>
          <cell r="C1802" t="str">
            <v>DV_TOTALA</v>
          </cell>
          <cell r="D1802" t="str">
            <v>BARRIO CIUDADELA INDUSTRIAL</v>
          </cell>
          <cell r="E1802"/>
          <cell r="F1802"/>
          <cell r="G1802" t="str">
            <v>M2</v>
          </cell>
          <cell r="H1802">
            <v>2</v>
          </cell>
          <cell r="I1802">
            <v>2</v>
          </cell>
          <cell r="J1802">
            <v>1</v>
          </cell>
          <cell r="K1802">
            <v>0</v>
          </cell>
          <cell r="L1802">
            <v>4</v>
          </cell>
        </row>
        <row r="1803">
          <cell r="B1803" t="str">
            <v>CARRERA 20 ENTRE CALLE 102 B Y 102 D</v>
          </cell>
          <cell r="C1803" t="str">
            <v>DV_TOTALA</v>
          </cell>
          <cell r="D1803" t="str">
            <v>BARRIO CIUDADELA INDUSTRIAL</v>
          </cell>
          <cell r="E1803"/>
          <cell r="F1803"/>
          <cell r="G1803" t="str">
            <v>M2</v>
          </cell>
          <cell r="H1803">
            <v>2</v>
          </cell>
          <cell r="I1803">
            <v>2</v>
          </cell>
          <cell r="J1803">
            <v>1</v>
          </cell>
          <cell r="K1803">
            <v>0</v>
          </cell>
          <cell r="L1803">
            <v>4</v>
          </cell>
        </row>
        <row r="1804">
          <cell r="B1804" t="str">
            <v>CARRERA 21 ENTRE CALLE 102 B Y 102 D</v>
          </cell>
          <cell r="C1804" t="str">
            <v>DV_TOTALA</v>
          </cell>
          <cell r="D1804" t="str">
            <v>BARRIO CIUDADELA INDUSTRIAL</v>
          </cell>
          <cell r="E1804"/>
          <cell r="F1804"/>
          <cell r="G1804" t="str">
            <v>M2</v>
          </cell>
          <cell r="H1804">
            <v>2</v>
          </cell>
          <cell r="I1804">
            <v>2</v>
          </cell>
          <cell r="J1804">
            <v>1</v>
          </cell>
          <cell r="K1804">
            <v>0</v>
          </cell>
          <cell r="L1804">
            <v>4</v>
          </cell>
        </row>
        <row r="1805">
          <cell r="B1805" t="str">
            <v>CALLE 102D ENTRE CARRERA 20 Y 21A</v>
          </cell>
          <cell r="C1805" t="str">
            <v>DV_TOTALA</v>
          </cell>
          <cell r="D1805" t="str">
            <v>BARRIO CIUDADELA INDUSTRIAL</v>
          </cell>
          <cell r="E1805"/>
          <cell r="F1805"/>
          <cell r="G1805" t="str">
            <v>M2</v>
          </cell>
          <cell r="H1805">
            <v>2</v>
          </cell>
          <cell r="I1805">
            <v>2</v>
          </cell>
          <cell r="J1805">
            <v>1</v>
          </cell>
          <cell r="K1805">
            <v>0</v>
          </cell>
          <cell r="L1805">
            <v>4</v>
          </cell>
        </row>
        <row r="1806">
          <cell r="B1806" t="str">
            <v>CALLE 102A ENTRE CARRERA 17 Y 19</v>
          </cell>
          <cell r="C1806" t="str">
            <v>DV_TOTALB</v>
          </cell>
          <cell r="D1806" t="str">
            <v>BARRIO JUAN XXIII</v>
          </cell>
          <cell r="E1806"/>
          <cell r="F1806"/>
          <cell r="G1806" t="str">
            <v>M2</v>
          </cell>
          <cell r="H1806">
            <v>2</v>
          </cell>
          <cell r="I1806">
            <v>2</v>
          </cell>
          <cell r="J1806">
            <v>1</v>
          </cell>
          <cell r="K1806">
            <v>0</v>
          </cell>
          <cell r="L1806">
            <v>4</v>
          </cell>
        </row>
        <row r="1807">
          <cell r="B1807" t="str">
            <v>CALLE 102B ENTRE CARRERA 17 Y 19</v>
          </cell>
          <cell r="C1807" t="str">
            <v>DV_TOTALB</v>
          </cell>
          <cell r="D1807" t="str">
            <v>BARRIO JUAN XXIII</v>
          </cell>
          <cell r="E1807"/>
          <cell r="F1807"/>
          <cell r="G1807" t="str">
            <v>M2</v>
          </cell>
          <cell r="H1807">
            <v>2</v>
          </cell>
          <cell r="I1807">
            <v>2</v>
          </cell>
          <cell r="J1807">
            <v>1</v>
          </cell>
          <cell r="K1807">
            <v>0</v>
          </cell>
          <cell r="L1807">
            <v>4</v>
          </cell>
        </row>
        <row r="1808">
          <cell r="B1808" t="str">
            <v>CALLE 102 ENTRE CARRERA 17 Y 19</v>
          </cell>
          <cell r="C1808" t="str">
            <v>DV_TOTALB</v>
          </cell>
          <cell r="D1808" t="str">
            <v>BARRIO JUAN XXIII</v>
          </cell>
          <cell r="E1808"/>
          <cell r="F1808"/>
          <cell r="G1808" t="str">
            <v>M2</v>
          </cell>
          <cell r="H1808">
            <v>2</v>
          </cell>
          <cell r="I1808">
            <v>2</v>
          </cell>
          <cell r="J1808">
            <v>1</v>
          </cell>
          <cell r="K1808">
            <v>0</v>
          </cell>
          <cell r="L1808">
            <v>4</v>
          </cell>
        </row>
        <row r="1809">
          <cell r="B1809" t="str">
            <v>CALLE 101 ENTRE CARRERA 17 Y 17A</v>
          </cell>
          <cell r="C1809" t="str">
            <v>DV_TOTALB</v>
          </cell>
          <cell r="D1809" t="str">
            <v>BARRIO JUAN XXIII</v>
          </cell>
          <cell r="E1809"/>
          <cell r="F1809"/>
          <cell r="G1809" t="str">
            <v>M2</v>
          </cell>
          <cell r="H1809">
            <v>2</v>
          </cell>
          <cell r="I1809">
            <v>2</v>
          </cell>
          <cell r="J1809">
            <v>1</v>
          </cell>
          <cell r="K1809">
            <v>0</v>
          </cell>
          <cell r="L1809">
            <v>4</v>
          </cell>
        </row>
        <row r="1810">
          <cell r="B1810" t="str">
            <v>CARRERA 17A ENTRE CALLE 101 Y 102</v>
          </cell>
          <cell r="C1810" t="str">
            <v>DV_TOTALB</v>
          </cell>
          <cell r="D1810" t="str">
            <v>BARRIO JUAN XXIII</v>
          </cell>
          <cell r="E1810"/>
          <cell r="F1810"/>
          <cell r="G1810" t="str">
            <v>M2</v>
          </cell>
          <cell r="H1810">
            <v>2</v>
          </cell>
          <cell r="I1810">
            <v>2</v>
          </cell>
          <cell r="J1810">
            <v>1</v>
          </cell>
          <cell r="K1810">
            <v>0</v>
          </cell>
          <cell r="L1810">
            <v>4</v>
          </cell>
        </row>
        <row r="1811">
          <cell r="B1811" t="str">
            <v>CARRERA 17 ENTRE CALLE 100 102B</v>
          </cell>
          <cell r="C1811" t="str">
            <v>DV_TOTALB</v>
          </cell>
          <cell r="D1811" t="str">
            <v>BARRIO JUAN XXIII</v>
          </cell>
          <cell r="E1811"/>
          <cell r="F1811"/>
          <cell r="G1811" t="str">
            <v>M2</v>
          </cell>
          <cell r="H1811">
            <v>2</v>
          </cell>
          <cell r="I1811">
            <v>2</v>
          </cell>
          <cell r="J1811">
            <v>1</v>
          </cell>
          <cell r="K1811">
            <v>0</v>
          </cell>
          <cell r="L1811">
            <v>4</v>
          </cell>
        </row>
        <row r="1812">
          <cell r="B1812" t="str">
            <v>CALLE 99E ENTRE LOTE Y CRA 17</v>
          </cell>
          <cell r="C1812" t="str">
            <v>DV_TOTALC</v>
          </cell>
          <cell r="D1812" t="str">
            <v>BARRIO LAS DELICIAS</v>
          </cell>
          <cell r="E1812"/>
          <cell r="F1812"/>
          <cell r="G1812" t="str">
            <v>M2</v>
          </cell>
          <cell r="H1812">
            <v>2</v>
          </cell>
          <cell r="I1812">
            <v>2</v>
          </cell>
          <cell r="J1812">
            <v>1</v>
          </cell>
          <cell r="K1812">
            <v>0</v>
          </cell>
          <cell r="L1812">
            <v>4</v>
          </cell>
        </row>
        <row r="1813">
          <cell r="B1813" t="str">
            <v>CALLE 99D ENTRE LOTE Y CRA 17</v>
          </cell>
          <cell r="C1813" t="str">
            <v>DV_TOTALC</v>
          </cell>
          <cell r="D1813" t="str">
            <v>BARRIO LAS DELICIAS</v>
          </cell>
          <cell r="E1813"/>
          <cell r="F1813"/>
          <cell r="G1813" t="str">
            <v>M2</v>
          </cell>
          <cell r="H1813">
            <v>2</v>
          </cell>
          <cell r="I1813">
            <v>2</v>
          </cell>
          <cell r="J1813">
            <v>1</v>
          </cell>
          <cell r="K1813">
            <v>0</v>
          </cell>
          <cell r="L1813">
            <v>4</v>
          </cell>
        </row>
        <row r="1814">
          <cell r="B1814" t="str">
            <v>CALLE 99C ENTRE LOTE Y CRA 17</v>
          </cell>
          <cell r="C1814" t="str">
            <v>DV_TOTALC</v>
          </cell>
          <cell r="D1814" t="str">
            <v>BARRIO LAS DELICIAS</v>
          </cell>
          <cell r="E1814"/>
          <cell r="F1814"/>
          <cell r="G1814" t="str">
            <v>M2</v>
          </cell>
          <cell r="H1814">
            <v>2</v>
          </cell>
          <cell r="I1814">
            <v>2</v>
          </cell>
          <cell r="J1814">
            <v>1</v>
          </cell>
          <cell r="K1814">
            <v>0</v>
          </cell>
          <cell r="L1814">
            <v>4</v>
          </cell>
        </row>
        <row r="1815">
          <cell r="B1815" t="str">
            <v>CALLE 99B ENTRE LOTE Y CRA 17</v>
          </cell>
          <cell r="C1815" t="str">
            <v>DV_TOTALC</v>
          </cell>
          <cell r="D1815" t="str">
            <v>BARRIO LAS DELICIAS</v>
          </cell>
          <cell r="E1815"/>
          <cell r="F1815"/>
          <cell r="G1815" t="str">
            <v>M2</v>
          </cell>
          <cell r="H1815">
            <v>2</v>
          </cell>
          <cell r="I1815">
            <v>2</v>
          </cell>
          <cell r="J1815">
            <v>1</v>
          </cell>
          <cell r="K1815">
            <v>0</v>
          </cell>
          <cell r="L1815">
            <v>4</v>
          </cell>
        </row>
        <row r="1816">
          <cell r="B1816" t="str">
            <v>CALLE 99A ENTRE LOTE Y CRA 17</v>
          </cell>
          <cell r="C1816" t="str">
            <v>DV_TOTALC</v>
          </cell>
          <cell r="D1816" t="str">
            <v>BARRIO LAS DELICIAS</v>
          </cell>
          <cell r="E1816"/>
          <cell r="F1816"/>
          <cell r="G1816" t="str">
            <v>M2</v>
          </cell>
          <cell r="H1816">
            <v>2</v>
          </cell>
          <cell r="I1816">
            <v>2</v>
          </cell>
          <cell r="J1816">
            <v>1</v>
          </cell>
          <cell r="K1816">
            <v>0</v>
          </cell>
          <cell r="L1816">
            <v>4</v>
          </cell>
        </row>
        <row r="1817">
          <cell r="B1817" t="str">
            <v>CALLE 99AA ENTRE LOTE Y CRA 17</v>
          </cell>
          <cell r="C1817" t="str">
            <v>DV_TOTALC</v>
          </cell>
          <cell r="D1817" t="str">
            <v>BARRIO LAS DELICIAS</v>
          </cell>
          <cell r="E1817"/>
          <cell r="F1817"/>
          <cell r="G1817" t="str">
            <v>M2</v>
          </cell>
          <cell r="H1817">
            <v>2</v>
          </cell>
          <cell r="I1817">
            <v>2</v>
          </cell>
          <cell r="J1817">
            <v>1</v>
          </cell>
          <cell r="K1817">
            <v>0</v>
          </cell>
          <cell r="L1817">
            <v>4</v>
          </cell>
        </row>
        <row r="1818">
          <cell r="B1818" t="str">
            <v>CARRERA 17 ENTRE CALL 99 Y 100</v>
          </cell>
          <cell r="C1818" t="str">
            <v>DV_TOTALC</v>
          </cell>
          <cell r="D1818" t="str">
            <v>BARRIO LAS DELICIAS</v>
          </cell>
          <cell r="E1818"/>
          <cell r="F1818"/>
          <cell r="G1818" t="str">
            <v>M2</v>
          </cell>
          <cell r="H1818">
            <v>2</v>
          </cell>
          <cell r="I1818">
            <v>2</v>
          </cell>
          <cell r="J1818">
            <v>1</v>
          </cell>
          <cell r="K1818">
            <v>0</v>
          </cell>
          <cell r="L1818">
            <v>4</v>
          </cell>
        </row>
        <row r="1819">
          <cell r="B1819" t="str">
            <v>CARRERA 17A ENTRE CALL 99 Y 100</v>
          </cell>
          <cell r="C1819" t="str">
            <v>DV_TOTALC</v>
          </cell>
          <cell r="D1819" t="str">
            <v>BARRIO LAS DELICIAS</v>
          </cell>
          <cell r="E1819"/>
          <cell r="F1819"/>
          <cell r="G1819" t="str">
            <v>M2</v>
          </cell>
          <cell r="H1819">
            <v>2</v>
          </cell>
          <cell r="I1819">
            <v>2</v>
          </cell>
          <cell r="J1819">
            <v>1</v>
          </cell>
          <cell r="K1819">
            <v>0</v>
          </cell>
          <cell r="L1819">
            <v>4</v>
          </cell>
        </row>
        <row r="1820">
          <cell r="B1820" t="str">
            <v>CALLE 97A ENTRE 19 Y 23</v>
          </cell>
          <cell r="C1820" t="str">
            <v>DV_TOTALD</v>
          </cell>
          <cell r="D1820" t="str">
            <v>BARRIO EL BOSQUE</v>
          </cell>
          <cell r="E1820"/>
          <cell r="F1820"/>
          <cell r="G1820" t="str">
            <v>M2</v>
          </cell>
          <cell r="H1820">
            <v>2</v>
          </cell>
          <cell r="I1820">
            <v>2</v>
          </cell>
          <cell r="J1820">
            <v>1</v>
          </cell>
          <cell r="K1820">
            <v>0</v>
          </cell>
          <cell r="L1820">
            <v>4</v>
          </cell>
        </row>
        <row r="1821">
          <cell r="B1821" t="str">
            <v>CALLE 97 ENTRE 19 Y 23</v>
          </cell>
          <cell r="C1821" t="str">
            <v>DV_TOTALD</v>
          </cell>
          <cell r="D1821" t="str">
            <v>BARRIO EL BOSQUE</v>
          </cell>
          <cell r="E1821"/>
          <cell r="F1821"/>
          <cell r="G1821" t="str">
            <v>M2</v>
          </cell>
          <cell r="H1821">
            <v>2</v>
          </cell>
          <cell r="I1821">
            <v>2</v>
          </cell>
          <cell r="J1821">
            <v>1</v>
          </cell>
          <cell r="K1821">
            <v>0</v>
          </cell>
          <cell r="L1821">
            <v>4</v>
          </cell>
        </row>
        <row r="1822">
          <cell r="B1822" t="str">
            <v>CALLE 96A ENTRE 19 Y 23</v>
          </cell>
          <cell r="C1822" t="str">
            <v>DV_TOTALD</v>
          </cell>
          <cell r="D1822" t="str">
            <v>BARRIO EL BOSQUE</v>
          </cell>
          <cell r="E1822"/>
          <cell r="F1822"/>
          <cell r="G1822" t="str">
            <v>M2</v>
          </cell>
          <cell r="H1822">
            <v>2</v>
          </cell>
          <cell r="I1822">
            <v>2</v>
          </cell>
          <cell r="J1822">
            <v>1</v>
          </cell>
          <cell r="K1822">
            <v>0</v>
          </cell>
          <cell r="L1822">
            <v>4</v>
          </cell>
        </row>
        <row r="1823">
          <cell r="B1823" t="str">
            <v>CALLE 96 ENTRE 19 Y 23</v>
          </cell>
          <cell r="C1823" t="str">
            <v>DV_TOTALD</v>
          </cell>
          <cell r="D1823" t="str">
            <v>BARRIO EL BOSQUE</v>
          </cell>
          <cell r="E1823"/>
          <cell r="F1823"/>
          <cell r="G1823" t="str">
            <v>M2</v>
          </cell>
          <cell r="H1823">
            <v>2</v>
          </cell>
          <cell r="I1823">
            <v>2</v>
          </cell>
          <cell r="J1823">
            <v>1</v>
          </cell>
          <cell r="K1823">
            <v>0</v>
          </cell>
          <cell r="L1823">
            <v>4</v>
          </cell>
        </row>
        <row r="1824">
          <cell r="B1824" t="str">
            <v>CALLE 95 ENTRE 19 Y 23</v>
          </cell>
          <cell r="C1824" t="str">
            <v>DV_TOTALD</v>
          </cell>
          <cell r="D1824" t="str">
            <v>BARRIO EL BOSQUE</v>
          </cell>
          <cell r="E1824"/>
          <cell r="F1824"/>
          <cell r="G1824" t="str">
            <v>M2</v>
          </cell>
          <cell r="H1824">
            <v>2</v>
          </cell>
          <cell r="I1824">
            <v>2</v>
          </cell>
          <cell r="J1824">
            <v>1</v>
          </cell>
          <cell r="K1824">
            <v>0</v>
          </cell>
          <cell r="L1824">
            <v>4</v>
          </cell>
        </row>
        <row r="1825">
          <cell r="B1825" t="str">
            <v>CALLE 94 ENTRE 19 Y 23</v>
          </cell>
          <cell r="C1825" t="str">
            <v>DV_TOTALD</v>
          </cell>
          <cell r="D1825" t="str">
            <v>BARRIO EL BOSQUE</v>
          </cell>
          <cell r="E1825"/>
          <cell r="F1825"/>
          <cell r="G1825" t="str">
            <v>M2</v>
          </cell>
          <cell r="H1825">
            <v>2</v>
          </cell>
          <cell r="I1825">
            <v>2</v>
          </cell>
          <cell r="J1825">
            <v>1</v>
          </cell>
          <cell r="K1825">
            <v>0</v>
          </cell>
          <cell r="L1825">
            <v>4</v>
          </cell>
        </row>
        <row r="1826">
          <cell r="B1826" t="str">
            <v>CALLE 93 ENTRE 15 Y 23</v>
          </cell>
          <cell r="C1826" t="str">
            <v>DV_TOTALD</v>
          </cell>
          <cell r="D1826" t="str">
            <v>BARRIO EL BOSQUE</v>
          </cell>
          <cell r="E1826"/>
          <cell r="F1826"/>
          <cell r="G1826" t="str">
            <v>M2</v>
          </cell>
          <cell r="H1826">
            <v>2</v>
          </cell>
          <cell r="I1826">
            <v>2</v>
          </cell>
          <cell r="J1826">
            <v>1</v>
          </cell>
          <cell r="K1826">
            <v>0</v>
          </cell>
          <cell r="L1826">
            <v>4</v>
          </cell>
        </row>
        <row r="1827">
          <cell r="B1827" t="str">
            <v>CARRERA 17 ENTRE CALLE 94 Y 97A</v>
          </cell>
          <cell r="C1827" t="str">
            <v>DV_TOTALD</v>
          </cell>
          <cell r="D1827" t="str">
            <v>BARRIO EL BOSQUE</v>
          </cell>
          <cell r="E1827"/>
          <cell r="F1827"/>
          <cell r="G1827" t="str">
            <v>M2</v>
          </cell>
          <cell r="H1827">
            <v>2</v>
          </cell>
          <cell r="I1827">
            <v>2</v>
          </cell>
          <cell r="J1827">
            <v>1</v>
          </cell>
          <cell r="K1827">
            <v>0</v>
          </cell>
          <cell r="L1827">
            <v>4</v>
          </cell>
        </row>
        <row r="1828">
          <cell r="B1828" t="str">
            <v>CARRERA 20 ENTRE CALLE 93 Y 97A</v>
          </cell>
          <cell r="C1828" t="str">
            <v>DV_TOTALD</v>
          </cell>
          <cell r="D1828" t="str">
            <v>BARRIO EL BOSQUE</v>
          </cell>
          <cell r="E1828"/>
          <cell r="F1828"/>
          <cell r="G1828" t="str">
            <v>M2</v>
          </cell>
          <cell r="H1828">
            <v>2</v>
          </cell>
          <cell r="I1828">
            <v>2</v>
          </cell>
          <cell r="J1828">
            <v>1</v>
          </cell>
          <cell r="K1828">
            <v>0</v>
          </cell>
          <cell r="L1828">
            <v>4</v>
          </cell>
        </row>
        <row r="1829">
          <cell r="B1829" t="str">
            <v>CARRERA 21 ENTRE CALLE 93 Y 97A</v>
          </cell>
          <cell r="C1829" t="str">
            <v>DV_TOTALD</v>
          </cell>
          <cell r="D1829" t="str">
            <v>BARRIO EL BOSQUE</v>
          </cell>
          <cell r="E1829"/>
          <cell r="F1829"/>
          <cell r="G1829" t="str">
            <v>M2</v>
          </cell>
          <cell r="H1829">
            <v>2</v>
          </cell>
          <cell r="I1829">
            <v>2</v>
          </cell>
          <cell r="J1829">
            <v>1</v>
          </cell>
          <cell r="K1829">
            <v>0</v>
          </cell>
          <cell r="L1829">
            <v>4</v>
          </cell>
        </row>
        <row r="1830">
          <cell r="B1830" t="e">
            <v>#N/A</v>
          </cell>
          <cell r="C1830" t="str">
            <v>DV_TOTALD</v>
          </cell>
          <cell r="D1830" t="str">
            <v>BARRIO EL BOSQUE</v>
          </cell>
          <cell r="E1830"/>
          <cell r="F1830"/>
          <cell r="G1830" t="str">
            <v>M2</v>
          </cell>
          <cell r="H1830">
            <v>2</v>
          </cell>
          <cell r="I1830">
            <v>2</v>
          </cell>
          <cell r="J1830">
            <v>1</v>
          </cell>
          <cell r="K1830">
            <v>0</v>
          </cell>
          <cell r="L1830">
            <v>4</v>
          </cell>
        </row>
        <row r="1831">
          <cell r="B1831" t="str">
            <v>CALLE 110 ENTRE CARRERA 14 Y 27</v>
          </cell>
          <cell r="C1831" t="str">
            <v>DV_TOTALE</v>
          </cell>
          <cell r="D1831" t="str">
            <v>BARRIO JESUS MORA CALLE 110</v>
          </cell>
          <cell r="E1831"/>
          <cell r="F1831"/>
          <cell r="G1831" t="str">
            <v>M2</v>
          </cell>
          <cell r="H1831">
            <v>2</v>
          </cell>
          <cell r="I1831">
            <v>2</v>
          </cell>
          <cell r="J1831">
            <v>1</v>
          </cell>
          <cell r="K1831">
            <v>0</v>
          </cell>
          <cell r="L1831">
            <v>4</v>
          </cell>
        </row>
        <row r="1832">
          <cell r="J1832" t="str">
            <v>VALOR TOTAL</v>
          </cell>
          <cell r="K1832"/>
          <cell r="L1832">
            <v>124</v>
          </cell>
        </row>
        <row r="1834">
          <cell r="B1834" t="str">
            <v>4.6</v>
          </cell>
          <cell r="C1834" t="str">
            <v>DESCRIPCION</v>
          </cell>
          <cell r="D1834"/>
          <cell r="E1834" t="str">
            <v>CONCRETO REFORZADO 21MPA PARA VIGA DE CIERRE ANDENES, ZONAS VERDES</v>
          </cell>
          <cell r="F1834"/>
          <cell r="G1834"/>
          <cell r="H1834"/>
          <cell r="I1834" t="str">
            <v>UN</v>
          </cell>
          <cell r="J1834" t="str">
            <v>M3</v>
          </cell>
          <cell r="K1834" t="str">
            <v>CANTIDAD</v>
          </cell>
          <cell r="L1834">
            <v>454</v>
          </cell>
        </row>
        <row r="1836">
          <cell r="B1836" t="str">
            <v>COD EP</v>
          </cell>
          <cell r="C1836" t="str">
            <v>COD EP</v>
          </cell>
          <cell r="D1836" t="str">
            <v>DESCRIPCION /LOCALIZACION</v>
          </cell>
          <cell r="E1836"/>
          <cell r="F1836"/>
          <cell r="G1836" t="str">
            <v>UNIDAD</v>
          </cell>
          <cell r="H1836" t="str">
            <v>CAN/UN</v>
          </cell>
          <cell r="I1836" t="str">
            <v>LARGO</v>
          </cell>
          <cell r="J1836" t="str">
            <v>ANCHO</v>
          </cell>
          <cell r="K1836" t="str">
            <v>ALTURA</v>
          </cell>
          <cell r="L1836" t="str">
            <v>CAN MED</v>
          </cell>
        </row>
        <row r="1837">
          <cell r="B1837" t="str">
            <v>ANDEN</v>
          </cell>
          <cell r="C1837"/>
          <cell r="D1837" t="str">
            <v>TODAS LAS VIAS</v>
          </cell>
          <cell r="E1837"/>
          <cell r="F1837"/>
          <cell r="G1837" t="str">
            <v>M3</v>
          </cell>
          <cell r="H1837">
            <v>1</v>
          </cell>
          <cell r="I1837">
            <v>15130.629999999994</v>
          </cell>
          <cell r="J1837">
            <v>0.15</v>
          </cell>
          <cell r="K1837">
            <v>0.2</v>
          </cell>
          <cell r="L1837">
            <v>453.91889999999978</v>
          </cell>
        </row>
        <row r="1838">
          <cell r="J1838" t="str">
            <v>VALOR TOTAL</v>
          </cell>
          <cell r="K1838"/>
          <cell r="L1838">
            <v>453.91889999999978</v>
          </cell>
        </row>
        <row r="1840">
          <cell r="B1840" t="str">
            <v>4.7</v>
          </cell>
          <cell r="C1840" t="str">
            <v>DESCRIPCION</v>
          </cell>
          <cell r="D1840"/>
          <cell r="E1840" t="str">
            <v xml:space="preserve">SEÑAL VERTICAL </v>
          </cell>
          <cell r="F1840"/>
          <cell r="G1840"/>
          <cell r="H1840"/>
          <cell r="I1840" t="str">
            <v>UN</v>
          </cell>
          <cell r="J1840" t="str">
            <v>UNIDAD</v>
          </cell>
          <cell r="K1840" t="str">
            <v>CANTIDAD</v>
          </cell>
          <cell r="L1840">
            <v>422</v>
          </cell>
        </row>
        <row r="1842">
          <cell r="B1842" t="str">
            <v>COD EP</v>
          </cell>
          <cell r="C1842" t="str">
            <v>COD EP</v>
          </cell>
          <cell r="D1842" t="str">
            <v>DESCRIPCION /LOCALIZACION</v>
          </cell>
          <cell r="E1842"/>
          <cell r="F1842"/>
          <cell r="G1842" t="str">
            <v>UNIDAD</v>
          </cell>
          <cell r="H1842" t="str">
            <v>CAN/UN</v>
          </cell>
          <cell r="I1842" t="str">
            <v>LARGO</v>
          </cell>
          <cell r="J1842" t="str">
            <v>ANCHO</v>
          </cell>
          <cell r="K1842" t="str">
            <v>ALTURA</v>
          </cell>
          <cell r="L1842" t="str">
            <v>CAN MED</v>
          </cell>
        </row>
        <row r="1843">
          <cell r="B1843" t="str">
            <v>CALLE 102C ENTRE CARRERA 19 - 20</v>
          </cell>
          <cell r="C1843" t="str">
            <v>DV_TOTALA</v>
          </cell>
          <cell r="D1843" t="str">
            <v>BARRIO CIUDADELA INDUSTRIAL</v>
          </cell>
          <cell r="E1843"/>
          <cell r="F1843"/>
          <cell r="G1843" t="str">
            <v>UNIDAD</v>
          </cell>
          <cell r="H1843">
            <v>2</v>
          </cell>
          <cell r="L1843">
            <v>2</v>
          </cell>
        </row>
        <row r="1844">
          <cell r="B1844" t="str">
            <v>CALLE 102C ENTRE CARRERA 20 - 21</v>
          </cell>
          <cell r="C1844" t="str">
            <v>DV_TOTALA</v>
          </cell>
          <cell r="D1844" t="str">
            <v>BARRIO CIUDADELA INDUSTRIAL</v>
          </cell>
          <cell r="E1844"/>
          <cell r="F1844"/>
          <cell r="G1844" t="str">
            <v>UNIDAD</v>
          </cell>
          <cell r="H1844">
            <v>2</v>
          </cell>
          <cell r="L1844">
            <v>2</v>
          </cell>
        </row>
        <row r="1845">
          <cell r="B1845" t="str">
            <v>CALLE 102B ENTRE CARRERA 19 - 20</v>
          </cell>
          <cell r="C1845" t="str">
            <v>DV_TOTALA</v>
          </cell>
          <cell r="D1845" t="str">
            <v>BARRIO CIUDADELA INDUSTRIAL</v>
          </cell>
          <cell r="E1845"/>
          <cell r="F1845"/>
          <cell r="G1845" t="str">
            <v>UNIDAD</v>
          </cell>
          <cell r="H1845">
            <v>2</v>
          </cell>
          <cell r="L1845">
            <v>2</v>
          </cell>
        </row>
        <row r="1846">
          <cell r="B1846" t="str">
            <v>CALLE 102B ENTRE CARRERA 20 - 21</v>
          </cell>
          <cell r="C1846" t="str">
            <v>DV_TOTALA</v>
          </cell>
          <cell r="D1846" t="str">
            <v>BARRIO CIUDADELA INDUSTRIAL</v>
          </cell>
          <cell r="E1846"/>
          <cell r="F1846"/>
          <cell r="G1846" t="str">
            <v>UNIDAD</v>
          </cell>
          <cell r="H1846">
            <v>2</v>
          </cell>
          <cell r="L1846">
            <v>2</v>
          </cell>
        </row>
        <row r="1847">
          <cell r="B1847" t="str">
            <v>CALLE 102B ENTRE CARRERA 20 - 21A</v>
          </cell>
          <cell r="C1847" t="str">
            <v>DV_TOTALA</v>
          </cell>
          <cell r="D1847" t="str">
            <v>BARRIO CIUDADELA INDUSTRIAL</v>
          </cell>
          <cell r="E1847"/>
          <cell r="F1847"/>
          <cell r="G1847" t="str">
            <v>UNIDAD</v>
          </cell>
          <cell r="H1847">
            <v>2</v>
          </cell>
          <cell r="L1847">
            <v>2</v>
          </cell>
        </row>
        <row r="1848">
          <cell r="B1848" t="str">
            <v>CARRERA 20 ENTRE CALLE 102 B Y 102 C</v>
          </cell>
          <cell r="C1848" t="str">
            <v>DV_TOTALA</v>
          </cell>
          <cell r="D1848" t="str">
            <v>BARRIO CIUDADELA INDUSTRIAL</v>
          </cell>
          <cell r="E1848"/>
          <cell r="F1848"/>
          <cell r="G1848" t="str">
            <v>UNIDAD</v>
          </cell>
          <cell r="H1848">
            <v>2</v>
          </cell>
          <cell r="L1848">
            <v>2</v>
          </cell>
        </row>
        <row r="1849">
          <cell r="B1849" t="str">
            <v>CARRERA 20 ENTRE CALLE 102 C Y 102D</v>
          </cell>
          <cell r="C1849" t="str">
            <v>DV_TOTALA</v>
          </cell>
          <cell r="D1849" t="str">
            <v>BARRIO CIUDADELA INDUSTRIAL</v>
          </cell>
          <cell r="E1849"/>
          <cell r="F1849"/>
          <cell r="G1849" t="str">
            <v>UNIDAD</v>
          </cell>
          <cell r="H1849">
            <v>2</v>
          </cell>
          <cell r="L1849">
            <v>2</v>
          </cell>
        </row>
        <row r="1850">
          <cell r="B1850" t="str">
            <v>CARRERA 21 ENTRE CALLE 102 B Y 102 C</v>
          </cell>
          <cell r="C1850" t="str">
            <v>DV_TOTALA</v>
          </cell>
          <cell r="D1850" t="str">
            <v>BARRIO CIUDADELA INDUSTRIAL</v>
          </cell>
          <cell r="E1850"/>
          <cell r="F1850"/>
          <cell r="G1850" t="str">
            <v>UNIDAD</v>
          </cell>
          <cell r="H1850">
            <v>2</v>
          </cell>
          <cell r="L1850">
            <v>2</v>
          </cell>
        </row>
        <row r="1851">
          <cell r="B1851" t="str">
            <v>CARRERA 21 ENTRE CALLE 102 C Y 102D</v>
          </cell>
          <cell r="C1851" t="str">
            <v>DV_TOTALA</v>
          </cell>
          <cell r="D1851" t="str">
            <v>BARRIO CIUDADELA INDUSTRIAL</v>
          </cell>
          <cell r="E1851"/>
          <cell r="F1851"/>
          <cell r="G1851" t="str">
            <v>UNIDAD</v>
          </cell>
          <cell r="H1851">
            <v>2</v>
          </cell>
          <cell r="L1851">
            <v>2</v>
          </cell>
        </row>
        <row r="1852">
          <cell r="B1852" t="str">
            <v>CALLE 102D ENTRE CARRERA 20 - 21</v>
          </cell>
          <cell r="C1852" t="str">
            <v>DV_TOTALA</v>
          </cell>
          <cell r="D1852" t="str">
            <v>BARRIO CIUDADELA INDUSTRIAL</v>
          </cell>
          <cell r="E1852"/>
          <cell r="F1852"/>
          <cell r="G1852" t="str">
            <v>UNIDAD</v>
          </cell>
          <cell r="H1852">
            <v>2</v>
          </cell>
          <cell r="L1852">
            <v>2</v>
          </cell>
        </row>
        <row r="1853">
          <cell r="B1853" t="str">
            <v>CALLE 102A ENTRE CARRERA 17 - 19</v>
          </cell>
          <cell r="C1853" t="str">
            <v>DV_TOTALB</v>
          </cell>
          <cell r="D1853" t="str">
            <v>BARRIO JUAN XXIII</v>
          </cell>
          <cell r="E1853"/>
          <cell r="F1853"/>
          <cell r="G1853" t="str">
            <v>UNIDAD</v>
          </cell>
          <cell r="H1853">
            <v>2</v>
          </cell>
          <cell r="L1853">
            <v>2</v>
          </cell>
        </row>
        <row r="1854">
          <cell r="B1854" t="str">
            <v>CALLE 102B ENTRE CARRERA 17 - 19</v>
          </cell>
          <cell r="C1854" t="str">
            <v>DV_TOTALB</v>
          </cell>
          <cell r="D1854" t="str">
            <v>BARRIO JUAN XXIII</v>
          </cell>
          <cell r="E1854"/>
          <cell r="F1854"/>
          <cell r="G1854" t="str">
            <v>UNIDAD</v>
          </cell>
          <cell r="H1854">
            <v>2</v>
          </cell>
          <cell r="L1854">
            <v>2</v>
          </cell>
        </row>
        <row r="1855">
          <cell r="B1855" t="str">
            <v>CALLE 102 ENTRE CARRERA 17 - 17A</v>
          </cell>
          <cell r="C1855" t="str">
            <v>DV_TOTALB</v>
          </cell>
          <cell r="D1855" t="str">
            <v>BARRIO JUAN XXIII</v>
          </cell>
          <cell r="E1855"/>
          <cell r="F1855"/>
          <cell r="G1855" t="str">
            <v>UNIDAD</v>
          </cell>
          <cell r="H1855">
            <v>2</v>
          </cell>
          <cell r="L1855">
            <v>2</v>
          </cell>
        </row>
        <row r="1856">
          <cell r="B1856" t="str">
            <v>CALLE 102 ENTRE CARRERA 17A - 19</v>
          </cell>
          <cell r="C1856" t="str">
            <v>DV_TOTALB</v>
          </cell>
          <cell r="D1856" t="str">
            <v>BARRIO JUAN XXIII</v>
          </cell>
          <cell r="E1856"/>
          <cell r="F1856"/>
          <cell r="G1856" t="str">
            <v>UNIDAD</v>
          </cell>
          <cell r="H1856">
            <v>2</v>
          </cell>
          <cell r="L1856">
            <v>2</v>
          </cell>
        </row>
        <row r="1857">
          <cell r="B1857" t="str">
            <v>CALLE 101 ENTRE CARRERA 17 - 17A</v>
          </cell>
          <cell r="C1857" t="str">
            <v>DV_TOTALB</v>
          </cell>
          <cell r="D1857" t="str">
            <v>BARRIO JUAN XXIII</v>
          </cell>
          <cell r="E1857"/>
          <cell r="F1857"/>
          <cell r="G1857" t="str">
            <v>UNIDAD</v>
          </cell>
          <cell r="H1857">
            <v>2</v>
          </cell>
          <cell r="L1857">
            <v>2</v>
          </cell>
        </row>
        <row r="1858">
          <cell r="B1858" t="str">
            <v>CRA 17A ENTRE CALLE 101 Y 102</v>
          </cell>
          <cell r="C1858" t="str">
            <v>DV_TOTALB</v>
          </cell>
          <cell r="D1858" t="str">
            <v>BARRIO JUAN XXIII</v>
          </cell>
          <cell r="E1858"/>
          <cell r="F1858"/>
          <cell r="G1858" t="str">
            <v>UNIDAD</v>
          </cell>
          <cell r="H1858">
            <v>2</v>
          </cell>
          <cell r="L1858">
            <v>2</v>
          </cell>
        </row>
        <row r="1859">
          <cell r="B1859" t="str">
            <v>CRA 17 ENTRE CALLE 100 Y 101</v>
          </cell>
          <cell r="C1859" t="str">
            <v>DV_TOTALB</v>
          </cell>
          <cell r="D1859" t="str">
            <v>BARRIO JUAN XXIII</v>
          </cell>
          <cell r="E1859"/>
          <cell r="F1859"/>
          <cell r="G1859" t="str">
            <v>UNIDAD</v>
          </cell>
          <cell r="H1859">
            <v>2</v>
          </cell>
          <cell r="L1859">
            <v>2</v>
          </cell>
        </row>
        <row r="1860">
          <cell r="B1860" t="str">
            <v>CRA 17 ENTRE CALLE 101 Y 102</v>
          </cell>
          <cell r="C1860" t="str">
            <v>DV_TOTALB</v>
          </cell>
          <cell r="D1860" t="str">
            <v>BARRIO JUAN XXIII</v>
          </cell>
          <cell r="E1860"/>
          <cell r="F1860"/>
          <cell r="G1860" t="str">
            <v>UNIDAD</v>
          </cell>
          <cell r="H1860">
            <v>2</v>
          </cell>
          <cell r="L1860">
            <v>2</v>
          </cell>
        </row>
        <row r="1861">
          <cell r="B1861" t="str">
            <v>CRA 17 ENTRE CALLE 102 Y 102A</v>
          </cell>
          <cell r="C1861" t="str">
            <v>DV_TOTALB</v>
          </cell>
          <cell r="D1861" t="str">
            <v>BARRIO JUAN XXIII</v>
          </cell>
          <cell r="E1861"/>
          <cell r="F1861"/>
          <cell r="G1861" t="str">
            <v>UNIDAD</v>
          </cell>
          <cell r="H1861">
            <v>2</v>
          </cell>
          <cell r="L1861">
            <v>2</v>
          </cell>
        </row>
        <row r="1862">
          <cell r="B1862" t="str">
            <v>CRA 17 ENTRE CALLE 102A Y 102B</v>
          </cell>
          <cell r="C1862" t="str">
            <v>DV_TOTALB</v>
          </cell>
          <cell r="D1862" t="str">
            <v>BARRIO JUAN XXIII</v>
          </cell>
          <cell r="E1862"/>
          <cell r="F1862"/>
          <cell r="G1862" t="str">
            <v>UNIDAD</v>
          </cell>
          <cell r="H1862">
            <v>2</v>
          </cell>
          <cell r="L1862">
            <v>2</v>
          </cell>
        </row>
        <row r="1863">
          <cell r="B1863" t="str">
            <v>CALLE 99E ENTRE CRA 16A-LOTE</v>
          </cell>
          <cell r="C1863" t="str">
            <v>DV_TOTALC</v>
          </cell>
          <cell r="D1863" t="str">
            <v>BARRIO LAS DELICIAS</v>
          </cell>
          <cell r="E1863"/>
          <cell r="F1863"/>
          <cell r="G1863" t="str">
            <v>UNIDAD</v>
          </cell>
          <cell r="H1863">
            <v>2</v>
          </cell>
          <cell r="L1863">
            <v>2</v>
          </cell>
        </row>
        <row r="1864">
          <cell r="B1864" t="str">
            <v>CALLE 99E ENTRE CRA 16A Y 17</v>
          </cell>
          <cell r="C1864" t="str">
            <v>DV_TOTALC</v>
          </cell>
          <cell r="D1864" t="str">
            <v>BARRIO LAS DELICIAS</v>
          </cell>
          <cell r="E1864"/>
          <cell r="F1864"/>
          <cell r="G1864" t="str">
            <v>UNIDAD</v>
          </cell>
          <cell r="H1864">
            <v>2</v>
          </cell>
          <cell r="L1864">
            <v>2</v>
          </cell>
        </row>
        <row r="1865">
          <cell r="B1865" t="str">
            <v>CALLE 99D ENTRE CRA 16A Y 17</v>
          </cell>
          <cell r="C1865" t="str">
            <v>DV_TOTALC</v>
          </cell>
          <cell r="D1865" t="str">
            <v>BARRIO LAS DELICIAS</v>
          </cell>
          <cell r="E1865"/>
          <cell r="F1865"/>
          <cell r="G1865" t="str">
            <v>UNIDAD</v>
          </cell>
          <cell r="H1865">
            <v>2</v>
          </cell>
          <cell r="L1865">
            <v>2</v>
          </cell>
        </row>
        <row r="1866">
          <cell r="B1866" t="str">
            <v>CALLE 99C ENTRE CRA 16A Y 17</v>
          </cell>
          <cell r="C1866" t="str">
            <v>DV_TOTALC</v>
          </cell>
          <cell r="D1866" t="str">
            <v>BARRIO LAS DELICIAS</v>
          </cell>
          <cell r="E1866"/>
          <cell r="F1866"/>
          <cell r="G1866" t="str">
            <v>UNIDAD</v>
          </cell>
          <cell r="H1866">
            <v>2</v>
          </cell>
          <cell r="L1866">
            <v>2</v>
          </cell>
        </row>
        <row r="1867">
          <cell r="B1867" t="str">
            <v>CALLE 99B ENTRE CRA 16A Y 17</v>
          </cell>
          <cell r="C1867" t="str">
            <v>DV_TOTALC</v>
          </cell>
          <cell r="D1867" t="str">
            <v>BARRIO LAS DELICIAS</v>
          </cell>
          <cell r="E1867"/>
          <cell r="F1867"/>
          <cell r="G1867" t="str">
            <v>UNIDAD</v>
          </cell>
          <cell r="H1867">
            <v>2</v>
          </cell>
          <cell r="L1867">
            <v>2</v>
          </cell>
        </row>
        <row r="1868">
          <cell r="B1868" t="str">
            <v>CALLE 99A ENTRE CRA 16A Y 16</v>
          </cell>
          <cell r="C1868" t="str">
            <v>DV_TOTALC</v>
          </cell>
          <cell r="D1868" t="str">
            <v>BARRIO LAS DELICIAS</v>
          </cell>
          <cell r="E1868"/>
          <cell r="F1868"/>
          <cell r="G1868" t="str">
            <v>UNIDAD</v>
          </cell>
          <cell r="H1868">
            <v>2</v>
          </cell>
          <cell r="L1868">
            <v>2</v>
          </cell>
        </row>
        <row r="1869">
          <cell r="B1869" t="str">
            <v>CALLE 99A ENTRE CRA 16A Y 17</v>
          </cell>
          <cell r="C1869" t="str">
            <v>DV_TOTALC</v>
          </cell>
          <cell r="D1869" t="str">
            <v>BARRIO LAS DELICIAS</v>
          </cell>
          <cell r="E1869"/>
          <cell r="F1869"/>
          <cell r="G1869" t="str">
            <v>UNIDAD</v>
          </cell>
          <cell r="H1869">
            <v>2</v>
          </cell>
          <cell r="L1869">
            <v>2</v>
          </cell>
        </row>
        <row r="1870">
          <cell r="B1870" t="str">
            <v>CALLE 99A ENTRE CRA 17 Y 19</v>
          </cell>
          <cell r="C1870" t="str">
            <v>DV_TOTALC</v>
          </cell>
          <cell r="D1870" t="str">
            <v>BARRIO LAS DELICIAS</v>
          </cell>
          <cell r="E1870"/>
          <cell r="F1870"/>
          <cell r="G1870" t="str">
            <v>UNIDAD</v>
          </cell>
          <cell r="H1870">
            <v>2</v>
          </cell>
          <cell r="L1870">
            <v>2</v>
          </cell>
        </row>
        <row r="1871">
          <cell r="B1871" t="str">
            <v xml:space="preserve">CALLE 99AA ENTRE CRA 17 Y 19 </v>
          </cell>
          <cell r="C1871" t="str">
            <v>DV_TOTALC</v>
          </cell>
          <cell r="D1871" t="str">
            <v>BARRIO LAS DELICIAS</v>
          </cell>
          <cell r="E1871"/>
          <cell r="F1871"/>
          <cell r="G1871" t="str">
            <v>UNIDAD</v>
          </cell>
          <cell r="H1871">
            <v>2</v>
          </cell>
          <cell r="L1871">
            <v>2</v>
          </cell>
        </row>
        <row r="1872">
          <cell r="B1872" t="str">
            <v>CARRERA 17 ENTRE CALLE 99 Y 99AA</v>
          </cell>
          <cell r="C1872" t="str">
            <v>DV_TOTALC</v>
          </cell>
          <cell r="D1872" t="str">
            <v>BARRIO LAS DELICIAS</v>
          </cell>
          <cell r="E1872"/>
          <cell r="F1872"/>
          <cell r="G1872" t="str">
            <v>UNIDAD</v>
          </cell>
          <cell r="H1872">
            <v>2</v>
          </cell>
          <cell r="L1872">
            <v>2</v>
          </cell>
        </row>
        <row r="1873">
          <cell r="B1873" t="str">
            <v>CARRERA 17 ENTRE CALLE 99AA Y 99A</v>
          </cell>
          <cell r="C1873" t="str">
            <v>DV_TOTALC</v>
          </cell>
          <cell r="D1873" t="str">
            <v>BARRIO LAS DELICIAS</v>
          </cell>
          <cell r="E1873"/>
          <cell r="F1873"/>
          <cell r="G1873" t="str">
            <v>UNIDAD</v>
          </cell>
          <cell r="H1873">
            <v>2</v>
          </cell>
          <cell r="L1873">
            <v>2</v>
          </cell>
        </row>
        <row r="1874">
          <cell r="B1874" t="str">
            <v>CARRERA 17 ENTRE CALLE 99A Y 99B</v>
          </cell>
          <cell r="C1874" t="str">
            <v>DV_TOTALC</v>
          </cell>
          <cell r="D1874" t="str">
            <v>BARRIO LAS DELICIAS</v>
          </cell>
          <cell r="E1874"/>
          <cell r="F1874"/>
          <cell r="G1874" t="str">
            <v>UNIDAD</v>
          </cell>
          <cell r="H1874">
            <v>2</v>
          </cell>
          <cell r="L1874">
            <v>2</v>
          </cell>
        </row>
        <row r="1875">
          <cell r="B1875" t="str">
            <v>CARRERA 17 ENTRE CALLE 99B Y 99E</v>
          </cell>
          <cell r="C1875" t="str">
            <v>DV_TOTALC</v>
          </cell>
          <cell r="D1875" t="str">
            <v>BARRIO LAS DELICIAS</v>
          </cell>
          <cell r="E1875"/>
          <cell r="F1875"/>
          <cell r="G1875" t="str">
            <v>UNIDAD</v>
          </cell>
          <cell r="H1875">
            <v>2</v>
          </cell>
          <cell r="L1875">
            <v>2</v>
          </cell>
        </row>
        <row r="1876">
          <cell r="B1876" t="str">
            <v>CARRERA 17 ENTRE CALLE 99E Y 99F</v>
          </cell>
          <cell r="C1876" t="str">
            <v>DV_TOTALC</v>
          </cell>
          <cell r="D1876" t="str">
            <v>BARRIO LAS DELICIAS</v>
          </cell>
          <cell r="E1876"/>
          <cell r="F1876"/>
          <cell r="G1876" t="str">
            <v>UNIDAD</v>
          </cell>
          <cell r="H1876">
            <v>2</v>
          </cell>
          <cell r="L1876">
            <v>2</v>
          </cell>
        </row>
        <row r="1877">
          <cell r="B1877" t="str">
            <v>CARRERA 17 ENTRE CALLE 99F Y 100</v>
          </cell>
          <cell r="C1877" t="str">
            <v>DV_TOTALC</v>
          </cell>
          <cell r="D1877" t="str">
            <v>BARRIO LAS DELICIAS</v>
          </cell>
          <cell r="E1877"/>
          <cell r="F1877"/>
          <cell r="G1877" t="str">
            <v>UNIDAD</v>
          </cell>
          <cell r="H1877">
            <v>2</v>
          </cell>
          <cell r="L1877">
            <v>2</v>
          </cell>
        </row>
        <row r="1878">
          <cell r="B1878" t="str">
            <v>CARRERA 17A ENTRE CALLE 99 Y 99A</v>
          </cell>
          <cell r="C1878" t="str">
            <v>DV_TOTALC</v>
          </cell>
          <cell r="D1878" t="str">
            <v>BARRIO LAS DELICIAS</v>
          </cell>
          <cell r="E1878"/>
          <cell r="F1878"/>
          <cell r="G1878" t="str">
            <v>UNIDAD</v>
          </cell>
          <cell r="H1878">
            <v>2</v>
          </cell>
          <cell r="L1878">
            <v>2</v>
          </cell>
        </row>
        <row r="1879">
          <cell r="B1879" t="str">
            <v>CARRERA 17 ENTRE CALLE 99A Y 99E</v>
          </cell>
          <cell r="C1879" t="str">
            <v>DV_TOTALC</v>
          </cell>
          <cell r="D1879" t="str">
            <v>BARRIO LAS DELICIAS</v>
          </cell>
          <cell r="E1879"/>
          <cell r="F1879"/>
          <cell r="G1879" t="str">
            <v>UNIDAD</v>
          </cell>
          <cell r="H1879">
            <v>2</v>
          </cell>
          <cell r="L1879">
            <v>2</v>
          </cell>
        </row>
        <row r="1880">
          <cell r="B1880" t="str">
            <v>CARRERA 17 ENTRE CALLE 99A Y 99B</v>
          </cell>
          <cell r="C1880" t="str">
            <v>DV_TOTALC</v>
          </cell>
          <cell r="D1880" t="str">
            <v>BARRIO LAS DELICIAS</v>
          </cell>
          <cell r="E1880"/>
          <cell r="F1880"/>
          <cell r="G1880" t="str">
            <v>UNIDAD</v>
          </cell>
          <cell r="H1880">
            <v>2</v>
          </cell>
          <cell r="L1880">
            <v>2</v>
          </cell>
        </row>
        <row r="1881">
          <cell r="B1881" t="str">
            <v>CALLE 97A ENTRE CRA 19-20</v>
          </cell>
          <cell r="C1881" t="str">
            <v>DV_TOTALD</v>
          </cell>
          <cell r="D1881" t="str">
            <v>BARRIO EL BOSQUE</v>
          </cell>
          <cell r="E1881"/>
          <cell r="F1881"/>
          <cell r="G1881" t="str">
            <v>UNIDAD</v>
          </cell>
          <cell r="H1881">
            <v>2</v>
          </cell>
          <cell r="L1881">
            <v>2</v>
          </cell>
        </row>
        <row r="1882">
          <cell r="B1882" t="str">
            <v>CALLE 97A ENTRE CRA 20-21</v>
          </cell>
          <cell r="C1882" t="str">
            <v>DV_TOTALD</v>
          </cell>
          <cell r="D1882" t="str">
            <v>BARRIO EL BOSQUE</v>
          </cell>
          <cell r="E1882"/>
          <cell r="F1882"/>
          <cell r="G1882" t="str">
            <v>UNIDAD</v>
          </cell>
          <cell r="H1882">
            <v>2</v>
          </cell>
          <cell r="L1882">
            <v>2</v>
          </cell>
        </row>
        <row r="1883">
          <cell r="B1883" t="str">
            <v>CALLE 97A ENTRE CRA 21-22</v>
          </cell>
          <cell r="C1883" t="str">
            <v>DV_TOTALD</v>
          </cell>
          <cell r="D1883" t="str">
            <v>BARRIO EL BOSQUE</v>
          </cell>
          <cell r="E1883"/>
          <cell r="F1883"/>
          <cell r="G1883" t="str">
            <v>UNIDAD</v>
          </cell>
          <cell r="H1883">
            <v>2</v>
          </cell>
          <cell r="L1883">
            <v>2</v>
          </cell>
        </row>
        <row r="1884">
          <cell r="B1884" t="str">
            <v>CALLE 97 ENTRE CRA 15-16</v>
          </cell>
          <cell r="C1884" t="str">
            <v>DV_TOTALD</v>
          </cell>
          <cell r="D1884" t="str">
            <v>BARRIO EL BOSQUE</v>
          </cell>
          <cell r="E1884"/>
          <cell r="F1884"/>
          <cell r="G1884" t="str">
            <v>UNIDAD</v>
          </cell>
          <cell r="H1884">
            <v>2</v>
          </cell>
          <cell r="L1884">
            <v>2</v>
          </cell>
        </row>
        <row r="1885">
          <cell r="B1885" t="str">
            <v>CALLE 97 ENTRE CRA 16-17</v>
          </cell>
          <cell r="C1885" t="str">
            <v>DV_TOTALD</v>
          </cell>
          <cell r="D1885" t="str">
            <v>BARRIO EL BOSQUE</v>
          </cell>
          <cell r="E1885"/>
          <cell r="F1885"/>
          <cell r="G1885" t="str">
            <v>UNIDAD</v>
          </cell>
          <cell r="H1885">
            <v>2</v>
          </cell>
          <cell r="L1885">
            <v>2</v>
          </cell>
        </row>
        <row r="1886">
          <cell r="B1886" t="str">
            <v>CALLE 97 ENTRE CRA 17-19</v>
          </cell>
          <cell r="C1886" t="str">
            <v>DV_TOTALD</v>
          </cell>
          <cell r="D1886" t="str">
            <v>BARRIO EL BOSQUE</v>
          </cell>
          <cell r="E1886"/>
          <cell r="F1886"/>
          <cell r="G1886" t="str">
            <v>UNIDAD</v>
          </cell>
          <cell r="H1886">
            <v>2</v>
          </cell>
          <cell r="L1886">
            <v>2</v>
          </cell>
        </row>
        <row r="1887">
          <cell r="B1887" t="str">
            <v>CALLE 97 ENTRE CRA 19-20</v>
          </cell>
          <cell r="C1887" t="str">
            <v>DV_TOTALD</v>
          </cell>
          <cell r="D1887" t="str">
            <v>BARRIO EL BOSQUE</v>
          </cell>
          <cell r="E1887"/>
          <cell r="F1887"/>
          <cell r="G1887" t="str">
            <v>UNIDAD</v>
          </cell>
          <cell r="H1887">
            <v>2</v>
          </cell>
          <cell r="L1887">
            <v>2</v>
          </cell>
        </row>
        <row r="1888">
          <cell r="B1888" t="str">
            <v>CALLE 97 ENTRE CRA 20-21</v>
          </cell>
          <cell r="C1888" t="str">
            <v>DV_TOTALD</v>
          </cell>
          <cell r="D1888" t="str">
            <v>BARRIO EL BOSQUE</v>
          </cell>
          <cell r="E1888"/>
          <cell r="F1888"/>
          <cell r="G1888" t="str">
            <v>UNIDAD</v>
          </cell>
          <cell r="H1888">
            <v>2</v>
          </cell>
          <cell r="L1888">
            <v>2</v>
          </cell>
        </row>
        <row r="1889">
          <cell r="B1889" t="str">
            <v>CALLE 97 ENTRE CRA 21-22</v>
          </cell>
          <cell r="C1889" t="str">
            <v>DV_TOTALD</v>
          </cell>
          <cell r="D1889" t="str">
            <v>BARRIO EL BOSQUE</v>
          </cell>
          <cell r="E1889"/>
          <cell r="F1889"/>
          <cell r="G1889" t="str">
            <v>UNIDAD</v>
          </cell>
          <cell r="H1889">
            <v>2</v>
          </cell>
          <cell r="L1889">
            <v>2</v>
          </cell>
        </row>
        <row r="1890">
          <cell r="B1890" t="str">
            <v>CALLE 96A ENTRE CRA 15-17</v>
          </cell>
          <cell r="C1890" t="str">
            <v>DV_TOTALD</v>
          </cell>
          <cell r="D1890" t="str">
            <v>BARRIO EL BOSQUE</v>
          </cell>
          <cell r="E1890"/>
          <cell r="F1890"/>
          <cell r="G1890" t="str">
            <v>UNIDAD</v>
          </cell>
          <cell r="H1890">
            <v>2</v>
          </cell>
          <cell r="L1890">
            <v>2</v>
          </cell>
        </row>
        <row r="1891">
          <cell r="B1891" t="str">
            <v>CALLE 96A ENTRE CRA 17-19</v>
          </cell>
          <cell r="C1891" t="str">
            <v>DV_TOTALD</v>
          </cell>
          <cell r="D1891" t="str">
            <v>BARRIO EL BOSQUE</v>
          </cell>
          <cell r="E1891"/>
          <cell r="F1891"/>
          <cell r="G1891" t="str">
            <v>UNIDAD</v>
          </cell>
          <cell r="H1891">
            <v>2</v>
          </cell>
          <cell r="L1891">
            <v>2</v>
          </cell>
        </row>
        <row r="1892">
          <cell r="B1892" t="str">
            <v>CALLE 96A ENTRE CRA 19-20</v>
          </cell>
          <cell r="C1892" t="str">
            <v>DV_TOTALD</v>
          </cell>
          <cell r="D1892" t="str">
            <v>BARRIO EL BOSQUE</v>
          </cell>
          <cell r="E1892"/>
          <cell r="F1892"/>
          <cell r="G1892" t="str">
            <v>UNIDAD</v>
          </cell>
          <cell r="H1892">
            <v>2</v>
          </cell>
          <cell r="L1892">
            <v>2</v>
          </cell>
        </row>
        <row r="1893">
          <cell r="B1893" t="str">
            <v>CALLE 96A ENTRE CRA 20-21</v>
          </cell>
          <cell r="C1893" t="str">
            <v>DV_TOTALD</v>
          </cell>
          <cell r="D1893" t="str">
            <v>BARRIO EL BOSQUE</v>
          </cell>
          <cell r="E1893"/>
          <cell r="F1893"/>
          <cell r="G1893" t="str">
            <v>UNIDAD</v>
          </cell>
          <cell r="H1893">
            <v>2</v>
          </cell>
          <cell r="L1893">
            <v>2</v>
          </cell>
        </row>
        <row r="1894">
          <cell r="B1894" t="str">
            <v>CALLE 96A ENTRE CRA 21-22</v>
          </cell>
          <cell r="C1894" t="str">
            <v>DV_TOTALD</v>
          </cell>
          <cell r="D1894" t="str">
            <v>BARRIO EL BOSQUE</v>
          </cell>
          <cell r="E1894"/>
          <cell r="F1894"/>
          <cell r="G1894" t="str">
            <v>UNIDAD</v>
          </cell>
          <cell r="H1894">
            <v>2</v>
          </cell>
          <cell r="L1894">
            <v>2</v>
          </cell>
        </row>
        <row r="1895">
          <cell r="B1895" t="str">
            <v>CALLE 96 ENTRE CRA 15-17</v>
          </cell>
          <cell r="C1895" t="str">
            <v>DV_TOTALD</v>
          </cell>
          <cell r="D1895" t="str">
            <v>BARRIO EL BOSQUE</v>
          </cell>
          <cell r="E1895"/>
          <cell r="F1895"/>
          <cell r="G1895" t="str">
            <v>UNIDAD</v>
          </cell>
          <cell r="H1895">
            <v>2</v>
          </cell>
          <cell r="L1895">
            <v>2</v>
          </cell>
        </row>
        <row r="1896">
          <cell r="B1896" t="str">
            <v>CALLE 96 ENTRE CRA 17-19</v>
          </cell>
          <cell r="C1896" t="str">
            <v>DV_TOTALD</v>
          </cell>
          <cell r="D1896" t="str">
            <v>BARRIO EL BOSQUE</v>
          </cell>
          <cell r="E1896"/>
          <cell r="F1896"/>
          <cell r="G1896" t="str">
            <v>UNIDAD</v>
          </cell>
          <cell r="H1896">
            <v>2</v>
          </cell>
          <cell r="L1896">
            <v>2</v>
          </cell>
        </row>
        <row r="1897">
          <cell r="B1897" t="str">
            <v>CALLE 96 ENTRE CRA 19-20</v>
          </cell>
          <cell r="C1897" t="str">
            <v>DV_TOTALD</v>
          </cell>
          <cell r="D1897" t="str">
            <v>BARRIO EL BOSQUE</v>
          </cell>
          <cell r="E1897"/>
          <cell r="F1897"/>
          <cell r="G1897" t="str">
            <v>UNIDAD</v>
          </cell>
          <cell r="H1897">
            <v>2</v>
          </cell>
          <cell r="L1897">
            <v>2</v>
          </cell>
        </row>
        <row r="1898">
          <cell r="B1898" t="str">
            <v>CALLE 96 ENTRE CRA 20-21</v>
          </cell>
          <cell r="C1898" t="str">
            <v>DV_TOTALD</v>
          </cell>
          <cell r="D1898" t="str">
            <v>BARRIO EL BOSQUE</v>
          </cell>
          <cell r="E1898"/>
          <cell r="F1898"/>
          <cell r="G1898" t="str">
            <v>UNIDAD</v>
          </cell>
          <cell r="H1898">
            <v>2</v>
          </cell>
          <cell r="L1898">
            <v>2</v>
          </cell>
        </row>
        <row r="1899">
          <cell r="B1899" t="str">
            <v>CALLE 96 ENTRE CRA 21-22</v>
          </cell>
          <cell r="C1899" t="str">
            <v>DV_TOTALD</v>
          </cell>
          <cell r="D1899" t="str">
            <v>BARRIO EL BOSQUE</v>
          </cell>
          <cell r="E1899"/>
          <cell r="F1899"/>
          <cell r="G1899" t="str">
            <v>UNIDAD</v>
          </cell>
          <cell r="H1899">
            <v>2</v>
          </cell>
          <cell r="L1899">
            <v>2</v>
          </cell>
        </row>
        <row r="1900">
          <cell r="B1900" t="str">
            <v>CALLE 95 ENTRE CRA 19-20</v>
          </cell>
          <cell r="C1900" t="str">
            <v>DV_TOTALD</v>
          </cell>
          <cell r="D1900" t="str">
            <v>BARRIO EL BOSQUE</v>
          </cell>
          <cell r="E1900"/>
          <cell r="F1900"/>
          <cell r="G1900" t="str">
            <v>UNIDAD</v>
          </cell>
          <cell r="H1900">
            <v>2</v>
          </cell>
          <cell r="L1900">
            <v>2</v>
          </cell>
        </row>
        <row r="1901">
          <cell r="B1901" t="str">
            <v>CALLE 95 ENTRE CRA 20-21</v>
          </cell>
          <cell r="C1901" t="str">
            <v>DV_TOTALD</v>
          </cell>
          <cell r="D1901" t="str">
            <v>BARRIO EL BOSQUE</v>
          </cell>
          <cell r="E1901"/>
          <cell r="F1901"/>
          <cell r="G1901" t="str">
            <v>UNIDAD</v>
          </cell>
          <cell r="H1901">
            <v>2</v>
          </cell>
          <cell r="L1901">
            <v>2</v>
          </cell>
        </row>
        <row r="1902">
          <cell r="B1902" t="str">
            <v>CALLE 95 ENTRE CRA 21-22</v>
          </cell>
          <cell r="C1902" t="str">
            <v>DV_TOTALD</v>
          </cell>
          <cell r="D1902" t="str">
            <v>BARRIO EL BOSQUE</v>
          </cell>
          <cell r="E1902"/>
          <cell r="F1902"/>
          <cell r="G1902" t="str">
            <v>UNIDAD</v>
          </cell>
          <cell r="H1902">
            <v>2</v>
          </cell>
          <cell r="L1902">
            <v>2</v>
          </cell>
        </row>
        <row r="1903">
          <cell r="B1903" t="str">
            <v>CALLE 94 ENTRE CRA 19-20</v>
          </cell>
          <cell r="C1903" t="str">
            <v>DV_TOTALD</v>
          </cell>
          <cell r="D1903" t="str">
            <v>BARRIO EL BOSQUE</v>
          </cell>
          <cell r="E1903"/>
          <cell r="F1903"/>
          <cell r="G1903" t="str">
            <v>UNIDAD</v>
          </cell>
          <cell r="H1903">
            <v>2</v>
          </cell>
          <cell r="L1903">
            <v>2</v>
          </cell>
        </row>
        <row r="1904">
          <cell r="B1904" t="str">
            <v>CALLE 94 ENTRE CRA 20-21</v>
          </cell>
          <cell r="C1904" t="str">
            <v>DV_TOTALD</v>
          </cell>
          <cell r="D1904" t="str">
            <v>BARRIO EL BOSQUE</v>
          </cell>
          <cell r="E1904"/>
          <cell r="F1904"/>
          <cell r="G1904" t="str">
            <v>UNIDAD</v>
          </cell>
          <cell r="H1904">
            <v>2</v>
          </cell>
          <cell r="L1904">
            <v>2</v>
          </cell>
        </row>
        <row r="1905">
          <cell r="B1905" t="str">
            <v>CALLE 94 ENTRE CRA 21-22</v>
          </cell>
          <cell r="C1905" t="str">
            <v>DV_TOTALD</v>
          </cell>
          <cell r="D1905" t="str">
            <v>BARRIO EL BOSQUE</v>
          </cell>
          <cell r="E1905"/>
          <cell r="F1905"/>
          <cell r="G1905" t="str">
            <v>UNIDAD</v>
          </cell>
          <cell r="H1905">
            <v>2</v>
          </cell>
          <cell r="L1905">
            <v>2</v>
          </cell>
        </row>
        <row r="1906">
          <cell r="B1906" t="str">
            <v>CALLE 93 ENTRE CRA 15-17A</v>
          </cell>
          <cell r="C1906" t="str">
            <v>DV_TOTALD</v>
          </cell>
          <cell r="D1906" t="str">
            <v>BARRIO EL BOSQUE</v>
          </cell>
          <cell r="E1906"/>
          <cell r="F1906"/>
          <cell r="G1906" t="str">
            <v>UNIDAD</v>
          </cell>
          <cell r="H1906">
            <v>2</v>
          </cell>
          <cell r="L1906">
            <v>2</v>
          </cell>
        </row>
        <row r="1907">
          <cell r="B1907" t="str">
            <v>CALLE 93 ENTRE CRA 17A-19</v>
          </cell>
          <cell r="C1907" t="str">
            <v>DV_TOTALD</v>
          </cell>
          <cell r="D1907" t="str">
            <v>BARRIO EL BOSQUE</v>
          </cell>
          <cell r="E1907"/>
          <cell r="F1907"/>
          <cell r="G1907" t="str">
            <v>UNIDAD</v>
          </cell>
          <cell r="H1907">
            <v>2</v>
          </cell>
          <cell r="L1907">
            <v>2</v>
          </cell>
        </row>
        <row r="1908">
          <cell r="B1908" t="str">
            <v>CALLE 93 ENTRE CRA 19-20</v>
          </cell>
          <cell r="C1908" t="str">
            <v>DV_TOTALD</v>
          </cell>
          <cell r="D1908" t="str">
            <v>BARRIO EL BOSQUE</v>
          </cell>
          <cell r="E1908"/>
          <cell r="F1908"/>
          <cell r="G1908" t="str">
            <v>UNIDAD</v>
          </cell>
          <cell r="H1908">
            <v>2</v>
          </cell>
          <cell r="L1908">
            <v>2</v>
          </cell>
        </row>
        <row r="1909">
          <cell r="B1909" t="str">
            <v>CALLE 93 ENTRE CRA 20-21</v>
          </cell>
          <cell r="C1909" t="str">
            <v>DV_TOTALD</v>
          </cell>
          <cell r="D1909" t="str">
            <v>BARRIO EL BOSQUE</v>
          </cell>
          <cell r="E1909"/>
          <cell r="F1909"/>
          <cell r="G1909" t="str">
            <v>UNIDAD</v>
          </cell>
          <cell r="H1909">
            <v>2</v>
          </cell>
          <cell r="L1909">
            <v>2</v>
          </cell>
        </row>
        <row r="1910">
          <cell r="B1910" t="str">
            <v>CALLE 93 ENTRE CRA 21-22</v>
          </cell>
          <cell r="C1910" t="str">
            <v>DV_TOTALD</v>
          </cell>
          <cell r="D1910" t="str">
            <v>BARRIO EL BOSQUE</v>
          </cell>
          <cell r="E1910"/>
          <cell r="F1910"/>
          <cell r="G1910" t="str">
            <v>UNIDAD</v>
          </cell>
          <cell r="H1910">
            <v>2</v>
          </cell>
          <cell r="L1910">
            <v>2</v>
          </cell>
        </row>
        <row r="1911">
          <cell r="B1911" t="str">
            <v>CARRERA 17 ENTRE CALLE 94 Y 95</v>
          </cell>
          <cell r="C1911" t="str">
            <v>DV_TOTALD</v>
          </cell>
          <cell r="D1911" t="str">
            <v>BARRIO EL BOSQUE</v>
          </cell>
          <cell r="E1911"/>
          <cell r="F1911"/>
          <cell r="G1911" t="str">
            <v>UNIDAD</v>
          </cell>
          <cell r="H1911">
            <v>2</v>
          </cell>
          <cell r="L1911">
            <v>2</v>
          </cell>
        </row>
        <row r="1912">
          <cell r="B1912" t="str">
            <v>CARRERA 17 ENTRE CALLE 95 Y 96</v>
          </cell>
          <cell r="C1912" t="str">
            <v>DV_TOTALD</v>
          </cell>
          <cell r="D1912" t="str">
            <v>BARRIO EL BOSQUE</v>
          </cell>
          <cell r="E1912"/>
          <cell r="F1912"/>
          <cell r="G1912" t="str">
            <v>UNIDAD</v>
          </cell>
          <cell r="H1912">
            <v>2</v>
          </cell>
          <cell r="L1912">
            <v>2</v>
          </cell>
        </row>
        <row r="1913">
          <cell r="B1913" t="str">
            <v>CARRERA 17 ENTRE CALLE 96 Y 96A</v>
          </cell>
          <cell r="C1913" t="str">
            <v>DV_TOTALD</v>
          </cell>
          <cell r="D1913" t="str">
            <v>BARRIO EL BOSQUE</v>
          </cell>
          <cell r="E1913"/>
          <cell r="F1913"/>
          <cell r="G1913" t="str">
            <v>UNIDAD</v>
          </cell>
          <cell r="H1913">
            <v>2</v>
          </cell>
          <cell r="L1913">
            <v>2</v>
          </cell>
        </row>
        <row r="1914">
          <cell r="B1914" t="str">
            <v>CARRERA 17 ENTRE CALLE 96A Y 97</v>
          </cell>
          <cell r="C1914" t="str">
            <v>DV_TOTALD</v>
          </cell>
          <cell r="D1914" t="str">
            <v>BARRIO EL BOSQUE</v>
          </cell>
          <cell r="E1914"/>
          <cell r="F1914"/>
          <cell r="G1914" t="str">
            <v>UNIDAD</v>
          </cell>
          <cell r="H1914">
            <v>2</v>
          </cell>
          <cell r="L1914">
            <v>2</v>
          </cell>
        </row>
        <row r="1915">
          <cell r="B1915" t="str">
            <v>CARRERA 17 ENTRE CALLE 97 Y 97A</v>
          </cell>
          <cell r="C1915" t="str">
            <v>DV_TOTALD</v>
          </cell>
          <cell r="D1915" t="str">
            <v>BARRIO EL BOSQUE</v>
          </cell>
          <cell r="E1915"/>
          <cell r="F1915"/>
          <cell r="G1915" t="str">
            <v>UNIDAD</v>
          </cell>
          <cell r="H1915">
            <v>2</v>
          </cell>
          <cell r="L1915">
            <v>2</v>
          </cell>
        </row>
        <row r="1916">
          <cell r="B1916" t="str">
            <v>CARRERA 20 ENTRE CALLE 93 Y 94</v>
          </cell>
          <cell r="C1916" t="str">
            <v>DV_TOTALD</v>
          </cell>
          <cell r="D1916" t="str">
            <v>BARRIO EL BOSQUE</v>
          </cell>
          <cell r="E1916"/>
          <cell r="F1916"/>
          <cell r="G1916" t="str">
            <v>UNIDAD</v>
          </cell>
          <cell r="H1916">
            <v>2</v>
          </cell>
          <cell r="L1916">
            <v>2</v>
          </cell>
        </row>
        <row r="1917">
          <cell r="B1917" t="str">
            <v>CARRERA 20 ENTRE CALLE 94 Y 95</v>
          </cell>
          <cell r="C1917" t="str">
            <v>DV_TOTALD</v>
          </cell>
          <cell r="D1917" t="str">
            <v>BARRIO EL BOSQUE</v>
          </cell>
          <cell r="E1917"/>
          <cell r="F1917"/>
          <cell r="G1917" t="str">
            <v>UNIDAD</v>
          </cell>
          <cell r="H1917">
            <v>2</v>
          </cell>
          <cell r="L1917">
            <v>2</v>
          </cell>
        </row>
        <row r="1918">
          <cell r="B1918" t="str">
            <v>CARRERA 20 ENTRE CALLE 95 Y 96</v>
          </cell>
          <cell r="C1918" t="str">
            <v>DV_TOTALD</v>
          </cell>
          <cell r="D1918" t="str">
            <v>BARRIO EL BOSQUE</v>
          </cell>
          <cell r="E1918"/>
          <cell r="F1918"/>
          <cell r="G1918" t="str">
            <v>UNIDAD</v>
          </cell>
          <cell r="H1918">
            <v>2</v>
          </cell>
          <cell r="L1918">
            <v>2</v>
          </cell>
        </row>
        <row r="1919">
          <cell r="B1919" t="str">
            <v>CARRERA 20 ENTRE CALLE 96 Y 96A</v>
          </cell>
          <cell r="C1919" t="str">
            <v>DV_TOTALD</v>
          </cell>
          <cell r="D1919" t="str">
            <v>BARRIO EL BOSQUE</v>
          </cell>
          <cell r="E1919"/>
          <cell r="F1919"/>
          <cell r="G1919" t="str">
            <v>UNIDAD</v>
          </cell>
          <cell r="H1919">
            <v>2</v>
          </cell>
          <cell r="L1919">
            <v>2</v>
          </cell>
        </row>
        <row r="1920">
          <cell r="B1920" t="str">
            <v>CARRERA 20 ENTRE CALLE 96A Y 97</v>
          </cell>
          <cell r="C1920" t="str">
            <v>DV_TOTALD</v>
          </cell>
          <cell r="D1920" t="str">
            <v>BARRIO EL BOSQUE</v>
          </cell>
          <cell r="E1920"/>
          <cell r="F1920"/>
          <cell r="G1920" t="str">
            <v>UNIDAD</v>
          </cell>
          <cell r="H1920">
            <v>2</v>
          </cell>
          <cell r="L1920">
            <v>2</v>
          </cell>
        </row>
        <row r="1921">
          <cell r="B1921" t="str">
            <v>CARRERA 20 ENTRE CALLE 97 Y 97A</v>
          </cell>
          <cell r="C1921" t="str">
            <v>DV_TOTALD</v>
          </cell>
          <cell r="D1921" t="str">
            <v>BARRIO EL BOSQUE</v>
          </cell>
          <cell r="E1921"/>
          <cell r="F1921"/>
          <cell r="G1921" t="str">
            <v>UNIDAD</v>
          </cell>
          <cell r="H1921">
            <v>2</v>
          </cell>
          <cell r="L1921">
            <v>2</v>
          </cell>
        </row>
        <row r="1922">
          <cell r="B1922" t="str">
            <v>CARRERA 21 ENTRE CALLE 93 Y 94</v>
          </cell>
          <cell r="C1922" t="str">
            <v>DV_TOTALD</v>
          </cell>
          <cell r="D1922" t="str">
            <v>BARRIO EL BOSQUE</v>
          </cell>
          <cell r="E1922"/>
          <cell r="F1922"/>
          <cell r="G1922" t="str">
            <v>UNIDAD</v>
          </cell>
          <cell r="H1922">
            <v>2</v>
          </cell>
          <cell r="L1922">
            <v>2</v>
          </cell>
        </row>
        <row r="1923">
          <cell r="B1923" t="str">
            <v>CARRERA 21 ENTRE CALLE 94 Y 95</v>
          </cell>
          <cell r="C1923" t="str">
            <v>DV_TOTALD</v>
          </cell>
          <cell r="D1923" t="str">
            <v>BARRIO EL BOSQUE</v>
          </cell>
          <cell r="E1923"/>
          <cell r="F1923"/>
          <cell r="G1923" t="str">
            <v>UNIDAD</v>
          </cell>
          <cell r="H1923">
            <v>2</v>
          </cell>
          <cell r="L1923">
            <v>2</v>
          </cell>
        </row>
        <row r="1924">
          <cell r="B1924" t="str">
            <v>CARRERA 21 ENTRE CALLE 95 Y 96</v>
          </cell>
          <cell r="C1924" t="str">
            <v>DV_TOTALD</v>
          </cell>
          <cell r="D1924" t="str">
            <v>BARRIO EL BOSQUE</v>
          </cell>
          <cell r="E1924"/>
          <cell r="F1924"/>
          <cell r="G1924" t="str">
            <v>UNIDAD</v>
          </cell>
          <cell r="H1924">
            <v>2</v>
          </cell>
          <cell r="L1924">
            <v>2</v>
          </cell>
        </row>
        <row r="1925">
          <cell r="B1925" t="str">
            <v>CARRERA 21 ENTRE CALLE 96 Y 96A</v>
          </cell>
          <cell r="C1925" t="str">
            <v>DV_TOTALD</v>
          </cell>
          <cell r="D1925" t="str">
            <v>BARRIO EL BOSQUE</v>
          </cell>
          <cell r="E1925"/>
          <cell r="F1925"/>
          <cell r="G1925" t="str">
            <v>UNIDAD</v>
          </cell>
          <cell r="H1925">
            <v>2</v>
          </cell>
          <cell r="L1925">
            <v>2</v>
          </cell>
        </row>
        <row r="1926">
          <cell r="B1926" t="str">
            <v>CARRERA 21 ENTRE CALLE 96A Y 97</v>
          </cell>
          <cell r="C1926" t="str">
            <v>DV_TOTALD</v>
          </cell>
          <cell r="D1926" t="str">
            <v>BARRIO EL BOSQUE</v>
          </cell>
          <cell r="E1926"/>
          <cell r="F1926"/>
          <cell r="G1926" t="str">
            <v>UNIDAD</v>
          </cell>
          <cell r="H1926">
            <v>2</v>
          </cell>
          <cell r="L1926">
            <v>2</v>
          </cell>
        </row>
        <row r="1927">
          <cell r="B1927" t="str">
            <v>CARRERA 21 ENTRE CALLE 97 Y 97A</v>
          </cell>
          <cell r="C1927" t="str">
            <v>DV_TOTALD</v>
          </cell>
          <cell r="D1927" t="str">
            <v>BARRIO EL BOSQUE</v>
          </cell>
          <cell r="E1927"/>
          <cell r="F1927"/>
          <cell r="G1927" t="str">
            <v>UNIDAD</v>
          </cell>
          <cell r="H1927">
            <v>2</v>
          </cell>
          <cell r="L1927">
            <v>2</v>
          </cell>
        </row>
        <row r="1928">
          <cell r="B1928" t="str">
            <v>CLL 110-CRA 14-14A</v>
          </cell>
          <cell r="C1928" t="str">
            <v>DV_TOTALE</v>
          </cell>
          <cell r="D1928" t="str">
            <v>BARRIO JESUS MORA CALLE 110</v>
          </cell>
          <cell r="E1928"/>
          <cell r="F1928"/>
          <cell r="G1928" t="str">
            <v>UNIDAD</v>
          </cell>
          <cell r="H1928">
            <v>2</v>
          </cell>
          <cell r="L1928">
            <v>2</v>
          </cell>
        </row>
        <row r="1929">
          <cell r="B1929" t="str">
            <v>CLL 110-CRA 14A-15</v>
          </cell>
          <cell r="C1929" t="str">
            <v>DV_TOTALE</v>
          </cell>
          <cell r="D1929" t="str">
            <v>BARRIO JESUS MORA CALLE 110</v>
          </cell>
          <cell r="E1929"/>
          <cell r="F1929"/>
          <cell r="G1929" t="str">
            <v>UNIDAD</v>
          </cell>
          <cell r="H1929">
            <v>2</v>
          </cell>
          <cell r="L1929">
            <v>2</v>
          </cell>
        </row>
        <row r="1930">
          <cell r="B1930" t="str">
            <v>CLL 110 CRA 15-16</v>
          </cell>
          <cell r="C1930" t="str">
            <v>DV_TOTALE</v>
          </cell>
          <cell r="D1930" t="str">
            <v>BARRIO JESUS MORA CALLE 110</v>
          </cell>
          <cell r="E1930"/>
          <cell r="F1930"/>
          <cell r="G1930" t="str">
            <v>UNIDAD</v>
          </cell>
          <cell r="H1930">
            <v>2</v>
          </cell>
          <cell r="L1930">
            <v>2</v>
          </cell>
        </row>
        <row r="1931">
          <cell r="B1931" t="str">
            <v>CLL 110 CRA 16-17</v>
          </cell>
          <cell r="C1931" t="str">
            <v>DV_TOTALE</v>
          </cell>
          <cell r="D1931" t="str">
            <v>BARRIO JESUS MORA CALLE 110</v>
          </cell>
          <cell r="E1931"/>
          <cell r="F1931"/>
          <cell r="G1931" t="str">
            <v>UNIDAD</v>
          </cell>
          <cell r="H1931">
            <v>2</v>
          </cell>
          <cell r="L1931">
            <v>2</v>
          </cell>
        </row>
        <row r="1932">
          <cell r="B1932" t="str">
            <v>CLL 110 CRA 17-18</v>
          </cell>
          <cell r="C1932" t="str">
            <v>DV_TOTALE</v>
          </cell>
          <cell r="D1932" t="str">
            <v>BARRIO JESUS MORA CALLE 110</v>
          </cell>
          <cell r="E1932"/>
          <cell r="F1932"/>
          <cell r="G1932" t="str">
            <v>UNIDAD</v>
          </cell>
          <cell r="H1932">
            <v>2</v>
          </cell>
          <cell r="L1932">
            <v>2</v>
          </cell>
        </row>
        <row r="1933">
          <cell r="B1933" t="str">
            <v>CLL 110 CRA 18-19</v>
          </cell>
          <cell r="C1933" t="str">
            <v>DV_TOTALE</v>
          </cell>
          <cell r="D1933" t="str">
            <v>BARRIO JESUS MORA CALLE 110</v>
          </cell>
          <cell r="E1933"/>
          <cell r="F1933"/>
          <cell r="G1933" t="str">
            <v>UNIDAD</v>
          </cell>
          <cell r="H1933">
            <v>2</v>
          </cell>
          <cell r="L1933">
            <v>2</v>
          </cell>
        </row>
        <row r="1934">
          <cell r="B1934" t="str">
            <v>CLL 110 CRA 19-19A</v>
          </cell>
          <cell r="C1934" t="str">
            <v>DV_TOTALE</v>
          </cell>
          <cell r="D1934" t="str">
            <v>BARRIO JESUS MORA CALLE 110</v>
          </cell>
          <cell r="E1934"/>
          <cell r="F1934"/>
          <cell r="G1934" t="str">
            <v>UNIDAD</v>
          </cell>
          <cell r="H1934">
            <v>2</v>
          </cell>
          <cell r="L1934">
            <v>2</v>
          </cell>
        </row>
        <row r="1935">
          <cell r="B1935" t="str">
            <v>CLL 110 CRA 19A-20</v>
          </cell>
          <cell r="C1935" t="str">
            <v>DV_TOTALE</v>
          </cell>
          <cell r="D1935" t="str">
            <v>BARRIO JESUS MORA CALLE 110</v>
          </cell>
          <cell r="E1935"/>
          <cell r="F1935"/>
          <cell r="G1935" t="str">
            <v>UNIDAD</v>
          </cell>
          <cell r="H1935">
            <v>2</v>
          </cell>
          <cell r="L1935">
            <v>2</v>
          </cell>
        </row>
        <row r="1936">
          <cell r="B1936" t="str">
            <v>CLL 110 CRA 20-20A</v>
          </cell>
          <cell r="C1936" t="str">
            <v>DV_TOTALE</v>
          </cell>
          <cell r="D1936" t="str">
            <v>BARRIO JESUS MORA CALLE 110</v>
          </cell>
          <cell r="E1936"/>
          <cell r="F1936"/>
          <cell r="G1936" t="str">
            <v>UNIDAD</v>
          </cell>
          <cell r="H1936">
            <v>2</v>
          </cell>
          <cell r="L1936">
            <v>2</v>
          </cell>
        </row>
        <row r="1937">
          <cell r="B1937" t="str">
            <v>CLL 110 CRA 20-21</v>
          </cell>
          <cell r="C1937" t="str">
            <v>DV_TOTALE</v>
          </cell>
          <cell r="D1937" t="str">
            <v>BARRIO JESUS MORA CALLE 110</v>
          </cell>
          <cell r="E1937"/>
          <cell r="F1937"/>
          <cell r="G1937" t="str">
            <v>UNIDAD</v>
          </cell>
          <cell r="H1937">
            <v>2</v>
          </cell>
          <cell r="L1937">
            <v>2</v>
          </cell>
        </row>
        <row r="1938">
          <cell r="B1938" t="str">
            <v>CLL 110 CRA 21-22</v>
          </cell>
          <cell r="C1938" t="str">
            <v>DV_TOTALE</v>
          </cell>
          <cell r="D1938" t="str">
            <v>BARRIO JESUS MORA CALLE 110</v>
          </cell>
          <cell r="E1938"/>
          <cell r="F1938"/>
          <cell r="G1938" t="str">
            <v>UNIDAD</v>
          </cell>
          <cell r="H1938">
            <v>2</v>
          </cell>
          <cell r="L1938">
            <v>2</v>
          </cell>
        </row>
        <row r="1939">
          <cell r="B1939" t="str">
            <v>CLL 110 CRA 22-23</v>
          </cell>
          <cell r="C1939" t="str">
            <v>DV_TOTALE</v>
          </cell>
          <cell r="D1939" t="str">
            <v>BARRIO JESUS MORA CALLE 110</v>
          </cell>
          <cell r="E1939"/>
          <cell r="F1939"/>
          <cell r="G1939" t="str">
            <v>UNIDAD</v>
          </cell>
          <cell r="H1939">
            <v>2</v>
          </cell>
          <cell r="L1939">
            <v>2</v>
          </cell>
        </row>
        <row r="1940">
          <cell r="B1940" t="str">
            <v>CLL 110 CRA 23-24</v>
          </cell>
          <cell r="C1940" t="str">
            <v>DV_TOTALE</v>
          </cell>
          <cell r="D1940" t="str">
            <v>BARRIO JESUS MORA CALLE 110</v>
          </cell>
          <cell r="E1940"/>
          <cell r="F1940"/>
          <cell r="G1940" t="str">
            <v>UNIDAD</v>
          </cell>
          <cell r="H1940">
            <v>2</v>
          </cell>
          <cell r="L1940">
            <v>2</v>
          </cell>
        </row>
        <row r="1941">
          <cell r="B1941" t="str">
            <v>CLL 110 CRA 24-25</v>
          </cell>
          <cell r="C1941" t="str">
            <v>DV_TOTALE</v>
          </cell>
          <cell r="D1941" t="str">
            <v>BARRIO JESUS MORA CALLE 110</v>
          </cell>
          <cell r="E1941"/>
          <cell r="F1941"/>
          <cell r="G1941" t="str">
            <v>UNIDAD</v>
          </cell>
          <cell r="H1941">
            <v>2</v>
          </cell>
          <cell r="L1941">
            <v>2</v>
          </cell>
        </row>
        <row r="1942">
          <cell r="B1942" t="str">
            <v>CLL 110 CRA 25-26</v>
          </cell>
          <cell r="C1942" t="str">
            <v>DV_TOTALE</v>
          </cell>
          <cell r="D1942" t="str">
            <v>BARRIO JESUS MORA CALLE 110</v>
          </cell>
          <cell r="E1942"/>
          <cell r="F1942"/>
          <cell r="G1942" t="str">
            <v>UNIDAD</v>
          </cell>
          <cell r="H1942">
            <v>2</v>
          </cell>
          <cell r="L1942">
            <v>2</v>
          </cell>
        </row>
        <row r="1943">
          <cell r="B1943" t="str">
            <v>CLL 110 CRA 26-27</v>
          </cell>
          <cell r="C1943" t="str">
            <v>DV_TOTALE</v>
          </cell>
          <cell r="D1943" t="str">
            <v>BARRIO JESUS MORA CALLE 110</v>
          </cell>
          <cell r="E1943"/>
          <cell r="F1943"/>
          <cell r="G1943" t="str">
            <v>UNIDAD</v>
          </cell>
          <cell r="H1943">
            <v>2</v>
          </cell>
          <cell r="L1943">
            <v>2</v>
          </cell>
        </row>
        <row r="1944">
          <cell r="B1944" t="str">
            <v>RESALTOS</v>
          </cell>
          <cell r="C1944" t="str">
            <v>VIA</v>
          </cell>
          <cell r="D1944" t="str">
            <v>TODAS LAS VIAS</v>
          </cell>
          <cell r="E1944"/>
          <cell r="F1944"/>
          <cell r="G1944" t="str">
            <v>UNIDAD</v>
          </cell>
          <cell r="H1944">
            <v>60</v>
          </cell>
          <cell r="L1944">
            <v>60</v>
          </cell>
        </row>
        <row r="1945">
          <cell r="B1945" t="str">
            <v>ACCESO DISCAPACITADO</v>
          </cell>
          <cell r="C1945" t="str">
            <v>VIA</v>
          </cell>
          <cell r="D1945" t="str">
            <v>TODAS LAS VIAS</v>
          </cell>
          <cell r="E1945"/>
          <cell r="F1945"/>
          <cell r="G1945" t="str">
            <v>UNIDAD</v>
          </cell>
          <cell r="H1945">
            <v>160</v>
          </cell>
          <cell r="L1945">
            <v>160</v>
          </cell>
        </row>
        <row r="1946">
          <cell r="J1946" t="str">
            <v>VALOR TOTAL</v>
          </cell>
          <cell r="K1946"/>
          <cell r="L1946">
            <v>422</v>
          </cell>
        </row>
      </sheetData>
      <sheetData sheetId="4">
        <row r="85">
          <cell r="J85">
            <v>211312090</v>
          </cell>
        </row>
      </sheetData>
      <sheetData sheetId="5">
        <row r="30">
          <cell r="J30">
            <v>188055547.79176003</v>
          </cell>
        </row>
      </sheetData>
      <sheetData sheetId="6">
        <row r="16">
          <cell r="B16" t="str">
            <v>1.1</v>
          </cell>
          <cell r="C16" t="str">
            <v>DESCRIPCION:</v>
          </cell>
          <cell r="D16" t="str">
            <v>Localización, replanteo y plano récord, en sección completa de vía, incluyendo andes, cordones y sección de calzada</v>
          </cell>
          <cell r="E16"/>
          <cell r="F16"/>
          <cell r="G16"/>
          <cell r="H16"/>
          <cell r="I16"/>
        </row>
        <row r="17">
          <cell r="B17" t="str">
            <v>PAR_01</v>
          </cell>
          <cell r="C17"/>
          <cell r="D17" t="str">
            <v>UNIDAD</v>
          </cell>
          <cell r="E17" t="str">
            <v>ML</v>
          </cell>
          <cell r="F17" t="str">
            <v>CANTIDAD</v>
          </cell>
          <cell r="G17">
            <v>9031</v>
          </cell>
          <cell r="H17" t="str">
            <v>V. UNITARIO:</v>
          </cell>
          <cell r="I17">
            <v>1421</v>
          </cell>
        </row>
        <row r="18">
          <cell r="B18"/>
          <cell r="C18"/>
          <cell r="D18"/>
          <cell r="E18"/>
          <cell r="F18"/>
          <cell r="G18"/>
          <cell r="H18"/>
          <cell r="I18"/>
        </row>
        <row r="19">
          <cell r="B19"/>
          <cell r="C19"/>
          <cell r="D19"/>
          <cell r="E19"/>
          <cell r="F19" t="str">
            <v>Tarifa/Hora</v>
          </cell>
          <cell r="G19" t="str">
            <v>Rendimiento</v>
          </cell>
          <cell r="H19" t="str">
            <v>Valor-Unit.</v>
          </cell>
          <cell r="I19"/>
        </row>
        <row r="20">
          <cell r="B20" t="str">
            <v>E001</v>
          </cell>
          <cell r="C20" t="str">
            <v xml:space="preserve">Estación total localización </v>
          </cell>
          <cell r="D20"/>
          <cell r="E20"/>
          <cell r="F20">
            <v>80000</v>
          </cell>
          <cell r="G20">
            <v>8.3798882681564244E-3</v>
          </cell>
          <cell r="H20">
            <v>670.39106145251401</v>
          </cell>
          <cell r="I20"/>
        </row>
        <row r="21">
          <cell r="C21"/>
          <cell r="D21"/>
          <cell r="E21"/>
          <cell r="F21" t="str">
            <v>Sub-Total</v>
          </cell>
          <cell r="G21" t="str">
            <v>1.1</v>
          </cell>
          <cell r="H21" t="str">
            <v>EQUI-1.1</v>
          </cell>
          <cell r="I21">
            <v>670.39106145251401</v>
          </cell>
        </row>
        <row r="22">
          <cell r="B22"/>
          <cell r="C22"/>
          <cell r="D22"/>
          <cell r="E22"/>
          <cell r="F22"/>
          <cell r="G22"/>
          <cell r="H22"/>
          <cell r="I22"/>
        </row>
        <row r="23">
          <cell r="B23"/>
          <cell r="C23"/>
          <cell r="D23"/>
          <cell r="E23" t="str">
            <v>UNIDAD</v>
          </cell>
          <cell r="F23" t="str">
            <v>V.UNIT</v>
          </cell>
          <cell r="G23" t="str">
            <v>CANT</v>
          </cell>
          <cell r="H23" t="str">
            <v>V.TOTAL</v>
          </cell>
          <cell r="I23"/>
        </row>
        <row r="24">
          <cell r="B24" t="str">
            <v>M001</v>
          </cell>
          <cell r="C24" t="str">
            <v>1/4 de pintura</v>
          </cell>
          <cell r="D24"/>
          <cell r="E24" t="str">
            <v>GL</v>
          </cell>
          <cell r="F24">
            <v>12500</v>
          </cell>
          <cell r="G24">
            <v>8.0000000000000002E-3</v>
          </cell>
          <cell r="H24">
            <v>100</v>
          </cell>
          <cell r="I24"/>
        </row>
        <row r="25">
          <cell r="B25" t="str">
            <v>M008</v>
          </cell>
          <cell r="C25" t="str">
            <v>clavo común 2</v>
          </cell>
          <cell r="D25"/>
          <cell r="E25" t="str">
            <v>LB</v>
          </cell>
          <cell r="F25">
            <v>2300</v>
          </cell>
          <cell r="G25">
            <v>0.01</v>
          </cell>
          <cell r="H25">
            <v>23</v>
          </cell>
          <cell r="I25"/>
        </row>
        <row r="26">
          <cell r="B26" t="str">
            <v>M019</v>
          </cell>
          <cell r="C26" t="str">
            <v>listón 2*2 madera tipo choiba</v>
          </cell>
          <cell r="D26"/>
          <cell r="E26" t="str">
            <v>UNIDAD</v>
          </cell>
          <cell r="F26">
            <v>10000</v>
          </cell>
          <cell r="G26">
            <v>3.0000000000000001E-3</v>
          </cell>
          <cell r="H26">
            <v>30</v>
          </cell>
          <cell r="I26"/>
        </row>
        <row r="27">
          <cell r="C27"/>
          <cell r="D27"/>
          <cell r="E27"/>
          <cell r="F27" t="str">
            <v>Sub-Total</v>
          </cell>
          <cell r="G27" t="str">
            <v>1.1</v>
          </cell>
          <cell r="H27" t="str">
            <v>MAT-1.1</v>
          </cell>
          <cell r="I27">
            <v>153</v>
          </cell>
        </row>
        <row r="28">
          <cell r="B28"/>
          <cell r="C28"/>
          <cell r="D28"/>
          <cell r="E28"/>
          <cell r="F28"/>
          <cell r="G28"/>
          <cell r="H28"/>
          <cell r="I28"/>
        </row>
        <row r="29">
          <cell r="B29"/>
          <cell r="C29"/>
          <cell r="D29" t="str">
            <v xml:space="preserve">CAN </v>
          </cell>
          <cell r="E29" t="str">
            <v>DISTANCIA</v>
          </cell>
          <cell r="F29" t="str">
            <v>M3-Km / UN-KM</v>
          </cell>
          <cell r="G29" t="str">
            <v>TARIFA</v>
          </cell>
          <cell r="H29" t="str">
            <v>Valor-Unit.</v>
          </cell>
          <cell r="I29"/>
        </row>
        <row r="30">
          <cell r="B30"/>
          <cell r="C30"/>
          <cell r="D30"/>
          <cell r="E30"/>
          <cell r="F30"/>
          <cell r="G30"/>
          <cell r="H30"/>
          <cell r="I30"/>
        </row>
        <row r="31">
          <cell r="C31"/>
          <cell r="D31"/>
          <cell r="E31"/>
          <cell r="F31" t="str">
            <v>Sub-Total</v>
          </cell>
          <cell r="G31" t="str">
            <v>1.1</v>
          </cell>
          <cell r="H31" t="str">
            <v>TRAN-1.1</v>
          </cell>
          <cell r="I31">
            <v>0</v>
          </cell>
        </row>
        <row r="32">
          <cell r="B32"/>
          <cell r="C32"/>
          <cell r="D32"/>
          <cell r="E32"/>
          <cell r="F32"/>
          <cell r="G32"/>
          <cell r="H32"/>
          <cell r="I32"/>
        </row>
        <row r="33">
          <cell r="B33"/>
          <cell r="C33"/>
          <cell r="D33" t="str">
            <v>JORNAL-HORA</v>
          </cell>
          <cell r="E33" t="str">
            <v>PRES</v>
          </cell>
          <cell r="F33" t="str">
            <v>JORNAL TOTAL</v>
          </cell>
          <cell r="G33" t="str">
            <v>Rendimiento</v>
          </cell>
          <cell r="H33" t="str">
            <v>Valor-Unit.</v>
          </cell>
          <cell r="I33"/>
        </row>
        <row r="34">
          <cell r="B34" t="str">
            <v>MO001</v>
          </cell>
          <cell r="C34" t="str">
            <v>topógrafo</v>
          </cell>
          <cell r="D34">
            <v>14671.701780833337</v>
          </cell>
          <cell r="E34"/>
          <cell r="F34">
            <v>14671.701780833337</v>
          </cell>
          <cell r="G34">
            <v>2.5000000000000001E-2</v>
          </cell>
          <cell r="H34">
            <v>366.79254452083342</v>
          </cell>
          <cell r="I34"/>
        </row>
        <row r="35">
          <cell r="B35" t="str">
            <v>MO002</v>
          </cell>
          <cell r="C35" t="str">
            <v>cadenero 1</v>
          </cell>
          <cell r="D35">
            <v>12974.601086388891</v>
          </cell>
          <cell r="E35"/>
          <cell r="F35">
            <v>12974.601086388891</v>
          </cell>
          <cell r="G35">
            <v>8.3798882681564244E-3</v>
          </cell>
          <cell r="H35">
            <v>108.72570742783986</v>
          </cell>
          <cell r="I35"/>
        </row>
        <row r="36">
          <cell r="B36" t="str">
            <v>MO003</v>
          </cell>
          <cell r="C36" t="str">
            <v>cadenero 2</v>
          </cell>
          <cell r="D36">
            <v>11136.644836388892</v>
          </cell>
          <cell r="E36"/>
          <cell r="F36">
            <v>11136.644836388892</v>
          </cell>
          <cell r="G36">
            <v>8.3798882681564244E-3</v>
          </cell>
          <cell r="H36">
            <v>93.323839411080101</v>
          </cell>
          <cell r="I36"/>
        </row>
        <row r="37">
          <cell r="B37" t="str">
            <v>MO007</v>
          </cell>
          <cell r="C37" t="str">
            <v>contra maestro</v>
          </cell>
          <cell r="D37">
            <v>12974.601086388891</v>
          </cell>
          <cell r="E37"/>
          <cell r="F37">
            <v>12974.601086388891</v>
          </cell>
          <cell r="G37">
            <v>2.5000000000000005E-3</v>
          </cell>
          <cell r="H37">
            <v>32.436502715972232</v>
          </cell>
          <cell r="I37"/>
        </row>
        <row r="38">
          <cell r="C38"/>
          <cell r="D38"/>
          <cell r="E38"/>
          <cell r="F38" t="str">
            <v>Sub-Total</v>
          </cell>
          <cell r="G38" t="str">
            <v>1.1</v>
          </cell>
          <cell r="H38" t="str">
            <v>MDEO-1.1</v>
          </cell>
          <cell r="I38">
            <v>568.84209135975345</v>
          </cell>
        </row>
        <row r="39">
          <cell r="C39"/>
          <cell r="D39"/>
          <cell r="E39"/>
          <cell r="F39"/>
          <cell r="G39"/>
          <cell r="H39"/>
          <cell r="I39">
            <v>28.442104567987673</v>
          </cell>
        </row>
        <row r="40">
          <cell r="C40"/>
          <cell r="D40"/>
          <cell r="E40"/>
          <cell r="F40" t="str">
            <v>Total Costo Directo</v>
          </cell>
          <cell r="G40"/>
          <cell r="H40"/>
          <cell r="I40">
            <v>1421</v>
          </cell>
        </row>
        <row r="41">
          <cell r="B41"/>
          <cell r="C41"/>
          <cell r="D41"/>
          <cell r="E41"/>
          <cell r="F41"/>
          <cell r="G41"/>
          <cell r="H41"/>
          <cell r="I41"/>
        </row>
        <row r="42">
          <cell r="B42"/>
          <cell r="C42"/>
          <cell r="D42"/>
          <cell r="E42"/>
          <cell r="F42" t="str">
            <v>REVISA</v>
          </cell>
          <cell r="G42"/>
          <cell r="H42"/>
          <cell r="I42"/>
        </row>
        <row r="43">
          <cell r="B43"/>
          <cell r="C43"/>
          <cell r="D43"/>
          <cell r="E43"/>
          <cell r="F43" t="str">
            <v>FIRMA:</v>
          </cell>
          <cell r="G43"/>
          <cell r="H43"/>
          <cell r="I43"/>
        </row>
        <row r="44">
          <cell r="B44" t="str">
            <v>RAI ANDRE ESCOBAR FERIA</v>
          </cell>
          <cell r="C44"/>
          <cell r="F44" t="str">
            <v>NOMBRE</v>
          </cell>
          <cell r="G44"/>
          <cell r="H44"/>
          <cell r="I44"/>
        </row>
        <row r="45">
          <cell r="B45" t="str">
            <v>M.P. 031037-0642230 BLV</v>
          </cell>
          <cell r="C45"/>
          <cell r="F45" t="str">
            <v>MAT:</v>
          </cell>
          <cell r="G45"/>
          <cell r="H45"/>
          <cell r="I45"/>
        </row>
        <row r="46">
          <cell r="B46"/>
          <cell r="C46"/>
          <cell r="F46"/>
          <cell r="G46"/>
          <cell r="H46"/>
          <cell r="I46"/>
        </row>
        <row r="47">
          <cell r="B47"/>
          <cell r="C47"/>
          <cell r="D47"/>
          <cell r="E47"/>
          <cell r="F47"/>
          <cell r="G47"/>
          <cell r="H47"/>
          <cell r="I47"/>
        </row>
        <row r="48">
          <cell r="B48"/>
          <cell r="C48"/>
          <cell r="D48"/>
          <cell r="E48"/>
          <cell r="F48"/>
          <cell r="G48"/>
          <cell r="H48"/>
          <cell r="I48"/>
        </row>
        <row r="49">
          <cell r="B49"/>
          <cell r="C49"/>
          <cell r="D49"/>
          <cell r="E49"/>
          <cell r="F49"/>
          <cell r="G49"/>
          <cell r="H49"/>
          <cell r="I49"/>
        </row>
        <row r="50">
          <cell r="B50"/>
          <cell r="C50"/>
          <cell r="D50"/>
          <cell r="E50"/>
          <cell r="F50"/>
          <cell r="G50"/>
          <cell r="H50"/>
          <cell r="I50"/>
        </row>
        <row r="51">
          <cell r="B51" t="str">
            <v>1.2</v>
          </cell>
          <cell r="C51" t="str">
            <v>DESCRIPCION:</v>
          </cell>
          <cell r="D51" t="str">
            <v>Demolición mecánica , andenes, bordillos de concreto concretos existentes, pavimento rígido, incluye transporte</v>
          </cell>
          <cell r="E51"/>
          <cell r="F51"/>
          <cell r="G51"/>
          <cell r="H51"/>
          <cell r="I51"/>
        </row>
        <row r="52">
          <cell r="B52" t="str">
            <v>201.3-13</v>
          </cell>
          <cell r="C52"/>
          <cell r="D52" t="str">
            <v>UNIDAD</v>
          </cell>
          <cell r="E52" t="str">
            <v>M2</v>
          </cell>
          <cell r="F52" t="str">
            <v>CANTIDAD</v>
          </cell>
          <cell r="G52">
            <v>4432</v>
          </cell>
          <cell r="H52" t="str">
            <v>V. UNITARIO:</v>
          </cell>
          <cell r="I52">
            <v>19102</v>
          </cell>
        </row>
        <row r="53">
          <cell r="B53"/>
          <cell r="C53"/>
          <cell r="D53"/>
          <cell r="E53"/>
          <cell r="F53"/>
          <cell r="G53"/>
          <cell r="H53"/>
          <cell r="I53"/>
        </row>
        <row r="54">
          <cell r="B54"/>
          <cell r="C54"/>
          <cell r="D54"/>
          <cell r="E54"/>
          <cell r="F54" t="str">
            <v>Tarifa/Hora</v>
          </cell>
          <cell r="G54" t="str">
            <v>Rendimiento</v>
          </cell>
          <cell r="H54" t="str">
            <v>Valor-Unit.</v>
          </cell>
          <cell r="I54"/>
        </row>
        <row r="55">
          <cell r="B55" t="str">
            <v>E024</v>
          </cell>
          <cell r="C55" t="str">
            <v>mini cargador</v>
          </cell>
          <cell r="D55"/>
          <cell r="E55"/>
          <cell r="F55">
            <v>80000</v>
          </cell>
          <cell r="G55">
            <v>0.1</v>
          </cell>
          <cell r="H55">
            <v>8000</v>
          </cell>
          <cell r="I55"/>
        </row>
        <row r="56">
          <cell r="B56" t="str">
            <v>E008</v>
          </cell>
          <cell r="C56" t="str">
            <v>Compresor para demolición y  limpieza a presión de junta</v>
          </cell>
          <cell r="D56"/>
          <cell r="E56"/>
          <cell r="F56">
            <v>65000</v>
          </cell>
          <cell r="G56">
            <v>0.1</v>
          </cell>
          <cell r="H56">
            <v>6500</v>
          </cell>
          <cell r="I56"/>
        </row>
        <row r="57">
          <cell r="C57"/>
          <cell r="D57"/>
          <cell r="E57"/>
          <cell r="F57" t="str">
            <v>Sub-Total</v>
          </cell>
          <cell r="G57" t="str">
            <v>1.2</v>
          </cell>
          <cell r="H57" t="str">
            <v>EQUI-1.2</v>
          </cell>
          <cell r="I57">
            <v>14500</v>
          </cell>
        </row>
        <row r="58">
          <cell r="B58"/>
          <cell r="C58"/>
          <cell r="D58"/>
          <cell r="E58"/>
          <cell r="F58"/>
          <cell r="G58"/>
          <cell r="H58"/>
          <cell r="I58"/>
        </row>
        <row r="59">
          <cell r="B59"/>
          <cell r="C59"/>
          <cell r="D59"/>
          <cell r="E59" t="str">
            <v>UNIDAD</v>
          </cell>
          <cell r="F59" t="str">
            <v>V.UNIT</v>
          </cell>
          <cell r="G59" t="str">
            <v>CANT</v>
          </cell>
          <cell r="H59" t="str">
            <v>V.TOTAL</v>
          </cell>
          <cell r="I59"/>
        </row>
        <row r="60">
          <cell r="B60"/>
          <cell r="C60"/>
          <cell r="D60"/>
          <cell r="E60"/>
          <cell r="F60"/>
          <cell r="G60"/>
          <cell r="H60">
            <v>0</v>
          </cell>
          <cell r="I60"/>
        </row>
        <row r="61">
          <cell r="C61"/>
          <cell r="D61"/>
          <cell r="E61"/>
          <cell r="F61" t="str">
            <v>Sub-Total</v>
          </cell>
          <cell r="G61" t="str">
            <v>1.2</v>
          </cell>
          <cell r="H61" t="str">
            <v>MAT-1.2</v>
          </cell>
          <cell r="I61">
            <v>0</v>
          </cell>
        </row>
        <row r="62">
          <cell r="B62"/>
          <cell r="C62"/>
          <cell r="D62"/>
          <cell r="E62"/>
          <cell r="F62"/>
          <cell r="G62"/>
          <cell r="H62"/>
          <cell r="I62"/>
        </row>
        <row r="63">
          <cell r="B63"/>
          <cell r="C63"/>
          <cell r="D63" t="str">
            <v xml:space="preserve">CAN </v>
          </cell>
          <cell r="E63" t="str">
            <v>DISTANCIA</v>
          </cell>
          <cell r="F63" t="str">
            <v>M3-Km / UN-KM</v>
          </cell>
          <cell r="G63" t="str">
            <v>TARIFA</v>
          </cell>
          <cell r="H63" t="str">
            <v>Valor-Unit.</v>
          </cell>
          <cell r="I63"/>
        </row>
        <row r="64">
          <cell r="B64" t="str">
            <v>T004</v>
          </cell>
          <cell r="C64" t="str">
            <v>trans mat sobrante 0-5km</v>
          </cell>
          <cell r="D64">
            <v>0.1</v>
          </cell>
          <cell r="E64">
            <v>5</v>
          </cell>
          <cell r="F64">
            <v>0.5</v>
          </cell>
          <cell r="G64">
            <v>2000</v>
          </cell>
          <cell r="H64">
            <v>1000</v>
          </cell>
          <cell r="I64"/>
        </row>
        <row r="65">
          <cell r="C65"/>
          <cell r="D65"/>
          <cell r="E65"/>
          <cell r="F65" t="str">
            <v>Sub-Total</v>
          </cell>
          <cell r="G65" t="str">
            <v>1.2</v>
          </cell>
          <cell r="H65" t="str">
            <v>TRAN-1.2</v>
          </cell>
          <cell r="I65">
            <v>1000</v>
          </cell>
        </row>
        <row r="66">
          <cell r="B66"/>
          <cell r="C66"/>
          <cell r="D66"/>
          <cell r="E66"/>
          <cell r="F66"/>
          <cell r="G66"/>
          <cell r="H66"/>
          <cell r="I66"/>
        </row>
        <row r="67">
          <cell r="B67"/>
          <cell r="C67"/>
          <cell r="D67" t="str">
            <v>JORNAL-HORA</v>
          </cell>
          <cell r="E67" t="str">
            <v>PRES</v>
          </cell>
          <cell r="F67" t="str">
            <v>Jornal Total</v>
          </cell>
          <cell r="G67" t="str">
            <v>Rendimiento</v>
          </cell>
          <cell r="H67" t="str">
            <v>Valor-Unit.</v>
          </cell>
          <cell r="I67"/>
        </row>
        <row r="68">
          <cell r="B68" t="str">
            <v>MO004</v>
          </cell>
          <cell r="C68" t="str">
            <v xml:space="preserve">oficial </v>
          </cell>
          <cell r="D68">
            <v>12336.644836388892</v>
          </cell>
          <cell r="E68"/>
          <cell r="F68">
            <v>12336.644836388892</v>
          </cell>
          <cell r="G68">
            <v>0.1</v>
          </cell>
          <cell r="H68">
            <v>1233.6644836388894</v>
          </cell>
          <cell r="I68"/>
        </row>
        <row r="69">
          <cell r="B69" t="str">
            <v>MO006</v>
          </cell>
          <cell r="C69" t="str">
            <v xml:space="preserve">ayudante </v>
          </cell>
          <cell r="D69">
            <v>10336.644836388892</v>
          </cell>
          <cell r="E69"/>
          <cell r="F69">
            <v>10336.644836388892</v>
          </cell>
          <cell r="G69">
            <v>0.2</v>
          </cell>
          <cell r="H69">
            <v>2067.3289672777787</v>
          </cell>
          <cell r="I69"/>
        </row>
        <row r="70">
          <cell r="B70" t="str">
            <v>MO007</v>
          </cell>
          <cell r="C70" t="str">
            <v>contra maestro</v>
          </cell>
          <cell r="D70">
            <v>12974.601086388891</v>
          </cell>
          <cell r="E70"/>
          <cell r="F70">
            <v>12974.601086388891</v>
          </cell>
          <cell r="G70">
            <v>1.0000000000000002E-2</v>
          </cell>
          <cell r="H70">
            <v>129.74601086388893</v>
          </cell>
          <cell r="I70"/>
        </row>
        <row r="71">
          <cell r="C71"/>
          <cell r="D71"/>
          <cell r="E71"/>
          <cell r="F71" t="str">
            <v>Sub-Total</v>
          </cell>
          <cell r="G71" t="str">
            <v>1.2</v>
          </cell>
          <cell r="H71" t="str">
            <v>MDEO-1.2</v>
          </cell>
          <cell r="I71">
            <v>3430.7394617805567</v>
          </cell>
        </row>
        <row r="72">
          <cell r="C72"/>
          <cell r="D72"/>
          <cell r="E72"/>
          <cell r="F72"/>
          <cell r="G72"/>
          <cell r="H72"/>
          <cell r="I72">
            <v>171.53697308902784</v>
          </cell>
        </row>
        <row r="73">
          <cell r="C73"/>
          <cell r="D73"/>
          <cell r="E73"/>
          <cell r="F73" t="str">
            <v>Total Costo Directo</v>
          </cell>
          <cell r="G73"/>
          <cell r="H73"/>
          <cell r="I73">
            <v>19102</v>
          </cell>
        </row>
        <row r="74">
          <cell r="B74"/>
          <cell r="C74"/>
          <cell r="D74"/>
          <cell r="E74"/>
          <cell r="F74"/>
          <cell r="G74"/>
          <cell r="H74"/>
          <cell r="I74"/>
        </row>
        <row r="75">
          <cell r="B75"/>
          <cell r="C75"/>
          <cell r="D75"/>
          <cell r="E75"/>
          <cell r="F75" t="str">
            <v>REVISA</v>
          </cell>
          <cell r="G75"/>
          <cell r="H75"/>
          <cell r="I75"/>
        </row>
        <row r="76">
          <cell r="B76"/>
          <cell r="C76"/>
          <cell r="D76"/>
          <cell r="E76"/>
          <cell r="F76" t="str">
            <v>FIRMA:</v>
          </cell>
          <cell r="G76"/>
          <cell r="H76"/>
          <cell r="I76"/>
        </row>
        <row r="77">
          <cell r="B77" t="str">
            <v>RAI ANDRE ESCOBAR FERIA</v>
          </cell>
          <cell r="C77"/>
          <cell r="F77" t="str">
            <v>NOMBRE</v>
          </cell>
          <cell r="G77"/>
          <cell r="H77"/>
          <cell r="I77"/>
        </row>
        <row r="78">
          <cell r="B78" t="str">
            <v>M.P. 031037-0642230 BLV</v>
          </cell>
          <cell r="C78"/>
          <cell r="F78" t="str">
            <v>MAT:</v>
          </cell>
          <cell r="G78"/>
          <cell r="H78"/>
          <cell r="I78"/>
        </row>
        <row r="79">
          <cell r="B79"/>
          <cell r="C79"/>
          <cell r="F79"/>
          <cell r="G79"/>
          <cell r="H79"/>
          <cell r="I79"/>
        </row>
        <row r="80">
          <cell r="B80"/>
          <cell r="C80"/>
          <cell r="D80"/>
          <cell r="E80"/>
          <cell r="F80"/>
          <cell r="G80"/>
          <cell r="H80"/>
          <cell r="I80"/>
        </row>
        <row r="81">
          <cell r="B81"/>
          <cell r="C81"/>
          <cell r="D81"/>
          <cell r="E81"/>
          <cell r="F81"/>
          <cell r="G81"/>
          <cell r="H81"/>
          <cell r="I81"/>
        </row>
        <row r="82">
          <cell r="B82"/>
          <cell r="C82"/>
          <cell r="D82"/>
          <cell r="E82"/>
          <cell r="F82"/>
          <cell r="G82"/>
          <cell r="H82"/>
          <cell r="I82"/>
        </row>
        <row r="83">
          <cell r="B83"/>
          <cell r="C83"/>
          <cell r="D83"/>
          <cell r="E83"/>
          <cell r="F83"/>
          <cell r="G83"/>
          <cell r="H83"/>
          <cell r="I83"/>
        </row>
        <row r="84">
          <cell r="B84" t="str">
            <v>2.1</v>
          </cell>
          <cell r="C84" t="str">
            <v>DESCRIPCION:</v>
          </cell>
          <cell r="D84" t="str">
            <v>Excavación mecánica en material heterogéneo, con presencia de redes hidrosanitarias, eléctricas, voz y datos con nivel freático a partir de 0,8m en algunos casos</v>
          </cell>
          <cell r="E84"/>
          <cell r="F84"/>
          <cell r="G84"/>
          <cell r="H84"/>
          <cell r="I84"/>
        </row>
        <row r="85">
          <cell r="B85" t="str">
            <v>600.2.3-13</v>
          </cell>
          <cell r="C85"/>
          <cell r="D85" t="str">
            <v>UNIDAD</v>
          </cell>
          <cell r="E85" t="str">
            <v>M3</v>
          </cell>
          <cell r="F85" t="str">
            <v>CANTIDAD</v>
          </cell>
          <cell r="G85">
            <v>3180</v>
          </cell>
          <cell r="H85" t="str">
            <v>V. UNITARIO:</v>
          </cell>
          <cell r="I85">
            <v>16479</v>
          </cell>
        </row>
        <row r="86">
          <cell r="B86"/>
          <cell r="C86"/>
          <cell r="D86"/>
          <cell r="E86"/>
          <cell r="F86"/>
          <cell r="G86"/>
          <cell r="H86"/>
          <cell r="I86"/>
        </row>
        <row r="87">
          <cell r="B87"/>
          <cell r="C87"/>
          <cell r="D87"/>
          <cell r="E87"/>
          <cell r="F87" t="str">
            <v>Tarifa/Hora</v>
          </cell>
          <cell r="G87" t="str">
            <v>Rendimiento</v>
          </cell>
          <cell r="H87" t="str">
            <v>Valor-Unit.</v>
          </cell>
          <cell r="I87"/>
        </row>
        <row r="88">
          <cell r="B88" t="str">
            <v>E003</v>
          </cell>
          <cell r="C88" t="str">
            <v>Retrocargador</v>
          </cell>
          <cell r="D88"/>
          <cell r="E88"/>
          <cell r="F88">
            <v>120000</v>
          </cell>
          <cell r="G88">
            <v>0.1</v>
          </cell>
          <cell r="H88">
            <v>12000</v>
          </cell>
          <cell r="I88"/>
        </row>
        <row r="89">
          <cell r="B89" t="str">
            <v>E031</v>
          </cell>
          <cell r="C89" t="str">
            <v>motobomba</v>
          </cell>
          <cell r="D89"/>
          <cell r="E89"/>
          <cell r="F89">
            <v>7400</v>
          </cell>
          <cell r="G89">
            <v>0.1</v>
          </cell>
          <cell r="H89">
            <v>740</v>
          </cell>
          <cell r="I89"/>
        </row>
        <row r="90">
          <cell r="C90"/>
          <cell r="D90"/>
          <cell r="E90"/>
          <cell r="F90" t="str">
            <v>Sub-Total</v>
          </cell>
          <cell r="G90" t="str">
            <v>2.1</v>
          </cell>
          <cell r="H90" t="str">
            <v>EQUI-2.1</v>
          </cell>
          <cell r="I90">
            <v>12740</v>
          </cell>
        </row>
        <row r="91">
          <cell r="B91"/>
          <cell r="C91"/>
          <cell r="D91"/>
          <cell r="E91"/>
          <cell r="F91"/>
          <cell r="G91"/>
          <cell r="H91"/>
          <cell r="I91"/>
        </row>
        <row r="92">
          <cell r="B92"/>
          <cell r="C92"/>
          <cell r="D92"/>
          <cell r="E92" t="str">
            <v>UNIDAD</v>
          </cell>
          <cell r="F92" t="str">
            <v>V.UNIT</v>
          </cell>
          <cell r="G92" t="str">
            <v>CANT</v>
          </cell>
          <cell r="H92" t="str">
            <v>V.TOTAL</v>
          </cell>
          <cell r="I92"/>
        </row>
        <row r="93">
          <cell r="B93"/>
          <cell r="C93"/>
          <cell r="D93"/>
          <cell r="E93"/>
          <cell r="F93"/>
          <cell r="G93"/>
          <cell r="H93">
            <v>0</v>
          </cell>
          <cell r="I93"/>
        </row>
        <row r="94">
          <cell r="C94"/>
          <cell r="D94"/>
          <cell r="E94"/>
          <cell r="F94" t="str">
            <v>Sub-Total</v>
          </cell>
          <cell r="G94" t="str">
            <v>2.1</v>
          </cell>
          <cell r="H94" t="str">
            <v>MAT-2.1</v>
          </cell>
          <cell r="I94">
            <v>0</v>
          </cell>
        </row>
        <row r="95">
          <cell r="B95"/>
          <cell r="C95"/>
          <cell r="D95"/>
          <cell r="E95"/>
          <cell r="F95"/>
          <cell r="G95"/>
          <cell r="H95"/>
          <cell r="I95"/>
        </row>
        <row r="96">
          <cell r="B96"/>
          <cell r="C96"/>
          <cell r="D96" t="str">
            <v xml:space="preserve">CAN </v>
          </cell>
          <cell r="E96" t="str">
            <v>DISTANCIA</v>
          </cell>
          <cell r="F96" t="str">
            <v>M3-Km / UN-KM</v>
          </cell>
          <cell r="G96" t="str">
            <v>TARIFA</v>
          </cell>
          <cell r="H96" t="str">
            <v>Valor-Unit.</v>
          </cell>
          <cell r="I96"/>
        </row>
        <row r="97">
          <cell r="B97"/>
          <cell r="C97"/>
          <cell r="D97"/>
          <cell r="E97"/>
          <cell r="F97"/>
          <cell r="G97"/>
          <cell r="H97"/>
          <cell r="I97"/>
        </row>
        <row r="98">
          <cell r="C98"/>
          <cell r="D98"/>
          <cell r="E98"/>
          <cell r="F98" t="str">
            <v>Sub-Total</v>
          </cell>
          <cell r="G98" t="str">
            <v>2.1</v>
          </cell>
          <cell r="H98" t="str">
            <v>TRAN-2.1</v>
          </cell>
          <cell r="I98">
            <v>0</v>
          </cell>
        </row>
        <row r="99">
          <cell r="B99"/>
          <cell r="C99"/>
          <cell r="D99"/>
          <cell r="E99"/>
          <cell r="F99"/>
          <cell r="G99"/>
          <cell r="H99"/>
          <cell r="I99"/>
        </row>
        <row r="100">
          <cell r="B100"/>
          <cell r="C100"/>
          <cell r="D100" t="str">
            <v>JORNAL-HORA</v>
          </cell>
          <cell r="E100" t="str">
            <v>PRES</v>
          </cell>
          <cell r="F100" t="str">
            <v>Jornal Total</v>
          </cell>
          <cell r="G100" t="str">
            <v>Rendimiento</v>
          </cell>
          <cell r="H100" t="str">
            <v>Valor-Unit.</v>
          </cell>
          <cell r="I100"/>
        </row>
        <row r="101">
          <cell r="B101" t="str">
            <v>MO006</v>
          </cell>
          <cell r="C101" t="str">
            <v xml:space="preserve">ayudante </v>
          </cell>
          <cell r="D101">
            <v>10336.644836388892</v>
          </cell>
          <cell r="E101"/>
          <cell r="F101">
            <v>10336.644836388892</v>
          </cell>
          <cell r="G101">
            <v>0.2</v>
          </cell>
          <cell r="H101">
            <v>2067.3289672777787</v>
          </cell>
          <cell r="I101"/>
        </row>
        <row r="102">
          <cell r="B102" t="str">
            <v>MO004</v>
          </cell>
          <cell r="C102" t="str">
            <v xml:space="preserve">oficial </v>
          </cell>
          <cell r="D102">
            <v>12336.644836388892</v>
          </cell>
          <cell r="E102"/>
          <cell r="F102">
            <v>12336.644836388892</v>
          </cell>
          <cell r="G102">
            <v>0.1</v>
          </cell>
          <cell r="H102">
            <v>1233.6644836388894</v>
          </cell>
          <cell r="I102"/>
        </row>
        <row r="103">
          <cell r="B103" t="str">
            <v>MO007</v>
          </cell>
          <cell r="C103" t="str">
            <v>contra maestro</v>
          </cell>
          <cell r="D103">
            <v>12974.601086388891</v>
          </cell>
          <cell r="E103"/>
          <cell r="F103">
            <v>12974.601086388891</v>
          </cell>
          <cell r="G103">
            <v>2.0000000000000004E-2</v>
          </cell>
          <cell r="H103">
            <v>259.49202172777785</v>
          </cell>
          <cell r="I103"/>
        </row>
        <row r="104">
          <cell r="B104"/>
          <cell r="C104"/>
          <cell r="D104"/>
          <cell r="E104"/>
          <cell r="F104"/>
          <cell r="G104"/>
          <cell r="H104"/>
          <cell r="I104"/>
        </row>
        <row r="105">
          <cell r="C105"/>
          <cell r="D105"/>
          <cell r="E105"/>
          <cell r="F105" t="str">
            <v>Sub-Total</v>
          </cell>
          <cell r="G105" t="str">
            <v>2.1</v>
          </cell>
          <cell r="H105" t="str">
            <v>MDEO-2.1</v>
          </cell>
          <cell r="I105">
            <v>3560.4854726444455</v>
          </cell>
        </row>
        <row r="106">
          <cell r="C106"/>
          <cell r="D106"/>
          <cell r="E106"/>
          <cell r="F106"/>
          <cell r="G106"/>
          <cell r="H106"/>
          <cell r="I106">
            <v>178.02427363222228</v>
          </cell>
        </row>
        <row r="107">
          <cell r="C107"/>
          <cell r="D107"/>
          <cell r="E107"/>
          <cell r="F107" t="str">
            <v>Total Costo Directo</v>
          </cell>
          <cell r="G107"/>
          <cell r="H107"/>
          <cell r="I107">
            <v>16479</v>
          </cell>
        </row>
        <row r="108">
          <cell r="B108"/>
          <cell r="C108"/>
          <cell r="D108"/>
          <cell r="E108"/>
          <cell r="F108"/>
          <cell r="G108"/>
          <cell r="H108"/>
          <cell r="I108"/>
        </row>
        <row r="109">
          <cell r="B109"/>
          <cell r="C109"/>
          <cell r="D109"/>
          <cell r="E109"/>
          <cell r="F109" t="str">
            <v>REVISA</v>
          </cell>
          <cell r="G109"/>
          <cell r="H109"/>
          <cell r="I109"/>
        </row>
        <row r="110">
          <cell r="B110"/>
          <cell r="C110"/>
          <cell r="D110"/>
          <cell r="E110"/>
          <cell r="F110" t="str">
            <v>FIRMA:</v>
          </cell>
          <cell r="G110"/>
          <cell r="H110"/>
          <cell r="I110"/>
        </row>
        <row r="111">
          <cell r="B111" t="str">
            <v>RAI ANDRE ESCOBAR FERIA</v>
          </cell>
          <cell r="C111"/>
          <cell r="F111" t="str">
            <v>NOMBRE</v>
          </cell>
          <cell r="G111"/>
          <cell r="H111"/>
          <cell r="I111"/>
        </row>
        <row r="112">
          <cell r="B112" t="str">
            <v>M.P. 031037-0642230 BLV</v>
          </cell>
          <cell r="C112"/>
          <cell r="F112" t="str">
            <v>MAT:</v>
          </cell>
          <cell r="G112"/>
          <cell r="H112"/>
          <cell r="I112"/>
        </row>
        <row r="113">
          <cell r="B113"/>
          <cell r="C113"/>
          <cell r="F113"/>
          <cell r="G113"/>
          <cell r="H113"/>
          <cell r="I113"/>
        </row>
        <row r="114">
          <cell r="B114"/>
          <cell r="C114"/>
          <cell r="D114"/>
          <cell r="E114"/>
          <cell r="F114"/>
          <cell r="G114"/>
          <cell r="H114"/>
          <cell r="I114"/>
        </row>
        <row r="115">
          <cell r="B115"/>
          <cell r="C115"/>
          <cell r="D115"/>
          <cell r="E115"/>
          <cell r="F115"/>
          <cell r="G115"/>
          <cell r="H115"/>
          <cell r="I115"/>
        </row>
        <row r="116">
          <cell r="B116"/>
          <cell r="C116"/>
          <cell r="D116"/>
          <cell r="E116"/>
          <cell r="F116"/>
          <cell r="G116"/>
          <cell r="H116"/>
          <cell r="I116"/>
        </row>
        <row r="117">
          <cell r="I117"/>
        </row>
        <row r="118">
          <cell r="B118"/>
          <cell r="C118"/>
          <cell r="D118"/>
          <cell r="E118"/>
          <cell r="F118"/>
          <cell r="G118"/>
          <cell r="H118"/>
          <cell r="I118"/>
        </row>
        <row r="119">
          <cell r="B119" t="str">
            <v>2.2</v>
          </cell>
          <cell r="C119" t="str">
            <v>DESCRIPCION:</v>
          </cell>
          <cell r="D119" t="str">
            <v>Transporte de material proveniente de excavación, entre 0 y 5 km de distancia, incluye expansión no incluye cargue</v>
          </cell>
          <cell r="E119"/>
          <cell r="F119"/>
          <cell r="G119"/>
          <cell r="H119"/>
          <cell r="I119"/>
        </row>
        <row r="120">
          <cell r="B120" t="str">
            <v>900.2-13</v>
          </cell>
          <cell r="C120"/>
          <cell r="D120" t="str">
            <v>UNIDAD</v>
          </cell>
          <cell r="E120" t="str">
            <v>m3</v>
          </cell>
          <cell r="F120" t="str">
            <v>CANTIDAD</v>
          </cell>
          <cell r="G120">
            <v>5385</v>
          </cell>
          <cell r="H120" t="str">
            <v>V. UNITARIO:</v>
          </cell>
          <cell r="I120">
            <v>16283</v>
          </cell>
        </row>
        <row r="121">
          <cell r="B121"/>
          <cell r="C121"/>
          <cell r="D121"/>
          <cell r="E121"/>
          <cell r="F121"/>
          <cell r="G121"/>
          <cell r="H121"/>
          <cell r="I121"/>
        </row>
        <row r="122">
          <cell r="B122"/>
          <cell r="C122"/>
          <cell r="D122"/>
          <cell r="E122"/>
          <cell r="F122" t="str">
            <v>Tarifa/Hora</v>
          </cell>
          <cell r="G122" t="str">
            <v>Rendimiento</v>
          </cell>
          <cell r="H122" t="str">
            <v>Valor-Unit.</v>
          </cell>
          <cell r="I122"/>
        </row>
        <row r="123">
          <cell r="B123" t="str">
            <v>E003</v>
          </cell>
          <cell r="C123" t="str">
            <v>Retrocargador</v>
          </cell>
          <cell r="D123"/>
          <cell r="E123"/>
          <cell r="F123">
            <v>120000</v>
          </cell>
          <cell r="G123">
            <v>0.03</v>
          </cell>
          <cell r="H123">
            <v>3600</v>
          </cell>
          <cell r="I123"/>
        </row>
        <row r="124">
          <cell r="C124"/>
          <cell r="D124"/>
          <cell r="E124"/>
          <cell r="F124" t="str">
            <v>Sub-Total</v>
          </cell>
          <cell r="G124" t="str">
            <v>2.2</v>
          </cell>
          <cell r="H124" t="str">
            <v>EQUI-2.2</v>
          </cell>
          <cell r="I124">
            <v>3600</v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</row>
        <row r="126">
          <cell r="B126"/>
          <cell r="C126"/>
          <cell r="D126"/>
          <cell r="E126" t="str">
            <v>UNIDAD</v>
          </cell>
          <cell r="F126" t="str">
            <v>V.UNIT</v>
          </cell>
          <cell r="G126" t="str">
            <v>CANT</v>
          </cell>
          <cell r="H126" t="str">
            <v>V.TOTAL</v>
          </cell>
          <cell r="I126"/>
        </row>
        <row r="127">
          <cell r="B127"/>
          <cell r="C127"/>
          <cell r="D127"/>
          <cell r="E127"/>
          <cell r="F127"/>
          <cell r="G127"/>
          <cell r="H127">
            <v>0</v>
          </cell>
          <cell r="I127"/>
        </row>
        <row r="128">
          <cell r="C128"/>
          <cell r="D128"/>
          <cell r="E128"/>
          <cell r="F128" t="str">
            <v>Sub-Total</v>
          </cell>
          <cell r="G128" t="str">
            <v>2.2</v>
          </cell>
          <cell r="H128" t="str">
            <v>MAT-2.2</v>
          </cell>
          <cell r="I128">
            <v>0</v>
          </cell>
        </row>
        <row r="129">
          <cell r="B129"/>
          <cell r="C129"/>
          <cell r="D129"/>
          <cell r="E129"/>
          <cell r="F129"/>
          <cell r="G129"/>
          <cell r="H129"/>
          <cell r="I129"/>
        </row>
        <row r="130">
          <cell r="B130"/>
          <cell r="C130"/>
          <cell r="D130" t="str">
            <v xml:space="preserve">CAN </v>
          </cell>
          <cell r="E130" t="str">
            <v>DISTANCIA</v>
          </cell>
          <cell r="F130" t="str">
            <v>M3-Km / UN-KM</v>
          </cell>
          <cell r="G130" t="str">
            <v>TARIFA</v>
          </cell>
          <cell r="H130" t="str">
            <v>Valor-Unit.</v>
          </cell>
          <cell r="I130"/>
        </row>
        <row r="131">
          <cell r="B131" t="str">
            <v>T004</v>
          </cell>
          <cell r="C131" t="str">
            <v>trans mat sobrante 0-5km</v>
          </cell>
          <cell r="D131">
            <v>1.25</v>
          </cell>
          <cell r="E131">
            <v>5</v>
          </cell>
          <cell r="F131">
            <v>6.25</v>
          </cell>
          <cell r="G131">
            <v>2000</v>
          </cell>
          <cell r="H131">
            <v>12500</v>
          </cell>
          <cell r="I131"/>
        </row>
        <row r="132">
          <cell r="C132"/>
          <cell r="D132"/>
          <cell r="E132"/>
          <cell r="F132" t="str">
            <v>Sub-Total</v>
          </cell>
          <cell r="G132" t="str">
            <v>2.2</v>
          </cell>
          <cell r="H132" t="str">
            <v>TRAN-2.2</v>
          </cell>
          <cell r="I132">
            <v>12500</v>
          </cell>
        </row>
        <row r="133">
          <cell r="B133"/>
          <cell r="C133"/>
          <cell r="D133"/>
          <cell r="E133"/>
          <cell r="F133"/>
          <cell r="G133"/>
          <cell r="H133"/>
          <cell r="I133"/>
        </row>
        <row r="134">
          <cell r="B134"/>
          <cell r="C134"/>
          <cell r="D134" t="str">
            <v>JORNAL-HORA</v>
          </cell>
          <cell r="E134" t="str">
            <v>PRES</v>
          </cell>
          <cell r="F134" t="str">
            <v>Jornal Total</v>
          </cell>
          <cell r="G134" t="str">
            <v>Rendimiento</v>
          </cell>
          <cell r="H134" t="str">
            <v>Valor-Unit.</v>
          </cell>
          <cell r="I134"/>
        </row>
        <row r="135">
          <cell r="B135" t="str">
            <v>MO006</v>
          </cell>
          <cell r="C135" t="str">
            <v xml:space="preserve">ayudante </v>
          </cell>
          <cell r="D135">
            <v>10336.644836388892</v>
          </cell>
          <cell r="E135"/>
          <cell r="F135">
            <v>10336.644836388892</v>
          </cell>
          <cell r="G135">
            <v>1.4999999999999999E-2</v>
          </cell>
          <cell r="H135">
            <v>155.04967254583337</v>
          </cell>
          <cell r="I135"/>
        </row>
        <row r="136">
          <cell r="B136" t="str">
            <v>MO007</v>
          </cell>
          <cell r="C136" t="str">
            <v>contra maestro</v>
          </cell>
          <cell r="D136">
            <v>12974.601086388891</v>
          </cell>
          <cell r="E136"/>
          <cell r="F136">
            <v>12974.601086388891</v>
          </cell>
          <cell r="G136">
            <v>1.5E-3</v>
          </cell>
          <cell r="H136">
            <v>19.461901629583338</v>
          </cell>
          <cell r="I136"/>
        </row>
        <row r="137">
          <cell r="B137"/>
          <cell r="C137"/>
          <cell r="D137"/>
          <cell r="E137"/>
          <cell r="F137"/>
          <cell r="G137"/>
          <cell r="H137"/>
          <cell r="I137"/>
        </row>
        <row r="138">
          <cell r="C138"/>
          <cell r="D138"/>
          <cell r="E138"/>
          <cell r="F138" t="str">
            <v>Sub-Total</v>
          </cell>
          <cell r="G138" t="str">
            <v>2.2</v>
          </cell>
          <cell r="H138" t="str">
            <v>MDEO-2.2</v>
          </cell>
          <cell r="I138">
            <v>174.51157417541671</v>
          </cell>
        </row>
        <row r="139">
          <cell r="C139"/>
          <cell r="D139"/>
          <cell r="E139"/>
          <cell r="F139"/>
          <cell r="G139"/>
          <cell r="H139"/>
          <cell r="I139">
            <v>8.7255787087708363</v>
          </cell>
        </row>
        <row r="140">
          <cell r="C140"/>
          <cell r="D140"/>
          <cell r="E140"/>
          <cell r="F140" t="str">
            <v>Total Costo Directo</v>
          </cell>
          <cell r="G140"/>
          <cell r="H140"/>
          <cell r="I140">
            <v>16283</v>
          </cell>
        </row>
        <row r="141">
          <cell r="B141"/>
          <cell r="C141"/>
          <cell r="D141"/>
          <cell r="E141"/>
          <cell r="F141" t="str">
            <v>REVISA</v>
          </cell>
          <cell r="G141"/>
          <cell r="H141"/>
          <cell r="I141"/>
        </row>
        <row r="142">
          <cell r="B142"/>
          <cell r="C142"/>
          <cell r="D142"/>
          <cell r="E142"/>
          <cell r="F142" t="str">
            <v>FIRMA:</v>
          </cell>
          <cell r="G142"/>
          <cell r="H142"/>
          <cell r="I142"/>
        </row>
        <row r="143">
          <cell r="B143" t="str">
            <v>RAI ANDRE ESCOBAR FERIA</v>
          </cell>
          <cell r="C143"/>
          <cell r="F143" t="str">
            <v>NOMBRE</v>
          </cell>
          <cell r="G143"/>
          <cell r="H143"/>
          <cell r="I143"/>
        </row>
        <row r="144">
          <cell r="B144" t="str">
            <v>M.P. 031037-0642230 BLV</v>
          </cell>
          <cell r="C144"/>
          <cell r="F144" t="str">
            <v>MAT:</v>
          </cell>
          <cell r="G144"/>
          <cell r="H144"/>
          <cell r="I144"/>
        </row>
        <row r="145">
          <cell r="B145"/>
          <cell r="C145"/>
          <cell r="F145"/>
          <cell r="G145"/>
          <cell r="H145"/>
          <cell r="I145"/>
        </row>
        <row r="146">
          <cell r="B146"/>
          <cell r="C146"/>
          <cell r="D146"/>
          <cell r="E146"/>
          <cell r="F146"/>
          <cell r="G146"/>
          <cell r="H146"/>
          <cell r="I146"/>
        </row>
        <row r="147">
          <cell r="B147"/>
          <cell r="C147"/>
          <cell r="D147"/>
          <cell r="E147"/>
          <cell r="F147"/>
          <cell r="G147"/>
          <cell r="H147"/>
          <cell r="I147"/>
        </row>
        <row r="148">
          <cell r="B148"/>
          <cell r="C148"/>
          <cell r="D148"/>
          <cell r="E148"/>
          <cell r="F148"/>
          <cell r="G148"/>
          <cell r="H148"/>
          <cell r="I148"/>
        </row>
        <row r="149">
          <cell r="B149"/>
          <cell r="C149"/>
          <cell r="D149"/>
          <cell r="E149"/>
          <cell r="F149"/>
          <cell r="G149"/>
          <cell r="H149"/>
          <cell r="I149"/>
        </row>
        <row r="150">
          <cell r="B150" t="str">
            <v>2.3</v>
          </cell>
          <cell r="C150" t="str">
            <v>DESCRIPCION:</v>
          </cell>
          <cell r="D150" t="str">
            <v xml:space="preserve">Realce de válvula de acueducto, incluye suministro e instalación de accesorios </v>
          </cell>
          <cell r="E150"/>
          <cell r="F150"/>
          <cell r="G150"/>
          <cell r="H150"/>
          <cell r="I150"/>
        </row>
        <row r="151">
          <cell r="B151" t="str">
            <v>PAR_03</v>
          </cell>
          <cell r="C151"/>
          <cell r="D151" t="str">
            <v>UNIDAD</v>
          </cell>
          <cell r="E151" t="str">
            <v>UNIDAD</v>
          </cell>
          <cell r="F151" t="str">
            <v>CANTIDAD</v>
          </cell>
          <cell r="G151">
            <v>4</v>
          </cell>
          <cell r="H151" t="str">
            <v>V. UNITARIO:</v>
          </cell>
          <cell r="I151">
            <v>124050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</row>
        <row r="153">
          <cell r="B153"/>
          <cell r="C153"/>
          <cell r="D153"/>
          <cell r="E153"/>
          <cell r="F153" t="str">
            <v>Tarifa/Hora</v>
          </cell>
          <cell r="G153" t="str">
            <v>Rendimiento</v>
          </cell>
          <cell r="H153" t="str">
            <v>Valor-Unit.</v>
          </cell>
          <cell r="I153"/>
        </row>
        <row r="154">
          <cell r="B154"/>
          <cell r="C154"/>
          <cell r="D154"/>
          <cell r="E154"/>
          <cell r="F154"/>
          <cell r="G154"/>
          <cell r="H154">
            <v>0</v>
          </cell>
          <cell r="I154"/>
        </row>
        <row r="155">
          <cell r="C155"/>
          <cell r="D155"/>
          <cell r="E155"/>
          <cell r="F155" t="str">
            <v>Sub-Total</v>
          </cell>
          <cell r="G155" t="str">
            <v>2.3</v>
          </cell>
          <cell r="H155" t="str">
            <v>EQUI-2.3</v>
          </cell>
          <cell r="I155">
            <v>0</v>
          </cell>
        </row>
        <row r="156">
          <cell r="B156"/>
          <cell r="C156"/>
          <cell r="D156"/>
          <cell r="E156"/>
          <cell r="F156"/>
          <cell r="G156"/>
          <cell r="H156"/>
          <cell r="I156"/>
        </row>
        <row r="157">
          <cell r="B157"/>
          <cell r="C157"/>
          <cell r="D157"/>
          <cell r="E157" t="str">
            <v>UNIDAD</v>
          </cell>
          <cell r="F157" t="str">
            <v>V.UNIT</v>
          </cell>
          <cell r="G157" t="str">
            <v>CANT</v>
          </cell>
          <cell r="H157" t="str">
            <v>V.TOTAL</v>
          </cell>
          <cell r="I157"/>
        </row>
        <row r="158">
          <cell r="B158" t="str">
            <v>M020</v>
          </cell>
          <cell r="C158" t="str">
            <v>niple 6"</v>
          </cell>
          <cell r="D158"/>
          <cell r="E158" t="str">
            <v>Unidad</v>
          </cell>
          <cell r="F158">
            <v>85000</v>
          </cell>
          <cell r="G158">
            <v>1</v>
          </cell>
          <cell r="H158">
            <v>85000</v>
          </cell>
          <cell r="I158"/>
        </row>
        <row r="159">
          <cell r="C159"/>
          <cell r="D159"/>
          <cell r="E159"/>
          <cell r="F159" t="str">
            <v>Sub-Total</v>
          </cell>
          <cell r="G159" t="str">
            <v>2.3</v>
          </cell>
          <cell r="H159" t="str">
            <v>MAT-2.3</v>
          </cell>
          <cell r="I159">
            <v>85000</v>
          </cell>
        </row>
        <row r="160">
          <cell r="B160"/>
          <cell r="C160"/>
          <cell r="D160"/>
          <cell r="E160"/>
          <cell r="F160"/>
          <cell r="G160"/>
          <cell r="H160"/>
          <cell r="I160"/>
        </row>
        <row r="161">
          <cell r="B161"/>
          <cell r="C161"/>
          <cell r="D161" t="str">
            <v xml:space="preserve">CAN </v>
          </cell>
          <cell r="E161" t="str">
            <v>DISTANCIA</v>
          </cell>
          <cell r="F161" t="str">
            <v>M3-Km / UN-KM</v>
          </cell>
          <cell r="G161" t="str">
            <v>TARIFA</v>
          </cell>
          <cell r="H161" t="str">
            <v>Valor-Unit.</v>
          </cell>
          <cell r="I161"/>
        </row>
        <row r="162">
          <cell r="B162"/>
          <cell r="C162"/>
          <cell r="D162"/>
          <cell r="E162"/>
          <cell r="F162"/>
          <cell r="G162"/>
          <cell r="H162"/>
          <cell r="I162"/>
        </row>
        <row r="163">
          <cell r="C163"/>
          <cell r="D163"/>
          <cell r="E163"/>
          <cell r="F163" t="str">
            <v>Sub-Total</v>
          </cell>
          <cell r="G163" t="str">
            <v>2.3</v>
          </cell>
          <cell r="H163" t="str">
            <v>TRAN-2.3</v>
          </cell>
          <cell r="I163">
            <v>0</v>
          </cell>
        </row>
        <row r="164">
          <cell r="B164"/>
          <cell r="C164"/>
          <cell r="D164"/>
          <cell r="E164"/>
          <cell r="F164"/>
          <cell r="G164"/>
          <cell r="H164"/>
          <cell r="I164"/>
        </row>
        <row r="165">
          <cell r="B165"/>
          <cell r="C165"/>
          <cell r="D165" t="str">
            <v>JORNAL-HORA</v>
          </cell>
          <cell r="E165" t="str">
            <v>PRES</v>
          </cell>
          <cell r="F165" t="str">
            <v>Jornal Total</v>
          </cell>
          <cell r="G165" t="str">
            <v>Rendimiento</v>
          </cell>
          <cell r="H165" t="str">
            <v>Valor-Unit.</v>
          </cell>
          <cell r="I165"/>
        </row>
        <row r="166">
          <cell r="B166" t="str">
            <v>MO004</v>
          </cell>
          <cell r="C166" t="str">
            <v xml:space="preserve">oficial </v>
          </cell>
          <cell r="D166">
            <v>12336.644836388892</v>
          </cell>
          <cell r="E166"/>
          <cell r="F166">
            <v>12336.644836388892</v>
          </cell>
          <cell r="G166">
            <v>1.1000000000000001</v>
          </cell>
          <cell r="H166">
            <v>13570.309320027782</v>
          </cell>
          <cell r="I166"/>
        </row>
        <row r="167">
          <cell r="B167" t="str">
            <v>MO005</v>
          </cell>
          <cell r="C167" t="str">
            <v xml:space="preserve">ayudante entendido </v>
          </cell>
          <cell r="D167">
            <v>11136.644836388892</v>
          </cell>
          <cell r="E167"/>
          <cell r="F167">
            <v>11136.644836388892</v>
          </cell>
          <cell r="G167">
            <v>1.1000000000000001</v>
          </cell>
          <cell r="H167">
            <v>12250.309320027782</v>
          </cell>
          <cell r="I167"/>
        </row>
        <row r="168">
          <cell r="B168" t="str">
            <v>MO006</v>
          </cell>
          <cell r="C168" t="str">
            <v xml:space="preserve">ayudante </v>
          </cell>
          <cell r="D168">
            <v>10336.644836388892</v>
          </cell>
          <cell r="E168"/>
          <cell r="F168">
            <v>10336.644836388892</v>
          </cell>
          <cell r="G168">
            <v>1.1000000000000001</v>
          </cell>
          <cell r="H168">
            <v>11370.309320027782</v>
          </cell>
          <cell r="I168"/>
        </row>
        <row r="169">
          <cell r="B169"/>
          <cell r="C169"/>
          <cell r="D169"/>
          <cell r="E169"/>
          <cell r="F169"/>
          <cell r="G169"/>
          <cell r="H169"/>
          <cell r="I169"/>
        </row>
        <row r="170">
          <cell r="C170"/>
          <cell r="D170"/>
          <cell r="E170"/>
          <cell r="F170" t="str">
            <v>Sub-Total</v>
          </cell>
          <cell r="G170" t="str">
            <v>2.3</v>
          </cell>
          <cell r="H170" t="str">
            <v>MDEO-2.3</v>
          </cell>
          <cell r="I170">
            <v>37190.927960083347</v>
          </cell>
        </row>
        <row r="171">
          <cell r="C171"/>
          <cell r="D171"/>
          <cell r="E171"/>
          <cell r="F171"/>
          <cell r="G171"/>
          <cell r="H171"/>
          <cell r="I171">
            <v>1859.5463980041675</v>
          </cell>
        </row>
        <row r="172">
          <cell r="C172"/>
          <cell r="D172"/>
          <cell r="E172"/>
          <cell r="F172" t="str">
            <v>Total Costo Directo</v>
          </cell>
          <cell r="G172"/>
          <cell r="H172"/>
          <cell r="I172">
            <v>124050</v>
          </cell>
        </row>
        <row r="173">
          <cell r="B173"/>
          <cell r="C173"/>
          <cell r="D173"/>
          <cell r="E173"/>
          <cell r="F173" t="str">
            <v>REVISA</v>
          </cell>
          <cell r="G173"/>
          <cell r="H173"/>
          <cell r="I173"/>
        </row>
        <row r="174">
          <cell r="B174"/>
          <cell r="C174"/>
          <cell r="D174"/>
          <cell r="E174"/>
          <cell r="F174" t="str">
            <v>FIRMA:</v>
          </cell>
          <cell r="G174"/>
          <cell r="H174"/>
          <cell r="I174"/>
        </row>
        <row r="175">
          <cell r="B175" t="str">
            <v>RAI ANDRE ESCOBAR FERIA</v>
          </cell>
          <cell r="C175"/>
          <cell r="F175" t="str">
            <v>NOMBRE</v>
          </cell>
          <cell r="G175"/>
          <cell r="H175"/>
          <cell r="I175"/>
        </row>
        <row r="176">
          <cell r="B176" t="str">
            <v>M.P. 031037-0642230 BLV</v>
          </cell>
          <cell r="C176"/>
          <cell r="F176" t="str">
            <v>MAT:</v>
          </cell>
          <cell r="G176"/>
          <cell r="H176"/>
          <cell r="I176"/>
        </row>
        <row r="177">
          <cell r="B177"/>
          <cell r="C177"/>
          <cell r="F177"/>
          <cell r="G177"/>
          <cell r="H177"/>
          <cell r="I177"/>
        </row>
        <row r="178">
          <cell r="B178"/>
          <cell r="C178"/>
          <cell r="D178"/>
          <cell r="E178"/>
          <cell r="F178"/>
          <cell r="G178"/>
          <cell r="H178"/>
          <cell r="I178"/>
        </row>
        <row r="179">
          <cell r="B179"/>
          <cell r="C179"/>
          <cell r="D179"/>
          <cell r="E179"/>
          <cell r="F179"/>
          <cell r="G179"/>
          <cell r="H179"/>
          <cell r="I179"/>
        </row>
        <row r="180">
          <cell r="B180"/>
          <cell r="C180"/>
          <cell r="D180"/>
          <cell r="E180"/>
          <cell r="F180"/>
          <cell r="G180"/>
          <cell r="H180"/>
          <cell r="I180"/>
        </row>
        <row r="181">
          <cell r="B181"/>
          <cell r="C181"/>
          <cell r="D181"/>
          <cell r="E181"/>
          <cell r="F181"/>
          <cell r="G181"/>
          <cell r="H181"/>
          <cell r="I181"/>
        </row>
        <row r="182">
          <cell r="B182" t="str">
            <v>2.4</v>
          </cell>
          <cell r="C182" t="str">
            <v>DESCRIPCION:</v>
          </cell>
          <cell r="D182" t="str">
            <v>Realce de caja inspección circular, incluye herraje para cuello y tapa, incluye formaleta no recuperable</v>
          </cell>
          <cell r="E182"/>
          <cell r="F182"/>
          <cell r="G182"/>
          <cell r="H182"/>
          <cell r="I182"/>
        </row>
        <row r="183">
          <cell r="B183" t="str">
            <v>PAR_04</v>
          </cell>
          <cell r="C183"/>
          <cell r="D183" t="str">
            <v>UNIDAD</v>
          </cell>
          <cell r="E183" t="str">
            <v>UNIDAD</v>
          </cell>
          <cell r="F183" t="str">
            <v>CANTIDAD</v>
          </cell>
          <cell r="G183">
            <v>9</v>
          </cell>
          <cell r="H183" t="str">
            <v>V. UNITARIO:</v>
          </cell>
          <cell r="I183">
            <v>433476</v>
          </cell>
        </row>
        <row r="184">
          <cell r="B184"/>
          <cell r="C184"/>
          <cell r="D184"/>
          <cell r="E184"/>
          <cell r="F184"/>
          <cell r="G184"/>
          <cell r="H184"/>
          <cell r="I184"/>
        </row>
        <row r="185">
          <cell r="B185"/>
          <cell r="C185"/>
          <cell r="D185"/>
          <cell r="E185"/>
          <cell r="F185" t="str">
            <v>Tarifa/Hora</v>
          </cell>
          <cell r="G185" t="str">
            <v>Rendimiento</v>
          </cell>
          <cell r="H185" t="str">
            <v>Valor-Unit.</v>
          </cell>
          <cell r="I185"/>
        </row>
        <row r="186">
          <cell r="B186"/>
          <cell r="C186"/>
          <cell r="D186"/>
          <cell r="E186"/>
          <cell r="F186"/>
          <cell r="G186"/>
          <cell r="H186">
            <v>0</v>
          </cell>
          <cell r="I186"/>
        </row>
        <row r="187">
          <cell r="C187"/>
          <cell r="D187"/>
          <cell r="E187"/>
          <cell r="F187" t="str">
            <v>Sub-Total</v>
          </cell>
          <cell r="G187" t="str">
            <v>2.4</v>
          </cell>
          <cell r="H187" t="str">
            <v>EQUI-2.4</v>
          </cell>
          <cell r="I187">
            <v>0</v>
          </cell>
        </row>
        <row r="188">
          <cell r="B188"/>
          <cell r="C188"/>
          <cell r="D188"/>
          <cell r="E188"/>
          <cell r="F188"/>
          <cell r="G188"/>
          <cell r="H188"/>
          <cell r="I188"/>
        </row>
        <row r="189">
          <cell r="B189"/>
          <cell r="C189"/>
          <cell r="D189"/>
          <cell r="E189" t="str">
            <v>UNIDAD</v>
          </cell>
          <cell r="F189" t="str">
            <v>V.UNIT</v>
          </cell>
          <cell r="G189" t="str">
            <v>CANT</v>
          </cell>
          <cell r="H189" t="str">
            <v>V.TOTAL</v>
          </cell>
          <cell r="I189"/>
        </row>
        <row r="190">
          <cell r="B190" t="str">
            <v>M018</v>
          </cell>
          <cell r="C190" t="str">
            <v>herraje para cámara de inspección tipo MH</v>
          </cell>
          <cell r="D190"/>
          <cell r="E190" t="str">
            <v>Unidad</v>
          </cell>
          <cell r="F190">
            <v>350000</v>
          </cell>
          <cell r="G190">
            <v>1</v>
          </cell>
          <cell r="H190">
            <v>350000</v>
          </cell>
          <cell r="I190"/>
        </row>
        <row r="191">
          <cell r="B191" t="str">
            <v>M038</v>
          </cell>
          <cell r="C191" t="str">
            <v>tabla común 3m</v>
          </cell>
          <cell r="D191"/>
          <cell r="E191" t="str">
            <v>UN</v>
          </cell>
          <cell r="F191">
            <v>7500</v>
          </cell>
          <cell r="G191">
            <v>1.3</v>
          </cell>
          <cell r="H191">
            <v>9750</v>
          </cell>
          <cell r="I191"/>
        </row>
        <row r="192">
          <cell r="C192"/>
          <cell r="D192"/>
          <cell r="E192"/>
          <cell r="F192" t="str">
            <v>Sub-Total</v>
          </cell>
          <cell r="G192" t="str">
            <v>2.4</v>
          </cell>
          <cell r="H192" t="str">
            <v>MAT-2.4</v>
          </cell>
          <cell r="I192">
            <v>359750</v>
          </cell>
        </row>
        <row r="193">
          <cell r="B193"/>
          <cell r="C193"/>
          <cell r="D193"/>
          <cell r="E193"/>
          <cell r="F193"/>
          <cell r="G193"/>
          <cell r="H193"/>
          <cell r="I193"/>
        </row>
        <row r="194">
          <cell r="B194"/>
          <cell r="C194"/>
          <cell r="D194" t="str">
            <v xml:space="preserve">CAN </v>
          </cell>
          <cell r="E194" t="str">
            <v>DISTANCIA</v>
          </cell>
          <cell r="F194" t="str">
            <v>M3-Km / UN-KM</v>
          </cell>
          <cell r="G194" t="str">
            <v>TARIFA</v>
          </cell>
          <cell r="H194" t="str">
            <v>Valor-Unit.</v>
          </cell>
          <cell r="I194"/>
        </row>
        <row r="195">
          <cell r="B195"/>
          <cell r="C195"/>
          <cell r="D195"/>
          <cell r="E195"/>
          <cell r="F195"/>
          <cell r="G195"/>
          <cell r="H195">
            <v>0</v>
          </cell>
          <cell r="I195"/>
        </row>
        <row r="196">
          <cell r="C196"/>
          <cell r="D196"/>
          <cell r="E196"/>
          <cell r="F196" t="str">
            <v>Sub-Total</v>
          </cell>
          <cell r="G196" t="str">
            <v>2.4</v>
          </cell>
          <cell r="H196" t="str">
            <v>TRAN-2.4</v>
          </cell>
          <cell r="I196">
            <v>0</v>
          </cell>
        </row>
        <row r="197">
          <cell r="B197"/>
          <cell r="C197"/>
          <cell r="D197"/>
          <cell r="E197"/>
          <cell r="F197"/>
          <cell r="G197"/>
          <cell r="H197"/>
          <cell r="I197"/>
        </row>
        <row r="198">
          <cell r="B198"/>
          <cell r="C198"/>
          <cell r="D198" t="str">
            <v>JORNAL-HORA</v>
          </cell>
          <cell r="E198" t="str">
            <v>PRES</v>
          </cell>
          <cell r="F198" t="str">
            <v>Jornal Total</v>
          </cell>
          <cell r="G198" t="str">
            <v>Rendimiento</v>
          </cell>
          <cell r="H198" t="str">
            <v>Valor-Unit.</v>
          </cell>
          <cell r="I198"/>
        </row>
        <row r="199">
          <cell r="B199" t="str">
            <v>MO004</v>
          </cell>
          <cell r="C199" t="str">
            <v xml:space="preserve">oficial </v>
          </cell>
          <cell r="D199">
            <v>12336.644836388892</v>
          </cell>
          <cell r="E199"/>
          <cell r="F199">
            <v>12336.644836388892</v>
          </cell>
          <cell r="G199">
            <v>2</v>
          </cell>
          <cell r="H199">
            <v>24673.289672777784</v>
          </cell>
          <cell r="I199"/>
        </row>
        <row r="200">
          <cell r="B200" t="str">
            <v>MO005</v>
          </cell>
          <cell r="C200" t="str">
            <v xml:space="preserve">ayudante entendido </v>
          </cell>
          <cell r="D200">
            <v>11136.644836388892</v>
          </cell>
          <cell r="E200"/>
          <cell r="F200">
            <v>11136.644836388892</v>
          </cell>
          <cell r="G200">
            <v>2</v>
          </cell>
          <cell r="H200">
            <v>22273.289672777784</v>
          </cell>
          <cell r="I200"/>
        </row>
        <row r="201">
          <cell r="B201" t="str">
            <v>MO006</v>
          </cell>
          <cell r="C201" t="str">
            <v xml:space="preserve">ayudante </v>
          </cell>
          <cell r="D201">
            <v>10336.644836388892</v>
          </cell>
          <cell r="E201"/>
          <cell r="F201">
            <v>10336.644836388892</v>
          </cell>
          <cell r="G201">
            <v>2</v>
          </cell>
          <cell r="H201">
            <v>20673.289672777784</v>
          </cell>
          <cell r="I201"/>
        </row>
        <row r="202">
          <cell r="B202" t="str">
            <v>MO007</v>
          </cell>
          <cell r="C202" t="str">
            <v>contra maestro</v>
          </cell>
          <cell r="D202">
            <v>12974.601086388891</v>
          </cell>
          <cell r="E202"/>
          <cell r="F202">
            <v>12974.601086388891</v>
          </cell>
          <cell r="G202">
            <v>0.2</v>
          </cell>
          <cell r="H202">
            <v>2594.9202172777786</v>
          </cell>
          <cell r="I202"/>
        </row>
        <row r="203">
          <cell r="B203"/>
          <cell r="C203"/>
          <cell r="D203"/>
          <cell r="E203"/>
          <cell r="F203"/>
          <cell r="G203"/>
          <cell r="H203"/>
          <cell r="I203"/>
        </row>
        <row r="204">
          <cell r="C204"/>
          <cell r="D204"/>
          <cell r="E204"/>
          <cell r="F204" t="str">
            <v>Sub-Total</v>
          </cell>
          <cell r="G204" t="str">
            <v>2.4</v>
          </cell>
          <cell r="H204" t="str">
            <v>MDEO-2.4</v>
          </cell>
          <cell r="I204">
            <v>70214.789235611126</v>
          </cell>
        </row>
        <row r="205">
          <cell r="C205"/>
          <cell r="D205"/>
          <cell r="E205"/>
          <cell r="F205"/>
          <cell r="G205"/>
          <cell r="H205"/>
          <cell r="I205">
            <v>3510.7394617805567</v>
          </cell>
        </row>
        <row r="206">
          <cell r="C206"/>
          <cell r="D206"/>
          <cell r="E206"/>
          <cell r="F206" t="str">
            <v>Total Costo Directo</v>
          </cell>
          <cell r="G206"/>
          <cell r="H206"/>
          <cell r="I206">
            <v>433476</v>
          </cell>
        </row>
        <row r="207">
          <cell r="B207"/>
          <cell r="C207"/>
          <cell r="D207"/>
          <cell r="E207"/>
          <cell r="F207"/>
          <cell r="G207"/>
          <cell r="H207"/>
          <cell r="I207"/>
        </row>
        <row r="208">
          <cell r="B208"/>
          <cell r="C208"/>
          <cell r="D208"/>
          <cell r="E208"/>
          <cell r="F208" t="str">
            <v>REVISA</v>
          </cell>
          <cell r="G208"/>
          <cell r="H208"/>
          <cell r="I208"/>
        </row>
        <row r="209">
          <cell r="B209"/>
          <cell r="C209"/>
          <cell r="D209"/>
          <cell r="E209"/>
          <cell r="F209" t="str">
            <v>FIRMA:</v>
          </cell>
          <cell r="G209"/>
          <cell r="H209"/>
          <cell r="I209"/>
        </row>
        <row r="210">
          <cell r="B210" t="str">
            <v>RAI ANDRE ESCOBAR FERIA</v>
          </cell>
          <cell r="C210"/>
          <cell r="F210" t="str">
            <v>NOMBRE</v>
          </cell>
          <cell r="G210"/>
          <cell r="H210"/>
          <cell r="I210"/>
        </row>
        <row r="211">
          <cell r="B211" t="str">
            <v>M.P. 031037-0642230 BLV</v>
          </cell>
          <cell r="C211"/>
          <cell r="F211" t="str">
            <v>MAT:</v>
          </cell>
          <cell r="G211"/>
          <cell r="H211"/>
          <cell r="I211"/>
        </row>
        <row r="212">
          <cell r="B212"/>
          <cell r="C212"/>
          <cell r="F212"/>
          <cell r="G212"/>
          <cell r="H212"/>
          <cell r="I212"/>
        </row>
        <row r="213">
          <cell r="B213"/>
          <cell r="C213"/>
          <cell r="D213"/>
          <cell r="E213"/>
          <cell r="F213"/>
          <cell r="G213"/>
          <cell r="H213"/>
          <cell r="I213"/>
        </row>
        <row r="214">
          <cell r="B214"/>
          <cell r="C214"/>
          <cell r="D214"/>
          <cell r="E214"/>
          <cell r="F214"/>
          <cell r="G214"/>
          <cell r="H214"/>
          <cell r="I214"/>
        </row>
        <row r="215">
          <cell r="B215"/>
          <cell r="C215"/>
          <cell r="D215"/>
          <cell r="E215"/>
          <cell r="F215"/>
          <cell r="G215"/>
          <cell r="H215"/>
          <cell r="I215"/>
        </row>
        <row r="216">
          <cell r="B216"/>
          <cell r="C216"/>
          <cell r="D216"/>
          <cell r="E216"/>
          <cell r="F216"/>
          <cell r="G216"/>
          <cell r="H216"/>
          <cell r="I216"/>
        </row>
        <row r="217">
          <cell r="B217" t="str">
            <v>2.5</v>
          </cell>
          <cell r="C217" t="str">
            <v>DESCRIPCION:</v>
          </cell>
          <cell r="D217" t="str">
            <v>Realce de cajas domiciliarias, incluye herraje de cuello, tapa y formaleta</v>
          </cell>
          <cell r="E217"/>
          <cell r="F217"/>
          <cell r="G217"/>
          <cell r="H217"/>
          <cell r="I217"/>
        </row>
        <row r="218">
          <cell r="B218" t="str">
            <v>PAR_05</v>
          </cell>
          <cell r="C218"/>
          <cell r="D218" t="str">
            <v>UNIDAD</v>
          </cell>
          <cell r="E218" t="str">
            <v>UNIDAD</v>
          </cell>
          <cell r="F218" t="str">
            <v>CANTIDAD</v>
          </cell>
          <cell r="G218">
            <v>165</v>
          </cell>
          <cell r="H218" t="str">
            <v>V. UNITARIO:</v>
          </cell>
          <cell r="I218">
            <v>320240</v>
          </cell>
        </row>
        <row r="219">
          <cell r="B219"/>
          <cell r="C219"/>
          <cell r="D219"/>
          <cell r="E219"/>
          <cell r="F219"/>
          <cell r="G219"/>
          <cell r="H219"/>
          <cell r="I219"/>
        </row>
        <row r="220">
          <cell r="B220"/>
          <cell r="C220"/>
          <cell r="D220"/>
          <cell r="E220"/>
          <cell r="F220" t="str">
            <v>Tarifa/Hora</v>
          </cell>
          <cell r="G220" t="str">
            <v>Rendimiento</v>
          </cell>
          <cell r="H220" t="str">
            <v>Valor-Unit.</v>
          </cell>
          <cell r="I220"/>
        </row>
        <row r="221">
          <cell r="B221"/>
          <cell r="C221"/>
          <cell r="D221"/>
          <cell r="E221"/>
          <cell r="F221"/>
          <cell r="G221"/>
          <cell r="H221">
            <v>0</v>
          </cell>
          <cell r="I221"/>
        </row>
        <row r="222">
          <cell r="C222"/>
          <cell r="D222"/>
          <cell r="E222"/>
          <cell r="F222" t="str">
            <v>Sub-Total</v>
          </cell>
          <cell r="G222" t="str">
            <v>2.5</v>
          </cell>
          <cell r="H222" t="str">
            <v>EQUI-2.5</v>
          </cell>
          <cell r="I222">
            <v>0</v>
          </cell>
        </row>
        <row r="223">
          <cell r="B223"/>
          <cell r="C223"/>
          <cell r="D223"/>
          <cell r="E223"/>
          <cell r="F223"/>
          <cell r="G223"/>
          <cell r="H223"/>
          <cell r="I223"/>
        </row>
        <row r="224">
          <cell r="B224"/>
          <cell r="C224"/>
          <cell r="D224"/>
          <cell r="E224" t="str">
            <v>UNIDAD</v>
          </cell>
          <cell r="F224" t="str">
            <v>V.UNIT</v>
          </cell>
          <cell r="G224" t="str">
            <v>CANT</v>
          </cell>
          <cell r="H224" t="str">
            <v>V.TOTAL</v>
          </cell>
          <cell r="I224"/>
        </row>
        <row r="225">
          <cell r="B225" t="str">
            <v>M006</v>
          </cell>
          <cell r="C225" t="str">
            <v>Concreto 2500 psi en obra</v>
          </cell>
          <cell r="D225"/>
          <cell r="E225" t="str">
            <v>M3</v>
          </cell>
          <cell r="F225">
            <v>439313</v>
          </cell>
          <cell r="G225">
            <v>0.10799999999999998</v>
          </cell>
          <cell r="H225">
            <v>47445.803999999996</v>
          </cell>
          <cell r="I225"/>
        </row>
        <row r="226">
          <cell r="B226" t="str">
            <v>M017</v>
          </cell>
          <cell r="C226" t="str">
            <v>herraje para caja domiciliaria inc. ref.</v>
          </cell>
          <cell r="D226"/>
          <cell r="E226" t="str">
            <v>UN</v>
          </cell>
          <cell r="F226">
            <v>210000</v>
          </cell>
          <cell r="G226">
            <v>1</v>
          </cell>
          <cell r="H226">
            <v>210000</v>
          </cell>
          <cell r="I226"/>
        </row>
        <row r="227">
          <cell r="B227" t="str">
            <v>M038</v>
          </cell>
          <cell r="C227" t="str">
            <v>tabla común 3m</v>
          </cell>
          <cell r="D227"/>
          <cell r="E227" t="str">
            <v>UN</v>
          </cell>
          <cell r="F227">
            <v>7500</v>
          </cell>
          <cell r="G227">
            <v>1</v>
          </cell>
          <cell r="H227">
            <v>7500</v>
          </cell>
          <cell r="I227"/>
        </row>
        <row r="228">
          <cell r="C228"/>
          <cell r="D228"/>
          <cell r="E228"/>
          <cell r="F228" t="str">
            <v>Sub-Total</v>
          </cell>
          <cell r="G228" t="str">
            <v>2.5</v>
          </cell>
          <cell r="H228" t="str">
            <v>MAT-2.5</v>
          </cell>
          <cell r="I228">
            <v>264945.804</v>
          </cell>
        </row>
        <row r="229">
          <cell r="B229"/>
          <cell r="C229"/>
          <cell r="D229"/>
          <cell r="E229"/>
          <cell r="F229"/>
          <cell r="G229"/>
          <cell r="H229"/>
          <cell r="I229"/>
        </row>
        <row r="230">
          <cell r="B230"/>
          <cell r="C230"/>
          <cell r="D230" t="str">
            <v xml:space="preserve">CAN </v>
          </cell>
          <cell r="E230" t="str">
            <v>DISTANCIA</v>
          </cell>
          <cell r="F230" t="str">
            <v>M3-Km / UN-KM</v>
          </cell>
          <cell r="G230" t="str">
            <v>TARIFA</v>
          </cell>
          <cell r="H230" t="str">
            <v>Valor-Unit.</v>
          </cell>
          <cell r="I230"/>
        </row>
        <row r="231">
          <cell r="B231"/>
          <cell r="C231"/>
          <cell r="D231"/>
          <cell r="E231"/>
          <cell r="F231"/>
          <cell r="G231"/>
          <cell r="H231">
            <v>0</v>
          </cell>
          <cell r="I231"/>
        </row>
        <row r="232">
          <cell r="C232"/>
          <cell r="D232"/>
          <cell r="E232"/>
          <cell r="F232" t="str">
            <v>Sub-Total</v>
          </cell>
          <cell r="G232" t="str">
            <v>2.5</v>
          </cell>
          <cell r="H232" t="str">
            <v>TRAN-2.5</v>
          </cell>
          <cell r="I232">
            <v>0</v>
          </cell>
        </row>
        <row r="233">
          <cell r="B233"/>
          <cell r="C233"/>
          <cell r="D233"/>
          <cell r="E233"/>
          <cell r="F233"/>
          <cell r="G233"/>
          <cell r="H233"/>
          <cell r="I233"/>
        </row>
        <row r="234">
          <cell r="B234"/>
          <cell r="C234"/>
          <cell r="D234" t="str">
            <v>JORNAL-HORA</v>
          </cell>
          <cell r="E234" t="str">
            <v>PRES</v>
          </cell>
          <cell r="F234" t="str">
            <v>Jornal Total</v>
          </cell>
          <cell r="G234" t="str">
            <v>Rendimiento</v>
          </cell>
          <cell r="H234" t="str">
            <v>Valor-Unit.</v>
          </cell>
          <cell r="I234"/>
        </row>
        <row r="235">
          <cell r="B235" t="str">
            <v>MO004</v>
          </cell>
          <cell r="C235" t="str">
            <v xml:space="preserve">oficial </v>
          </cell>
          <cell r="D235">
            <v>12336.644836388892</v>
          </cell>
          <cell r="E235"/>
          <cell r="F235">
            <v>12336.644836388892</v>
          </cell>
          <cell r="G235">
            <v>1.5</v>
          </cell>
          <cell r="H235">
            <v>18504.967254583338</v>
          </cell>
          <cell r="I235"/>
        </row>
        <row r="236">
          <cell r="B236" t="str">
            <v>MO005</v>
          </cell>
          <cell r="C236" t="str">
            <v xml:space="preserve">ayudante entendido </v>
          </cell>
          <cell r="D236">
            <v>11136.644836388892</v>
          </cell>
          <cell r="E236"/>
          <cell r="F236">
            <v>11136.644836388892</v>
          </cell>
          <cell r="G236">
            <v>1.5</v>
          </cell>
          <cell r="H236">
            <v>16704.967254583338</v>
          </cell>
          <cell r="I236"/>
        </row>
        <row r="237">
          <cell r="B237" t="str">
            <v>MO006</v>
          </cell>
          <cell r="C237" t="str">
            <v xml:space="preserve">ayudante </v>
          </cell>
          <cell r="D237">
            <v>10336.644836388892</v>
          </cell>
          <cell r="E237"/>
          <cell r="F237">
            <v>10336.644836388892</v>
          </cell>
          <cell r="G237">
            <v>1.5</v>
          </cell>
          <cell r="H237">
            <v>15504.967254583338</v>
          </cell>
          <cell r="I237"/>
        </row>
        <row r="238">
          <cell r="B238" t="str">
            <v>MO007</v>
          </cell>
          <cell r="C238" t="str">
            <v>contra maestro</v>
          </cell>
          <cell r="D238">
            <v>12974.601086388891</v>
          </cell>
          <cell r="E238"/>
          <cell r="F238">
            <v>12974.601086388891</v>
          </cell>
          <cell r="G238">
            <v>0.15000000000000002</v>
          </cell>
          <cell r="H238">
            <v>1946.190162958334</v>
          </cell>
          <cell r="I238"/>
        </row>
        <row r="239">
          <cell r="B239"/>
          <cell r="C239"/>
          <cell r="D239"/>
          <cell r="E239"/>
          <cell r="F239"/>
          <cell r="G239"/>
          <cell r="H239"/>
          <cell r="I239"/>
        </row>
        <row r="240">
          <cell r="C240"/>
          <cell r="D240"/>
          <cell r="E240"/>
          <cell r="F240" t="str">
            <v>Sub-Total</v>
          </cell>
          <cell r="G240" t="str">
            <v>2.5</v>
          </cell>
          <cell r="H240" t="str">
            <v>MDEO-2.5</v>
          </cell>
          <cell r="I240">
            <v>52661.091926708352</v>
          </cell>
        </row>
        <row r="241">
          <cell r="C241"/>
          <cell r="D241"/>
          <cell r="E241"/>
          <cell r="F241"/>
          <cell r="G241"/>
          <cell r="H241"/>
          <cell r="I241">
            <v>2633.054596335418</v>
          </cell>
        </row>
        <row r="242">
          <cell r="C242"/>
          <cell r="D242"/>
          <cell r="E242"/>
          <cell r="F242" t="str">
            <v>Total Costo Directo</v>
          </cell>
          <cell r="G242"/>
          <cell r="H242"/>
          <cell r="I242">
            <v>320240</v>
          </cell>
        </row>
        <row r="243">
          <cell r="B243"/>
          <cell r="C243"/>
          <cell r="D243"/>
          <cell r="E243"/>
          <cell r="F243"/>
          <cell r="G243"/>
          <cell r="H243"/>
          <cell r="I243"/>
        </row>
        <row r="244">
          <cell r="B244"/>
          <cell r="C244"/>
          <cell r="D244"/>
          <cell r="E244"/>
          <cell r="F244" t="str">
            <v>REVISA</v>
          </cell>
          <cell r="G244"/>
          <cell r="H244"/>
          <cell r="I244"/>
        </row>
        <row r="245">
          <cell r="B245"/>
          <cell r="C245"/>
          <cell r="D245"/>
          <cell r="E245"/>
          <cell r="F245" t="str">
            <v>FIRMA:</v>
          </cell>
          <cell r="G245"/>
          <cell r="H245"/>
          <cell r="I245"/>
        </row>
        <row r="246">
          <cell r="B246" t="str">
            <v>RAI ANDRE ESCOBAR FERIA</v>
          </cell>
          <cell r="C246"/>
          <cell r="F246" t="str">
            <v>NOMBRE</v>
          </cell>
          <cell r="G246"/>
          <cell r="H246"/>
          <cell r="I246"/>
        </row>
        <row r="247">
          <cell r="B247" t="str">
            <v>M.P. 031037-0642230 BLV</v>
          </cell>
          <cell r="C247"/>
          <cell r="F247" t="str">
            <v>MAT:</v>
          </cell>
          <cell r="G247"/>
          <cell r="H247"/>
          <cell r="I247"/>
        </row>
        <row r="248">
          <cell r="B248"/>
          <cell r="C248"/>
          <cell r="F248"/>
          <cell r="G248"/>
          <cell r="H248"/>
          <cell r="I248"/>
        </row>
        <row r="249">
          <cell r="B249"/>
          <cell r="C249"/>
          <cell r="D249"/>
          <cell r="E249"/>
          <cell r="F249"/>
          <cell r="G249"/>
          <cell r="H249"/>
          <cell r="I249"/>
        </row>
        <row r="250">
          <cell r="B250"/>
          <cell r="C250"/>
          <cell r="D250"/>
          <cell r="E250"/>
          <cell r="F250"/>
          <cell r="G250"/>
          <cell r="H250"/>
          <cell r="I250"/>
        </row>
        <row r="251">
          <cell r="B251"/>
          <cell r="C251"/>
          <cell r="D251"/>
          <cell r="E251"/>
          <cell r="F251"/>
          <cell r="G251"/>
          <cell r="H251"/>
          <cell r="I251"/>
        </row>
        <row r="252">
          <cell r="B252"/>
          <cell r="C252"/>
          <cell r="D252"/>
          <cell r="E252"/>
          <cell r="F252"/>
          <cell r="G252"/>
          <cell r="H252"/>
          <cell r="I252"/>
        </row>
        <row r="253">
          <cell r="B253" t="str">
            <v>2.6</v>
          </cell>
          <cell r="C253" t="str">
            <v>DESCRIPCION:</v>
          </cell>
          <cell r="D253" t="str">
            <v>Realce de cajas domiciliarias medidor acueducto incluye formaleta y aprovechamiento de la tapa</v>
          </cell>
          <cell r="E253"/>
          <cell r="F253"/>
          <cell r="G253"/>
          <cell r="H253"/>
          <cell r="I253"/>
        </row>
        <row r="254">
          <cell r="B254" t="str">
            <v>812-EPM</v>
          </cell>
          <cell r="C254"/>
          <cell r="D254" t="str">
            <v>UNIDAD</v>
          </cell>
          <cell r="E254" t="str">
            <v>UNIDAD</v>
          </cell>
          <cell r="F254" t="str">
            <v>CANTIDAD</v>
          </cell>
          <cell r="G254">
            <v>165</v>
          </cell>
          <cell r="H254" t="str">
            <v>V. UNITARIO:</v>
          </cell>
          <cell r="I254">
            <v>76455</v>
          </cell>
        </row>
        <row r="255">
          <cell r="B255"/>
          <cell r="C255"/>
          <cell r="D255"/>
          <cell r="E255"/>
          <cell r="F255"/>
          <cell r="G255"/>
          <cell r="H255"/>
          <cell r="I255"/>
        </row>
        <row r="256">
          <cell r="B256"/>
          <cell r="C256"/>
          <cell r="D256"/>
          <cell r="E256"/>
          <cell r="F256" t="str">
            <v>Tarifa/Hora</v>
          </cell>
          <cell r="G256" t="str">
            <v>Rendimiento</v>
          </cell>
          <cell r="H256" t="str">
            <v>Valor-Unit.</v>
          </cell>
          <cell r="I256"/>
        </row>
        <row r="257">
          <cell r="B257"/>
          <cell r="C257"/>
          <cell r="D257"/>
          <cell r="E257"/>
          <cell r="F257"/>
          <cell r="G257"/>
          <cell r="H257">
            <v>0</v>
          </cell>
          <cell r="I257"/>
        </row>
        <row r="258">
          <cell r="C258"/>
          <cell r="D258"/>
          <cell r="E258"/>
          <cell r="F258" t="str">
            <v>Sub-Total</v>
          </cell>
          <cell r="G258" t="str">
            <v>2.6</v>
          </cell>
          <cell r="H258" t="str">
            <v>EQUI-2.6</v>
          </cell>
          <cell r="I258">
            <v>0</v>
          </cell>
        </row>
        <row r="259">
          <cell r="B259"/>
          <cell r="C259"/>
          <cell r="D259"/>
          <cell r="E259"/>
          <cell r="F259"/>
          <cell r="G259"/>
          <cell r="H259"/>
          <cell r="I259"/>
        </row>
        <row r="260">
          <cell r="B260"/>
          <cell r="C260"/>
          <cell r="D260"/>
          <cell r="E260" t="str">
            <v>UNIDAD</v>
          </cell>
          <cell r="F260" t="str">
            <v>V.UNIT</v>
          </cell>
          <cell r="G260" t="str">
            <v>CANT</v>
          </cell>
          <cell r="H260" t="str">
            <v>V.TOTAL</v>
          </cell>
          <cell r="I260"/>
        </row>
        <row r="261">
          <cell r="B261" t="str">
            <v>M006</v>
          </cell>
          <cell r="C261" t="str">
            <v>Concreto 2500 psi en obra</v>
          </cell>
          <cell r="D261"/>
          <cell r="E261" t="str">
            <v>M3</v>
          </cell>
          <cell r="F261">
            <v>439313</v>
          </cell>
          <cell r="G261">
            <v>0.10799999999999998</v>
          </cell>
          <cell r="H261">
            <v>47445.803999999996</v>
          </cell>
          <cell r="I261"/>
        </row>
        <row r="262">
          <cell r="B262" t="str">
            <v>M038</v>
          </cell>
          <cell r="C262" t="str">
            <v>tabla común 3m</v>
          </cell>
          <cell r="D262"/>
          <cell r="E262" t="str">
            <v>UN</v>
          </cell>
          <cell r="F262">
            <v>7500</v>
          </cell>
          <cell r="G262">
            <v>0.4</v>
          </cell>
          <cell r="H262">
            <v>3000</v>
          </cell>
          <cell r="I262"/>
        </row>
        <row r="263">
          <cell r="C263"/>
          <cell r="D263"/>
          <cell r="E263"/>
          <cell r="F263" t="str">
            <v>Sub-Total</v>
          </cell>
          <cell r="G263" t="str">
            <v>2.6</v>
          </cell>
          <cell r="H263" t="str">
            <v>MAT-2.6</v>
          </cell>
          <cell r="I263">
            <v>50445.803999999996</v>
          </cell>
        </row>
        <row r="264">
          <cell r="B264"/>
          <cell r="C264"/>
          <cell r="D264"/>
          <cell r="E264"/>
          <cell r="F264"/>
          <cell r="G264"/>
          <cell r="H264"/>
          <cell r="I264"/>
        </row>
        <row r="265">
          <cell r="B265"/>
          <cell r="C265"/>
          <cell r="D265" t="str">
            <v xml:space="preserve">CAN </v>
          </cell>
          <cell r="E265" t="str">
            <v>DISTANCIA</v>
          </cell>
          <cell r="F265" t="str">
            <v>M3-Km / UN-KM</v>
          </cell>
          <cell r="G265" t="str">
            <v>TARIFA</v>
          </cell>
          <cell r="H265" t="str">
            <v>Valor-Unit.</v>
          </cell>
          <cell r="I265"/>
        </row>
        <row r="266">
          <cell r="B266"/>
          <cell r="C266"/>
          <cell r="D266"/>
          <cell r="E266"/>
          <cell r="F266"/>
          <cell r="G266"/>
          <cell r="H266">
            <v>0</v>
          </cell>
          <cell r="I266"/>
        </row>
        <row r="267">
          <cell r="C267"/>
          <cell r="D267"/>
          <cell r="E267"/>
          <cell r="F267" t="str">
            <v>Sub-Total</v>
          </cell>
          <cell r="G267" t="str">
            <v>2.6</v>
          </cell>
          <cell r="H267" t="str">
            <v>TRAN-2.6</v>
          </cell>
          <cell r="I267">
            <v>0</v>
          </cell>
        </row>
        <row r="268">
          <cell r="B268"/>
          <cell r="C268"/>
          <cell r="D268"/>
          <cell r="E268"/>
          <cell r="F268"/>
          <cell r="G268"/>
          <cell r="H268"/>
          <cell r="I268"/>
        </row>
        <row r="269">
          <cell r="B269"/>
          <cell r="C269"/>
          <cell r="D269" t="str">
            <v>JORNAL-HORA</v>
          </cell>
          <cell r="E269" t="str">
            <v>PRES</v>
          </cell>
          <cell r="F269" t="str">
            <v>Jornal Total</v>
          </cell>
          <cell r="G269" t="str">
            <v>Rendimiento</v>
          </cell>
          <cell r="H269" t="str">
            <v>Valor-Unit.</v>
          </cell>
          <cell r="I269"/>
        </row>
        <row r="270">
          <cell r="B270" t="str">
            <v>MO004</v>
          </cell>
          <cell r="C270" t="str">
            <v xml:space="preserve">oficial </v>
          </cell>
          <cell r="D270">
            <v>12336.644836388892</v>
          </cell>
          <cell r="E270"/>
          <cell r="F270">
            <v>12336.644836388892</v>
          </cell>
          <cell r="G270">
            <v>1</v>
          </cell>
          <cell r="H270">
            <v>12336.644836388892</v>
          </cell>
          <cell r="I270"/>
        </row>
        <row r="271">
          <cell r="B271" t="str">
            <v>MO005</v>
          </cell>
          <cell r="C271" t="str">
            <v xml:space="preserve">ayudante entendido </v>
          </cell>
          <cell r="D271">
            <v>11136.644836388892</v>
          </cell>
          <cell r="E271"/>
          <cell r="F271">
            <v>11136.644836388892</v>
          </cell>
          <cell r="G271">
            <v>1</v>
          </cell>
          <cell r="H271">
            <v>11136.644836388892</v>
          </cell>
          <cell r="I271"/>
        </row>
        <row r="272">
          <cell r="B272" t="str">
            <v>MO007</v>
          </cell>
          <cell r="C272" t="str">
            <v>contra maestro</v>
          </cell>
          <cell r="D272">
            <v>12974.601086388891</v>
          </cell>
          <cell r="E272"/>
          <cell r="F272">
            <v>12974.601086388891</v>
          </cell>
          <cell r="G272">
            <v>0.1</v>
          </cell>
          <cell r="H272">
            <v>1297.4601086388893</v>
          </cell>
          <cell r="I272"/>
        </row>
        <row r="273">
          <cell r="B273"/>
          <cell r="C273"/>
          <cell r="D273"/>
          <cell r="E273"/>
          <cell r="F273"/>
          <cell r="G273"/>
          <cell r="H273"/>
          <cell r="I273"/>
        </row>
        <row r="274">
          <cell r="C274"/>
          <cell r="D274"/>
          <cell r="E274"/>
          <cell r="F274" t="str">
            <v>Sub-Total</v>
          </cell>
          <cell r="G274" t="str">
            <v>2.6</v>
          </cell>
          <cell r="H274" t="str">
            <v>MDEO-2.6</v>
          </cell>
          <cell r="I274">
            <v>24770.749781416675</v>
          </cell>
        </row>
        <row r="275">
          <cell r="C275"/>
          <cell r="D275"/>
          <cell r="E275"/>
          <cell r="F275"/>
          <cell r="G275"/>
          <cell r="H275"/>
          <cell r="I275">
            <v>1238.5374890708338</v>
          </cell>
        </row>
        <row r="276">
          <cell r="C276"/>
          <cell r="D276"/>
          <cell r="E276"/>
          <cell r="F276" t="str">
            <v>Total Costo Directo</v>
          </cell>
          <cell r="G276"/>
          <cell r="H276"/>
          <cell r="I276">
            <v>76455</v>
          </cell>
        </row>
        <row r="277">
          <cell r="B277"/>
          <cell r="C277"/>
          <cell r="D277"/>
          <cell r="E277"/>
          <cell r="F277"/>
          <cell r="G277"/>
          <cell r="H277"/>
          <cell r="I277"/>
        </row>
        <row r="278">
          <cell r="B278"/>
          <cell r="C278"/>
          <cell r="D278"/>
          <cell r="E278"/>
          <cell r="F278" t="str">
            <v>REVISA</v>
          </cell>
          <cell r="G278"/>
          <cell r="H278"/>
          <cell r="I278"/>
        </row>
        <row r="279">
          <cell r="B279"/>
          <cell r="C279"/>
          <cell r="D279"/>
          <cell r="E279"/>
          <cell r="F279" t="str">
            <v>FIRMA:</v>
          </cell>
          <cell r="G279"/>
          <cell r="H279"/>
          <cell r="I279"/>
        </row>
        <row r="280">
          <cell r="B280" t="str">
            <v>RAI ANDRE ESCOBAR FERIA</v>
          </cell>
          <cell r="C280"/>
          <cell r="F280" t="str">
            <v>NOMBRE</v>
          </cell>
          <cell r="G280"/>
          <cell r="H280"/>
          <cell r="I280"/>
        </row>
        <row r="281">
          <cell r="B281" t="str">
            <v>M.P. 031037-0642230 BLV</v>
          </cell>
          <cell r="C281"/>
          <cell r="F281" t="str">
            <v>MAT:</v>
          </cell>
          <cell r="G281"/>
          <cell r="H281"/>
          <cell r="I281"/>
        </row>
        <row r="282">
          <cell r="B282"/>
          <cell r="C282"/>
          <cell r="F282"/>
          <cell r="G282"/>
          <cell r="H282"/>
          <cell r="I282"/>
        </row>
        <row r="283">
          <cell r="B283"/>
          <cell r="C283"/>
          <cell r="D283"/>
          <cell r="E283"/>
          <cell r="F283"/>
          <cell r="G283"/>
          <cell r="H283"/>
          <cell r="I283"/>
        </row>
        <row r="284">
          <cell r="B284"/>
          <cell r="C284"/>
          <cell r="D284"/>
          <cell r="E284"/>
          <cell r="F284"/>
          <cell r="G284"/>
          <cell r="H284"/>
          <cell r="I284"/>
        </row>
        <row r="285">
          <cell r="B285"/>
          <cell r="C285"/>
          <cell r="D285"/>
          <cell r="E285"/>
          <cell r="F285"/>
          <cell r="G285"/>
          <cell r="H285"/>
          <cell r="I285"/>
        </row>
        <row r="286">
          <cell r="B286"/>
          <cell r="C286"/>
          <cell r="D286"/>
          <cell r="E286"/>
          <cell r="F286"/>
          <cell r="G286"/>
          <cell r="H286"/>
          <cell r="I286"/>
        </row>
        <row r="287">
          <cell r="B287" t="str">
            <v>2.7</v>
          </cell>
          <cell r="C287" t="str">
            <v>DESCRIPCION:</v>
          </cell>
          <cell r="D287" t="str">
            <v>Mano de obra para instalación de tubería Novafort 300mm  para sumideros</v>
          </cell>
          <cell r="E287"/>
          <cell r="F287"/>
          <cell r="G287"/>
          <cell r="H287"/>
          <cell r="I287"/>
        </row>
        <row r="288">
          <cell r="B288" t="str">
            <v>803A-EPM</v>
          </cell>
          <cell r="C288"/>
          <cell r="D288" t="str">
            <v>UNIDAD</v>
          </cell>
          <cell r="E288" t="str">
            <v>ML</v>
          </cell>
          <cell r="F288" t="str">
            <v>CANTIDAD</v>
          </cell>
          <cell r="G288">
            <v>1797</v>
          </cell>
          <cell r="H288" t="str">
            <v>V. UNITARIO:</v>
          </cell>
          <cell r="I288">
            <v>16220</v>
          </cell>
        </row>
        <row r="289">
          <cell r="B289"/>
          <cell r="C289"/>
          <cell r="D289"/>
          <cell r="E289"/>
          <cell r="F289"/>
          <cell r="G289"/>
          <cell r="H289"/>
          <cell r="I289"/>
        </row>
        <row r="290">
          <cell r="B290"/>
          <cell r="C290"/>
          <cell r="D290"/>
          <cell r="E290"/>
          <cell r="F290" t="str">
            <v>Tarifa/Hora</v>
          </cell>
          <cell r="G290" t="str">
            <v>Rendimiento</v>
          </cell>
          <cell r="H290" t="str">
            <v>Valor-Unit.</v>
          </cell>
          <cell r="I290"/>
        </row>
        <row r="291">
          <cell r="B291"/>
          <cell r="C291"/>
          <cell r="D291"/>
          <cell r="E291"/>
          <cell r="F291"/>
          <cell r="G291"/>
          <cell r="H291">
            <v>0</v>
          </cell>
          <cell r="I291"/>
        </row>
        <row r="292">
          <cell r="C292"/>
          <cell r="D292"/>
          <cell r="E292"/>
          <cell r="F292" t="str">
            <v>Sub-Total</v>
          </cell>
          <cell r="G292" t="str">
            <v>2.7</v>
          </cell>
          <cell r="H292" t="str">
            <v>EQUI-2.7</v>
          </cell>
          <cell r="I292">
            <v>0</v>
          </cell>
        </row>
        <row r="293">
          <cell r="B293"/>
          <cell r="C293"/>
          <cell r="D293"/>
          <cell r="E293"/>
          <cell r="F293"/>
          <cell r="G293"/>
          <cell r="H293"/>
          <cell r="I293"/>
        </row>
        <row r="294">
          <cell r="B294"/>
          <cell r="C294"/>
          <cell r="D294"/>
          <cell r="E294" t="str">
            <v>UNIDAD</v>
          </cell>
          <cell r="F294" t="str">
            <v>V.UNIT</v>
          </cell>
          <cell r="G294" t="str">
            <v>CANT</v>
          </cell>
          <cell r="H294" t="str">
            <v>V.TOTAL</v>
          </cell>
          <cell r="I294"/>
        </row>
        <row r="295">
          <cell r="B295" t="str">
            <v>M018</v>
          </cell>
          <cell r="C295" t="str">
            <v>Tubería Novafort 12"</v>
          </cell>
          <cell r="D295"/>
          <cell r="E295" t="str">
            <v>ML</v>
          </cell>
          <cell r="F295">
            <v>102263.16666666667</v>
          </cell>
          <cell r="G295">
            <v>1</v>
          </cell>
          <cell r="H295"/>
          <cell r="I295"/>
          <cell r="K295">
            <v>1797</v>
          </cell>
        </row>
        <row r="296">
          <cell r="C296"/>
          <cell r="D296"/>
          <cell r="E296"/>
          <cell r="F296" t="str">
            <v>Sub-Total</v>
          </cell>
          <cell r="G296" t="str">
            <v>2.7</v>
          </cell>
          <cell r="H296" t="str">
            <v>MAT-2.7</v>
          </cell>
          <cell r="I296">
            <v>0</v>
          </cell>
        </row>
        <row r="297">
          <cell r="B297"/>
          <cell r="C297"/>
          <cell r="D297"/>
          <cell r="E297"/>
          <cell r="F297"/>
          <cell r="G297"/>
          <cell r="H297"/>
          <cell r="I297"/>
        </row>
        <row r="298">
          <cell r="B298"/>
          <cell r="C298"/>
          <cell r="D298" t="str">
            <v xml:space="preserve">CAN </v>
          </cell>
          <cell r="E298" t="str">
            <v>DISTANCIA</v>
          </cell>
          <cell r="F298" t="str">
            <v>M3-Km / UN-KM</v>
          </cell>
          <cell r="G298" t="str">
            <v>TARIFA</v>
          </cell>
          <cell r="H298" t="str">
            <v>Valor-Unit.</v>
          </cell>
          <cell r="I298"/>
        </row>
        <row r="299">
          <cell r="B299"/>
          <cell r="C299"/>
          <cell r="D299"/>
          <cell r="E299"/>
          <cell r="F299"/>
          <cell r="G299"/>
          <cell r="H299">
            <v>0</v>
          </cell>
          <cell r="I299"/>
        </row>
        <row r="300">
          <cell r="C300"/>
          <cell r="D300"/>
          <cell r="E300"/>
          <cell r="F300" t="str">
            <v>Sub-Total</v>
          </cell>
          <cell r="G300" t="str">
            <v>2.7</v>
          </cell>
          <cell r="H300" t="str">
            <v>TRAN-2.7</v>
          </cell>
          <cell r="I300">
            <v>0</v>
          </cell>
        </row>
        <row r="301">
          <cell r="B301"/>
          <cell r="C301"/>
          <cell r="D301"/>
          <cell r="E301"/>
          <cell r="F301"/>
          <cell r="G301"/>
          <cell r="H301"/>
          <cell r="I301"/>
        </row>
        <row r="302">
          <cell r="B302"/>
          <cell r="C302"/>
          <cell r="D302" t="str">
            <v>JORNAL-HORA</v>
          </cell>
          <cell r="E302" t="str">
            <v>PRES</v>
          </cell>
          <cell r="F302" t="str">
            <v>Jornal Total</v>
          </cell>
          <cell r="G302" t="str">
            <v>Rendimiento</v>
          </cell>
          <cell r="H302" t="str">
            <v>Valor-Unit.</v>
          </cell>
          <cell r="I302"/>
        </row>
        <row r="303">
          <cell r="B303" t="str">
            <v>MO004</v>
          </cell>
          <cell r="C303" t="str">
            <v xml:space="preserve">oficial </v>
          </cell>
          <cell r="D303">
            <v>12336.644836388892</v>
          </cell>
          <cell r="E303"/>
          <cell r="F303">
            <v>12336.644836388892</v>
          </cell>
          <cell r="G303">
            <v>0.44</v>
          </cell>
          <cell r="H303">
            <v>5428.1237280111127</v>
          </cell>
          <cell r="I303"/>
        </row>
        <row r="304">
          <cell r="B304" t="str">
            <v>MO005</v>
          </cell>
          <cell r="C304" t="str">
            <v xml:space="preserve">ayudante entendido </v>
          </cell>
          <cell r="D304">
            <v>11136.644836388892</v>
          </cell>
          <cell r="E304"/>
          <cell r="F304">
            <v>11136.644836388892</v>
          </cell>
          <cell r="G304">
            <v>0.44</v>
          </cell>
          <cell r="H304">
            <v>4900.1237280111127</v>
          </cell>
          <cell r="I304"/>
        </row>
        <row r="305">
          <cell r="B305" t="str">
            <v>MO006</v>
          </cell>
          <cell r="C305" t="str">
            <v xml:space="preserve">ayudante </v>
          </cell>
          <cell r="D305">
            <v>10336.644836388892</v>
          </cell>
          <cell r="E305"/>
          <cell r="F305">
            <v>10336.644836388892</v>
          </cell>
          <cell r="G305">
            <v>0.44</v>
          </cell>
          <cell r="H305">
            <v>4548.1237280111127</v>
          </cell>
          <cell r="I305"/>
        </row>
        <row r="306">
          <cell r="B306" t="str">
            <v>MO007</v>
          </cell>
          <cell r="C306" t="str">
            <v>contra maestro</v>
          </cell>
          <cell r="D306">
            <v>12974.601086388891</v>
          </cell>
          <cell r="E306"/>
          <cell r="F306">
            <v>12974.601086388891</v>
          </cell>
          <cell r="G306">
            <v>4.4000000000000004E-2</v>
          </cell>
          <cell r="H306">
            <v>570.88244780111131</v>
          </cell>
          <cell r="I306"/>
        </row>
        <row r="307">
          <cell r="B307"/>
          <cell r="C307"/>
          <cell r="D307"/>
          <cell r="E307"/>
          <cell r="F307"/>
          <cell r="G307"/>
          <cell r="H307"/>
          <cell r="I307"/>
        </row>
        <row r="308">
          <cell r="C308"/>
          <cell r="D308"/>
          <cell r="E308"/>
          <cell r="F308" t="str">
            <v>Sub-Total</v>
          </cell>
          <cell r="G308" t="str">
            <v>2.7</v>
          </cell>
          <cell r="H308" t="str">
            <v>MDEO-2.7</v>
          </cell>
          <cell r="I308">
            <v>15447.25363183445</v>
          </cell>
        </row>
        <row r="309">
          <cell r="C309"/>
          <cell r="D309"/>
          <cell r="E309"/>
          <cell r="F309"/>
          <cell r="G309"/>
          <cell r="H309"/>
          <cell r="I309">
            <v>772.36268159172255</v>
          </cell>
        </row>
        <row r="310">
          <cell r="C310"/>
          <cell r="D310"/>
          <cell r="E310"/>
          <cell r="F310" t="str">
            <v>Total Costo Directo</v>
          </cell>
          <cell r="G310"/>
          <cell r="H310"/>
          <cell r="I310">
            <v>16220</v>
          </cell>
        </row>
        <row r="311">
          <cell r="B311"/>
          <cell r="C311"/>
          <cell r="D311"/>
          <cell r="E311"/>
          <cell r="F311"/>
          <cell r="G311"/>
          <cell r="H311"/>
          <cell r="I311"/>
        </row>
        <row r="312">
          <cell r="B312"/>
          <cell r="C312"/>
          <cell r="D312"/>
          <cell r="E312"/>
          <cell r="F312" t="str">
            <v>REVISA</v>
          </cell>
          <cell r="G312"/>
          <cell r="H312"/>
          <cell r="I312"/>
        </row>
        <row r="313">
          <cell r="B313"/>
          <cell r="C313"/>
          <cell r="D313"/>
          <cell r="E313"/>
          <cell r="F313" t="str">
            <v>FIRMA:</v>
          </cell>
          <cell r="G313"/>
          <cell r="H313"/>
          <cell r="I313"/>
        </row>
        <row r="314">
          <cell r="B314" t="str">
            <v>RAI ANDRE ESCOBAR FERIA</v>
          </cell>
          <cell r="C314"/>
          <cell r="F314" t="str">
            <v>NOMBRE</v>
          </cell>
          <cell r="G314"/>
          <cell r="H314"/>
          <cell r="I314"/>
        </row>
        <row r="315">
          <cell r="B315" t="str">
            <v>M.P. 031037-0642230 BLV</v>
          </cell>
          <cell r="C315"/>
          <cell r="F315" t="str">
            <v>MAT:</v>
          </cell>
          <cell r="G315"/>
          <cell r="H315"/>
          <cell r="I315"/>
        </row>
        <row r="316">
          <cell r="B316"/>
          <cell r="C316"/>
          <cell r="F316"/>
          <cell r="G316"/>
          <cell r="H316"/>
          <cell r="I316"/>
        </row>
        <row r="317">
          <cell r="B317"/>
          <cell r="C317"/>
          <cell r="D317"/>
          <cell r="E317"/>
          <cell r="F317"/>
          <cell r="G317"/>
          <cell r="H317"/>
          <cell r="I317"/>
        </row>
        <row r="318">
          <cell r="B318"/>
          <cell r="C318"/>
          <cell r="D318"/>
          <cell r="E318"/>
          <cell r="F318"/>
          <cell r="G318"/>
          <cell r="H318"/>
          <cell r="I318"/>
        </row>
        <row r="319">
          <cell r="B319"/>
          <cell r="C319"/>
          <cell r="D319"/>
          <cell r="E319"/>
          <cell r="F319"/>
          <cell r="G319"/>
          <cell r="H319"/>
          <cell r="I319"/>
        </row>
        <row r="320">
          <cell r="I320"/>
        </row>
        <row r="321">
          <cell r="B321"/>
          <cell r="C321"/>
          <cell r="D321"/>
          <cell r="E321"/>
          <cell r="F321"/>
          <cell r="G321"/>
          <cell r="H321"/>
          <cell r="I321"/>
        </row>
        <row r="322">
          <cell r="B322" t="str">
            <v>2.8</v>
          </cell>
          <cell r="C322" t="str">
            <v>DESCRIPCION:</v>
          </cell>
          <cell r="D322" t="str">
            <v>Mano de obra para instalación de tubería Novafort 400mm  para red aguas lluvias</v>
          </cell>
          <cell r="E322"/>
          <cell r="F322"/>
          <cell r="G322"/>
          <cell r="H322"/>
          <cell r="I322"/>
        </row>
        <row r="323">
          <cell r="B323" t="str">
            <v>803B-EPM</v>
          </cell>
          <cell r="C323"/>
          <cell r="D323" t="str">
            <v>UNIDAD</v>
          </cell>
          <cell r="E323" t="str">
            <v>ML</v>
          </cell>
          <cell r="F323" t="str">
            <v>CANTIDAD</v>
          </cell>
          <cell r="G323">
            <v>1428.02</v>
          </cell>
          <cell r="H323" t="str">
            <v>V. UNITARIO:</v>
          </cell>
          <cell r="I323">
            <v>18431</v>
          </cell>
        </row>
        <row r="324">
          <cell r="B324"/>
          <cell r="C324"/>
          <cell r="D324"/>
          <cell r="E324"/>
          <cell r="F324"/>
          <cell r="G324"/>
          <cell r="H324"/>
          <cell r="I324"/>
        </row>
        <row r="325">
          <cell r="B325"/>
          <cell r="C325"/>
          <cell r="D325"/>
          <cell r="E325"/>
          <cell r="F325" t="str">
            <v>Tarifa/Hora</v>
          </cell>
          <cell r="G325" t="str">
            <v>Rendimiento</v>
          </cell>
          <cell r="H325" t="str">
            <v>Valor-Unit.</v>
          </cell>
          <cell r="I325"/>
        </row>
        <row r="326">
          <cell r="B326"/>
          <cell r="C326"/>
          <cell r="D326"/>
          <cell r="E326"/>
          <cell r="F326"/>
          <cell r="G326"/>
          <cell r="H326">
            <v>0</v>
          </cell>
          <cell r="I326"/>
        </row>
        <row r="327">
          <cell r="C327"/>
          <cell r="D327"/>
          <cell r="E327"/>
          <cell r="F327" t="str">
            <v>Sub-Total</v>
          </cell>
          <cell r="G327" t="str">
            <v>2.8</v>
          </cell>
          <cell r="H327" t="str">
            <v>EQUI-2.8</v>
          </cell>
          <cell r="I327">
            <v>0</v>
          </cell>
        </row>
        <row r="328">
          <cell r="B328"/>
          <cell r="C328"/>
          <cell r="D328"/>
          <cell r="E328"/>
          <cell r="F328"/>
          <cell r="G328"/>
          <cell r="H328"/>
          <cell r="I328"/>
        </row>
        <row r="329">
          <cell r="B329"/>
          <cell r="C329"/>
          <cell r="D329"/>
          <cell r="E329" t="str">
            <v>UNIDAD</v>
          </cell>
          <cell r="F329" t="str">
            <v>V.UNIT</v>
          </cell>
          <cell r="G329" t="str">
            <v>CANT</v>
          </cell>
          <cell r="H329" t="str">
            <v>V.TOTAL</v>
          </cell>
          <cell r="I329"/>
        </row>
        <row r="330">
          <cell r="B330" t="str">
            <v>M020</v>
          </cell>
          <cell r="C330" t="str">
            <v>Tubería Novafort 16"</v>
          </cell>
          <cell r="D330"/>
          <cell r="E330" t="str">
            <v>ML</v>
          </cell>
          <cell r="F330">
            <v>187447.5</v>
          </cell>
          <cell r="G330">
            <v>1</v>
          </cell>
          <cell r="H330"/>
          <cell r="I330"/>
          <cell r="K330">
            <v>1428.02</v>
          </cell>
        </row>
        <row r="331">
          <cell r="C331"/>
          <cell r="D331"/>
          <cell r="E331"/>
          <cell r="F331" t="str">
            <v>Sub-Total</v>
          </cell>
          <cell r="G331" t="str">
            <v>2.8</v>
          </cell>
          <cell r="H331" t="str">
            <v>MAT-2.8</v>
          </cell>
          <cell r="I331">
            <v>0</v>
          </cell>
        </row>
        <row r="332">
          <cell r="B332"/>
          <cell r="C332"/>
          <cell r="D332"/>
          <cell r="E332"/>
          <cell r="F332"/>
          <cell r="G332"/>
          <cell r="H332"/>
          <cell r="I332"/>
        </row>
        <row r="333">
          <cell r="B333"/>
          <cell r="C333"/>
          <cell r="D333" t="str">
            <v xml:space="preserve">CAN </v>
          </cell>
          <cell r="E333" t="str">
            <v>DISTANCIA</v>
          </cell>
          <cell r="F333" t="str">
            <v>M3-Km / UN-KM</v>
          </cell>
          <cell r="G333" t="str">
            <v>TARIFA</v>
          </cell>
          <cell r="H333" t="str">
            <v>Valor-Unit.</v>
          </cell>
          <cell r="I333"/>
        </row>
        <row r="334">
          <cell r="B334"/>
          <cell r="C334"/>
          <cell r="D334"/>
          <cell r="E334"/>
          <cell r="F334"/>
          <cell r="G334"/>
          <cell r="H334">
            <v>0</v>
          </cell>
          <cell r="I334"/>
        </row>
        <row r="335">
          <cell r="C335"/>
          <cell r="D335"/>
          <cell r="E335"/>
          <cell r="F335" t="str">
            <v>Sub-Total</v>
          </cell>
          <cell r="G335" t="str">
            <v>2.8</v>
          </cell>
          <cell r="H335" t="str">
            <v>TRAN-2.8</v>
          </cell>
          <cell r="I335">
            <v>0</v>
          </cell>
        </row>
        <row r="336">
          <cell r="B336"/>
          <cell r="C336"/>
          <cell r="D336"/>
          <cell r="E336"/>
          <cell r="F336"/>
          <cell r="G336"/>
          <cell r="H336"/>
          <cell r="I336"/>
        </row>
        <row r="337">
          <cell r="B337"/>
          <cell r="C337"/>
          <cell r="D337" t="str">
            <v>JORNAL-HORA</v>
          </cell>
          <cell r="E337" t="str">
            <v>PRES</v>
          </cell>
          <cell r="F337" t="str">
            <v>Jornal Total</v>
          </cell>
          <cell r="G337" t="str">
            <v>Rendimiento</v>
          </cell>
          <cell r="H337" t="str">
            <v>Valor-Unit.</v>
          </cell>
          <cell r="I337"/>
        </row>
        <row r="338">
          <cell r="B338" t="str">
            <v>MO004</v>
          </cell>
          <cell r="C338" t="str">
            <v xml:space="preserve">oficial </v>
          </cell>
          <cell r="D338">
            <v>12336.644836388892</v>
          </cell>
          <cell r="E338"/>
          <cell r="F338">
            <v>12336.644836388892</v>
          </cell>
          <cell r="G338">
            <v>0.5</v>
          </cell>
          <cell r="H338">
            <v>6168.3224181944461</v>
          </cell>
          <cell r="I338"/>
        </row>
        <row r="339">
          <cell r="B339" t="str">
            <v>MO005</v>
          </cell>
          <cell r="C339" t="str">
            <v xml:space="preserve">ayudante entendido </v>
          </cell>
          <cell r="D339">
            <v>11136.644836388892</v>
          </cell>
          <cell r="E339"/>
          <cell r="F339">
            <v>11136.644836388892</v>
          </cell>
          <cell r="G339">
            <v>0.5</v>
          </cell>
          <cell r="H339">
            <v>5568.3224181944461</v>
          </cell>
          <cell r="I339"/>
        </row>
        <row r="340">
          <cell r="B340" t="str">
            <v>MO006</v>
          </cell>
          <cell r="C340" t="str">
            <v xml:space="preserve">ayudante </v>
          </cell>
          <cell r="D340">
            <v>10336.644836388892</v>
          </cell>
          <cell r="E340"/>
          <cell r="F340">
            <v>10336.644836388892</v>
          </cell>
          <cell r="G340">
            <v>0.5</v>
          </cell>
          <cell r="H340">
            <v>5168.3224181944461</v>
          </cell>
          <cell r="I340"/>
        </row>
        <row r="341">
          <cell r="B341" t="str">
            <v>MO007</v>
          </cell>
          <cell r="C341" t="str">
            <v>contra maestro</v>
          </cell>
          <cell r="D341">
            <v>12974.601086388891</v>
          </cell>
          <cell r="E341"/>
          <cell r="F341">
            <v>12974.601086388891</v>
          </cell>
          <cell r="G341">
            <v>0.05</v>
          </cell>
          <cell r="H341">
            <v>648.73005431944466</v>
          </cell>
          <cell r="I341"/>
        </row>
        <row r="342">
          <cell r="C342"/>
          <cell r="D342"/>
          <cell r="E342"/>
          <cell r="F342" t="str">
            <v>Sub-Total</v>
          </cell>
          <cell r="G342" t="str">
            <v>2.8</v>
          </cell>
          <cell r="H342" t="str">
            <v>MDEO-2.8</v>
          </cell>
          <cell r="I342">
            <v>17553.697308902782</v>
          </cell>
        </row>
        <row r="343">
          <cell r="C343"/>
          <cell r="D343"/>
          <cell r="E343"/>
          <cell r="F343"/>
          <cell r="G343"/>
          <cell r="H343"/>
          <cell r="I343">
            <v>877.68486544513917</v>
          </cell>
        </row>
        <row r="344">
          <cell r="C344"/>
          <cell r="D344"/>
          <cell r="E344"/>
          <cell r="F344" t="str">
            <v>Total Costo Directo</v>
          </cell>
          <cell r="G344"/>
          <cell r="H344"/>
          <cell r="I344">
            <v>18431</v>
          </cell>
        </row>
        <row r="345">
          <cell r="B345"/>
          <cell r="C345"/>
          <cell r="D345"/>
          <cell r="E345"/>
          <cell r="F345"/>
          <cell r="G345"/>
          <cell r="H345"/>
          <cell r="I345"/>
        </row>
        <row r="346">
          <cell r="B346"/>
          <cell r="C346"/>
          <cell r="D346"/>
          <cell r="E346"/>
          <cell r="F346" t="str">
            <v>REVISA</v>
          </cell>
          <cell r="G346"/>
          <cell r="H346"/>
          <cell r="I346"/>
        </row>
        <row r="347">
          <cell r="B347"/>
          <cell r="C347"/>
          <cell r="D347"/>
          <cell r="E347"/>
          <cell r="F347" t="str">
            <v>FIRMA:</v>
          </cell>
          <cell r="G347"/>
          <cell r="H347"/>
          <cell r="I347"/>
        </row>
        <row r="348">
          <cell r="B348" t="str">
            <v>RAI ANDRE ESCOBAR FERIA</v>
          </cell>
          <cell r="C348"/>
          <cell r="F348" t="str">
            <v>NOMBRE</v>
          </cell>
          <cell r="G348"/>
          <cell r="H348"/>
          <cell r="I348"/>
        </row>
        <row r="349">
          <cell r="B349" t="str">
            <v>M.P. 031037-0642230 BLV</v>
          </cell>
          <cell r="C349"/>
          <cell r="F349" t="str">
            <v>MAT:</v>
          </cell>
          <cell r="G349"/>
          <cell r="H349"/>
          <cell r="I349"/>
        </row>
        <row r="350">
          <cell r="B350"/>
          <cell r="C350"/>
          <cell r="F350"/>
          <cell r="G350"/>
          <cell r="H350"/>
          <cell r="I350"/>
        </row>
        <row r="351">
          <cell r="B351"/>
          <cell r="C351"/>
          <cell r="D351"/>
          <cell r="E351"/>
          <cell r="F351"/>
          <cell r="G351"/>
          <cell r="H351"/>
          <cell r="I351"/>
        </row>
        <row r="352">
          <cell r="B352"/>
          <cell r="C352"/>
          <cell r="D352"/>
          <cell r="E352"/>
          <cell r="F352"/>
          <cell r="G352"/>
          <cell r="H352"/>
          <cell r="I352"/>
        </row>
        <row r="353">
          <cell r="B353"/>
          <cell r="C353"/>
          <cell r="D353"/>
          <cell r="E353"/>
          <cell r="F353"/>
          <cell r="G353"/>
          <cell r="H353"/>
          <cell r="I353"/>
        </row>
        <row r="354">
          <cell r="B354"/>
          <cell r="C354"/>
          <cell r="D354"/>
          <cell r="E354"/>
          <cell r="F354"/>
          <cell r="G354"/>
          <cell r="H354"/>
          <cell r="I354"/>
        </row>
        <row r="355">
          <cell r="B355" t="str">
            <v>2.9</v>
          </cell>
          <cell r="C355" t="str">
            <v>DESCRIPCION:</v>
          </cell>
          <cell r="D355" t="str">
            <v>Mano de obra para instalación de tubería Novafort 450mm  para red aguas lluvias</v>
          </cell>
          <cell r="E355"/>
          <cell r="F355"/>
          <cell r="G355"/>
          <cell r="H355"/>
          <cell r="I355"/>
        </row>
        <row r="356">
          <cell r="B356" t="str">
            <v>804C-EPM</v>
          </cell>
          <cell r="C356"/>
          <cell r="D356" t="str">
            <v>UNIDAD</v>
          </cell>
          <cell r="E356" t="str">
            <v>ML</v>
          </cell>
          <cell r="F356" t="str">
            <v>CANTIDAD</v>
          </cell>
          <cell r="G356">
            <v>1228.6500000000001</v>
          </cell>
          <cell r="H356" t="str">
            <v>V. UNITARIO:</v>
          </cell>
          <cell r="I356">
            <v>18800</v>
          </cell>
        </row>
        <row r="357">
          <cell r="B357"/>
          <cell r="C357"/>
          <cell r="D357"/>
          <cell r="E357"/>
          <cell r="F357"/>
          <cell r="G357"/>
          <cell r="H357"/>
          <cell r="I357"/>
        </row>
        <row r="358">
          <cell r="B358"/>
          <cell r="C358"/>
          <cell r="D358"/>
          <cell r="E358"/>
          <cell r="F358" t="str">
            <v>Tarifa/Hora</v>
          </cell>
          <cell r="G358" t="str">
            <v>Rendimiento</v>
          </cell>
          <cell r="H358" t="str">
            <v>Valor-Unit.</v>
          </cell>
          <cell r="I358"/>
        </row>
        <row r="359">
          <cell r="B359"/>
          <cell r="C359"/>
          <cell r="D359"/>
          <cell r="E359"/>
          <cell r="F359"/>
          <cell r="G359"/>
          <cell r="H359">
            <v>0</v>
          </cell>
          <cell r="I359"/>
        </row>
        <row r="360">
          <cell r="C360"/>
          <cell r="D360"/>
          <cell r="E360"/>
          <cell r="F360" t="str">
            <v>Sub-Total</v>
          </cell>
          <cell r="G360" t="str">
            <v>2.9</v>
          </cell>
          <cell r="H360" t="str">
            <v>EQUI-2.9</v>
          </cell>
          <cell r="I360">
            <v>0</v>
          </cell>
        </row>
        <row r="361">
          <cell r="B361"/>
          <cell r="C361"/>
          <cell r="D361"/>
          <cell r="E361"/>
          <cell r="F361"/>
          <cell r="G361"/>
          <cell r="H361"/>
          <cell r="I361"/>
        </row>
        <row r="362">
          <cell r="B362"/>
          <cell r="C362"/>
          <cell r="D362"/>
          <cell r="E362" t="str">
            <v>UNIDAD</v>
          </cell>
          <cell r="F362" t="str">
            <v>V.UNIT</v>
          </cell>
          <cell r="G362" t="str">
            <v>CANT</v>
          </cell>
          <cell r="H362" t="str">
            <v>V.TOTAL</v>
          </cell>
          <cell r="I362"/>
        </row>
        <row r="363">
          <cell r="B363" t="str">
            <v>M021</v>
          </cell>
          <cell r="C363" t="str">
            <v>Tubería Novafort 18"</v>
          </cell>
          <cell r="D363"/>
          <cell r="E363" t="str">
            <v>ML</v>
          </cell>
          <cell r="F363">
            <v>242088.5</v>
          </cell>
          <cell r="G363">
            <v>1</v>
          </cell>
          <cell r="H363"/>
          <cell r="I363"/>
          <cell r="K363">
            <v>1228.6500000000001</v>
          </cell>
        </row>
        <row r="364">
          <cell r="C364"/>
          <cell r="D364"/>
          <cell r="E364"/>
          <cell r="F364" t="str">
            <v>Sub-Total</v>
          </cell>
          <cell r="G364" t="str">
            <v>2.9</v>
          </cell>
          <cell r="H364" t="str">
            <v>MAT-2.9</v>
          </cell>
          <cell r="I364">
            <v>0</v>
          </cell>
        </row>
        <row r="365">
          <cell r="B365"/>
          <cell r="C365"/>
          <cell r="D365"/>
          <cell r="E365"/>
          <cell r="F365"/>
          <cell r="G365"/>
          <cell r="H365"/>
          <cell r="I365"/>
        </row>
        <row r="366">
          <cell r="B366"/>
          <cell r="C366"/>
          <cell r="D366" t="str">
            <v xml:space="preserve">CAN </v>
          </cell>
          <cell r="E366" t="str">
            <v>DISTANCIA</v>
          </cell>
          <cell r="F366" t="str">
            <v>M3-Km / UN-KM</v>
          </cell>
          <cell r="G366" t="str">
            <v>TARIFA</v>
          </cell>
          <cell r="H366" t="str">
            <v>Valor-Unit.</v>
          </cell>
          <cell r="I366"/>
        </row>
        <row r="367">
          <cell r="B367"/>
          <cell r="C367"/>
          <cell r="D367"/>
          <cell r="E367"/>
          <cell r="F367"/>
          <cell r="G367"/>
          <cell r="H367">
            <v>0</v>
          </cell>
          <cell r="I367"/>
        </row>
        <row r="368">
          <cell r="C368"/>
          <cell r="D368"/>
          <cell r="E368"/>
          <cell r="F368" t="str">
            <v>Sub-Total</v>
          </cell>
          <cell r="G368" t="str">
            <v>2.9</v>
          </cell>
          <cell r="H368" t="str">
            <v>TRAN-2.9</v>
          </cell>
          <cell r="I368">
            <v>0</v>
          </cell>
        </row>
        <row r="369">
          <cell r="B369"/>
          <cell r="C369"/>
          <cell r="D369"/>
          <cell r="E369"/>
          <cell r="F369"/>
          <cell r="G369"/>
          <cell r="H369"/>
          <cell r="I369"/>
        </row>
        <row r="370">
          <cell r="B370"/>
          <cell r="C370"/>
          <cell r="D370" t="str">
            <v>JORNAL-HORA</v>
          </cell>
          <cell r="E370" t="str">
            <v>PRES</v>
          </cell>
          <cell r="F370" t="str">
            <v>Jornal Total</v>
          </cell>
          <cell r="G370" t="str">
            <v>Rendimiento</v>
          </cell>
          <cell r="H370" t="str">
            <v>Valor-Unit.</v>
          </cell>
          <cell r="I370"/>
        </row>
        <row r="371">
          <cell r="B371" t="str">
            <v>MO004</v>
          </cell>
          <cell r="C371" t="str">
            <v xml:space="preserve">oficial </v>
          </cell>
          <cell r="D371">
            <v>12336.644836388892</v>
          </cell>
          <cell r="E371"/>
          <cell r="F371">
            <v>12336.644836388892</v>
          </cell>
          <cell r="G371">
            <v>0.51</v>
          </cell>
          <cell r="H371">
            <v>6291.6888665583347</v>
          </cell>
          <cell r="I371"/>
        </row>
        <row r="372">
          <cell r="B372" t="str">
            <v>MO005</v>
          </cell>
          <cell r="C372" t="str">
            <v xml:space="preserve">ayudante entendido </v>
          </cell>
          <cell r="D372">
            <v>11136.644836388892</v>
          </cell>
          <cell r="E372"/>
          <cell r="F372">
            <v>11136.644836388892</v>
          </cell>
          <cell r="G372">
            <v>0.51</v>
          </cell>
          <cell r="H372">
            <v>5679.6888665583347</v>
          </cell>
          <cell r="I372"/>
        </row>
        <row r="373">
          <cell r="B373" t="str">
            <v>MO006</v>
          </cell>
          <cell r="C373" t="str">
            <v xml:space="preserve">ayudante </v>
          </cell>
          <cell r="D373">
            <v>10336.644836388892</v>
          </cell>
          <cell r="E373"/>
          <cell r="F373">
            <v>10336.644836388892</v>
          </cell>
          <cell r="G373">
            <v>0.51</v>
          </cell>
          <cell r="H373">
            <v>5271.6888665583347</v>
          </cell>
          <cell r="I373"/>
        </row>
        <row r="374">
          <cell r="B374" t="str">
            <v>MO007</v>
          </cell>
          <cell r="C374" t="str">
            <v>contra maestro</v>
          </cell>
          <cell r="D374">
            <v>12974.601086388891</v>
          </cell>
          <cell r="E374"/>
          <cell r="F374">
            <v>12974.601086388891</v>
          </cell>
          <cell r="G374">
            <v>5.1000000000000004E-2</v>
          </cell>
          <cell r="H374">
            <v>661.70465540583348</v>
          </cell>
          <cell r="I374"/>
        </row>
        <row r="375">
          <cell r="C375"/>
          <cell r="D375"/>
          <cell r="E375"/>
          <cell r="F375" t="str">
            <v>Sub-Total</v>
          </cell>
          <cell r="G375" t="str">
            <v>2.9</v>
          </cell>
          <cell r="H375" t="str">
            <v>MDEO-2.9</v>
          </cell>
          <cell r="I375">
            <v>17904.771255080836</v>
          </cell>
        </row>
        <row r="376">
          <cell r="C376"/>
          <cell r="D376"/>
          <cell r="E376"/>
          <cell r="F376"/>
          <cell r="G376"/>
          <cell r="H376"/>
          <cell r="I376">
            <v>895.23856275404182</v>
          </cell>
        </row>
        <row r="377">
          <cell r="C377"/>
          <cell r="D377"/>
          <cell r="E377"/>
          <cell r="F377" t="str">
            <v>Total Costo Directo</v>
          </cell>
          <cell r="G377"/>
          <cell r="H377"/>
          <cell r="I377">
            <v>18800</v>
          </cell>
        </row>
        <row r="378">
          <cell r="B378"/>
          <cell r="C378"/>
          <cell r="D378"/>
          <cell r="E378"/>
          <cell r="F378" t="str">
            <v>REVISA</v>
          </cell>
          <cell r="G378"/>
          <cell r="H378"/>
          <cell r="I378"/>
        </row>
        <row r="379">
          <cell r="B379"/>
          <cell r="C379"/>
          <cell r="D379"/>
          <cell r="E379"/>
          <cell r="F379" t="str">
            <v>FIRMA:</v>
          </cell>
          <cell r="G379"/>
          <cell r="H379"/>
          <cell r="I379"/>
        </row>
        <row r="380">
          <cell r="B380" t="str">
            <v>RAI ANDRE ESCOBAR FERIA</v>
          </cell>
          <cell r="C380"/>
          <cell r="F380" t="str">
            <v>NOMBRE</v>
          </cell>
          <cell r="G380"/>
          <cell r="H380"/>
          <cell r="I380"/>
        </row>
        <row r="381">
          <cell r="B381" t="str">
            <v>M.P. 031037-0642230 BLV</v>
          </cell>
          <cell r="C381"/>
          <cell r="F381" t="str">
            <v>MAT:</v>
          </cell>
          <cell r="G381"/>
          <cell r="H381"/>
          <cell r="I381"/>
        </row>
        <row r="382">
          <cell r="B382"/>
          <cell r="C382"/>
          <cell r="F382"/>
          <cell r="G382"/>
          <cell r="H382"/>
          <cell r="I382"/>
        </row>
        <row r="383">
          <cell r="B383"/>
          <cell r="C383"/>
          <cell r="D383"/>
          <cell r="E383"/>
          <cell r="F383"/>
          <cell r="G383"/>
          <cell r="H383"/>
          <cell r="I383"/>
        </row>
        <row r="384">
          <cell r="B384"/>
          <cell r="C384"/>
          <cell r="D384"/>
          <cell r="E384"/>
          <cell r="F384"/>
          <cell r="G384"/>
          <cell r="H384"/>
          <cell r="I384"/>
        </row>
        <row r="385">
          <cell r="B385"/>
          <cell r="C385"/>
          <cell r="D385"/>
          <cell r="E385"/>
          <cell r="F385"/>
          <cell r="G385"/>
          <cell r="H385"/>
          <cell r="I385"/>
        </row>
        <row r="386">
          <cell r="I386"/>
        </row>
        <row r="387">
          <cell r="B387"/>
          <cell r="C387"/>
          <cell r="D387"/>
          <cell r="E387"/>
          <cell r="F387"/>
          <cell r="G387"/>
          <cell r="H387"/>
          <cell r="I387"/>
        </row>
        <row r="388">
          <cell r="B388" t="str">
            <v>2.10</v>
          </cell>
          <cell r="C388" t="str">
            <v>DESCRIPCION:</v>
          </cell>
          <cell r="D388" t="str">
            <v>Mano de obra para instalación de tubería Novafort 600mm  para red aguas lluvias</v>
          </cell>
          <cell r="E388"/>
          <cell r="F388"/>
          <cell r="G388"/>
          <cell r="H388"/>
          <cell r="I388"/>
        </row>
        <row r="389">
          <cell r="B389" t="str">
            <v>803D-EPM</v>
          </cell>
          <cell r="C389"/>
          <cell r="D389" t="str">
            <v>UNIDAD</v>
          </cell>
          <cell r="E389" t="str">
            <v>ML</v>
          </cell>
          <cell r="F389" t="str">
            <v>CANTIDAD</v>
          </cell>
          <cell r="G389">
            <v>560</v>
          </cell>
          <cell r="H389" t="str">
            <v>V. UNITARIO:</v>
          </cell>
          <cell r="I389">
            <v>19169</v>
          </cell>
        </row>
        <row r="390">
          <cell r="B390"/>
          <cell r="C390"/>
          <cell r="D390"/>
          <cell r="E390"/>
          <cell r="F390"/>
          <cell r="G390"/>
          <cell r="H390"/>
          <cell r="I390"/>
        </row>
        <row r="391">
          <cell r="B391"/>
          <cell r="C391"/>
          <cell r="D391"/>
          <cell r="E391"/>
          <cell r="F391" t="str">
            <v>Tarifa/Hora</v>
          </cell>
          <cell r="G391" t="str">
            <v>Rendimiento</v>
          </cell>
          <cell r="H391" t="str">
            <v>Valor-Unit.</v>
          </cell>
          <cell r="I391"/>
        </row>
        <row r="392">
          <cell r="B392"/>
          <cell r="C392"/>
          <cell r="D392"/>
          <cell r="E392"/>
          <cell r="F392"/>
          <cell r="G392"/>
          <cell r="H392">
            <v>0</v>
          </cell>
          <cell r="I392"/>
        </row>
        <row r="393">
          <cell r="C393"/>
          <cell r="D393"/>
          <cell r="E393"/>
          <cell r="F393" t="str">
            <v>Sub-Total</v>
          </cell>
          <cell r="G393" t="str">
            <v>2.10</v>
          </cell>
          <cell r="H393" t="str">
            <v>EQUI-2.10</v>
          </cell>
          <cell r="I393">
            <v>0</v>
          </cell>
        </row>
        <row r="394">
          <cell r="B394"/>
          <cell r="C394"/>
          <cell r="D394"/>
          <cell r="E394"/>
          <cell r="F394"/>
          <cell r="G394"/>
          <cell r="H394"/>
          <cell r="I394"/>
        </row>
        <row r="395">
          <cell r="B395"/>
          <cell r="C395"/>
          <cell r="D395"/>
          <cell r="E395" t="str">
            <v>UNIDAD</v>
          </cell>
          <cell r="F395" t="str">
            <v>V.UNIT</v>
          </cell>
          <cell r="G395" t="str">
            <v>CANT</v>
          </cell>
          <cell r="H395" t="str">
            <v>V.TOTAL</v>
          </cell>
          <cell r="I395"/>
        </row>
        <row r="396">
          <cell r="B396" t="str">
            <v>M022</v>
          </cell>
          <cell r="C396" t="str">
            <v>Tubería Novafort 24"</v>
          </cell>
          <cell r="D396"/>
          <cell r="E396" t="str">
            <v>ML</v>
          </cell>
          <cell r="F396">
            <v>448153.84615384613</v>
          </cell>
          <cell r="G396">
            <v>1</v>
          </cell>
          <cell r="H396"/>
          <cell r="I396"/>
          <cell r="K396">
            <v>560</v>
          </cell>
        </row>
        <row r="397">
          <cell r="C397"/>
          <cell r="D397"/>
          <cell r="E397"/>
          <cell r="F397" t="str">
            <v>Sub-Total</v>
          </cell>
          <cell r="G397" t="str">
            <v>2.10</v>
          </cell>
          <cell r="H397" t="str">
            <v>MAT-2.10</v>
          </cell>
          <cell r="I397">
            <v>0</v>
          </cell>
        </row>
        <row r="398">
          <cell r="B398"/>
          <cell r="C398"/>
          <cell r="D398"/>
          <cell r="E398"/>
          <cell r="F398"/>
          <cell r="G398"/>
          <cell r="H398"/>
          <cell r="I398"/>
        </row>
        <row r="399">
          <cell r="B399"/>
          <cell r="C399"/>
          <cell r="D399" t="str">
            <v xml:space="preserve">CAN </v>
          </cell>
          <cell r="E399" t="str">
            <v>DISTANCIA</v>
          </cell>
          <cell r="F399" t="str">
            <v>M3-Km / UN-KM</v>
          </cell>
          <cell r="G399" t="str">
            <v>TARIFA</v>
          </cell>
          <cell r="H399" t="str">
            <v>Valor-Unit.</v>
          </cell>
          <cell r="I399"/>
        </row>
        <row r="400">
          <cell r="B400"/>
          <cell r="C400"/>
          <cell r="D400"/>
          <cell r="E400"/>
          <cell r="F400"/>
          <cell r="G400"/>
          <cell r="H400">
            <v>0</v>
          </cell>
          <cell r="I400"/>
        </row>
        <row r="401">
          <cell r="C401"/>
          <cell r="D401"/>
          <cell r="E401"/>
          <cell r="F401" t="str">
            <v>Sub-Total</v>
          </cell>
          <cell r="G401" t="str">
            <v>2.10</v>
          </cell>
          <cell r="H401" t="str">
            <v>TRAN-2.10</v>
          </cell>
          <cell r="I401">
            <v>0</v>
          </cell>
        </row>
        <row r="402">
          <cell r="B402"/>
          <cell r="C402"/>
          <cell r="D402"/>
          <cell r="E402"/>
          <cell r="F402"/>
          <cell r="G402"/>
          <cell r="H402"/>
          <cell r="I402"/>
        </row>
        <row r="403">
          <cell r="B403"/>
          <cell r="C403"/>
          <cell r="D403" t="str">
            <v>JORNAL-HORA</v>
          </cell>
          <cell r="E403" t="str">
            <v>PRES</v>
          </cell>
          <cell r="F403" t="str">
            <v>Jornal Total</v>
          </cell>
          <cell r="G403" t="str">
            <v>Rendimiento</v>
          </cell>
          <cell r="H403" t="str">
            <v>Valor-Unit.</v>
          </cell>
          <cell r="I403"/>
        </row>
        <row r="404">
          <cell r="B404" t="str">
            <v>MO004</v>
          </cell>
          <cell r="C404" t="str">
            <v xml:space="preserve">oficial </v>
          </cell>
          <cell r="D404">
            <v>12336.644836388892</v>
          </cell>
          <cell r="E404"/>
          <cell r="F404">
            <v>12336.644836388892</v>
          </cell>
          <cell r="G404">
            <v>0.52</v>
          </cell>
          <cell r="H404">
            <v>6415.0553149222242</v>
          </cell>
          <cell r="I404"/>
        </row>
        <row r="405">
          <cell r="B405" t="str">
            <v>MO005</v>
          </cell>
          <cell r="C405" t="str">
            <v xml:space="preserve">ayudante entendido </v>
          </cell>
          <cell r="D405">
            <v>11136.644836388892</v>
          </cell>
          <cell r="E405"/>
          <cell r="F405">
            <v>11136.644836388892</v>
          </cell>
          <cell r="G405">
            <v>0.52</v>
          </cell>
          <cell r="H405">
            <v>5791.0553149222242</v>
          </cell>
          <cell r="I405"/>
        </row>
        <row r="406">
          <cell r="B406" t="str">
            <v>MO006</v>
          </cell>
          <cell r="C406" t="str">
            <v xml:space="preserve">ayudante </v>
          </cell>
          <cell r="D406">
            <v>10336.644836388892</v>
          </cell>
          <cell r="E406"/>
          <cell r="F406">
            <v>10336.644836388892</v>
          </cell>
          <cell r="G406">
            <v>0.52</v>
          </cell>
          <cell r="H406">
            <v>5375.0553149222242</v>
          </cell>
          <cell r="I406"/>
        </row>
        <row r="407">
          <cell r="B407" t="str">
            <v>MO007</v>
          </cell>
          <cell r="C407" t="str">
            <v>contra maestro</v>
          </cell>
          <cell r="D407">
            <v>12974.601086388891</v>
          </cell>
          <cell r="E407"/>
          <cell r="F407">
            <v>12974.601086388891</v>
          </cell>
          <cell r="G407">
            <v>5.2000000000000005E-2</v>
          </cell>
          <cell r="H407">
            <v>674.67925649222241</v>
          </cell>
          <cell r="I407"/>
        </row>
        <row r="408">
          <cell r="C408"/>
          <cell r="D408"/>
          <cell r="E408"/>
          <cell r="F408" t="str">
            <v>Sub-Total</v>
          </cell>
          <cell r="G408" t="str">
            <v>2.10</v>
          </cell>
          <cell r="H408" t="str">
            <v>MDEO-2.10</v>
          </cell>
          <cell r="I408">
            <v>18255.845201258893</v>
          </cell>
        </row>
        <row r="409">
          <cell r="C409"/>
          <cell r="D409"/>
          <cell r="E409"/>
          <cell r="F409"/>
          <cell r="G409"/>
          <cell r="H409"/>
          <cell r="I409">
            <v>912.79226006294471</v>
          </cell>
        </row>
        <row r="410">
          <cell r="C410"/>
          <cell r="D410"/>
          <cell r="E410"/>
          <cell r="F410" t="str">
            <v>Total Costo Directo</v>
          </cell>
          <cell r="G410"/>
          <cell r="H410"/>
          <cell r="I410">
            <v>19169</v>
          </cell>
        </row>
        <row r="411">
          <cell r="B411"/>
          <cell r="C411"/>
          <cell r="D411"/>
          <cell r="E411"/>
          <cell r="F411"/>
          <cell r="G411"/>
          <cell r="H411"/>
          <cell r="I411"/>
        </row>
        <row r="412">
          <cell r="B412"/>
          <cell r="C412"/>
          <cell r="D412"/>
          <cell r="E412"/>
          <cell r="F412" t="str">
            <v>REVISA</v>
          </cell>
          <cell r="G412"/>
          <cell r="H412"/>
          <cell r="I412"/>
        </row>
        <row r="413">
          <cell r="B413"/>
          <cell r="C413"/>
          <cell r="D413"/>
          <cell r="E413"/>
          <cell r="F413" t="str">
            <v>FIRMA:</v>
          </cell>
          <cell r="G413"/>
          <cell r="H413"/>
          <cell r="I413"/>
        </row>
        <row r="414">
          <cell r="B414" t="str">
            <v>RAI ANDRE ESCOBAR FERIA</v>
          </cell>
          <cell r="C414"/>
          <cell r="F414" t="str">
            <v>NOMBRE</v>
          </cell>
          <cell r="G414"/>
          <cell r="H414"/>
          <cell r="I414"/>
        </row>
        <row r="415">
          <cell r="B415" t="str">
            <v>M.P. 031037-0642230 BLV</v>
          </cell>
          <cell r="C415"/>
          <cell r="F415" t="str">
            <v>MAT:</v>
          </cell>
          <cell r="G415"/>
          <cell r="H415"/>
          <cell r="I415"/>
        </row>
        <row r="416">
          <cell r="B416"/>
          <cell r="C416"/>
          <cell r="F416"/>
          <cell r="G416"/>
          <cell r="H416"/>
          <cell r="I416"/>
        </row>
        <row r="417">
          <cell r="B417"/>
          <cell r="C417"/>
          <cell r="D417"/>
          <cell r="E417"/>
          <cell r="F417"/>
          <cell r="G417"/>
          <cell r="H417"/>
          <cell r="I417"/>
        </row>
        <row r="418">
          <cell r="B418"/>
          <cell r="C418"/>
          <cell r="D418"/>
          <cell r="E418"/>
          <cell r="F418"/>
          <cell r="G418"/>
          <cell r="H418"/>
          <cell r="I418"/>
        </row>
        <row r="419">
          <cell r="B419"/>
          <cell r="C419"/>
          <cell r="D419"/>
          <cell r="E419"/>
          <cell r="F419"/>
          <cell r="G419"/>
          <cell r="H419"/>
          <cell r="I419"/>
        </row>
        <row r="420">
          <cell r="I420"/>
        </row>
        <row r="421">
          <cell r="B421"/>
          <cell r="C421"/>
          <cell r="D421"/>
          <cell r="E421"/>
          <cell r="F421"/>
          <cell r="G421"/>
          <cell r="H421"/>
          <cell r="I421"/>
        </row>
        <row r="422">
          <cell r="B422" t="str">
            <v>2.11</v>
          </cell>
          <cell r="C422" t="str">
            <v>DESCRIPCION:</v>
          </cell>
          <cell r="D422" t="str">
            <v xml:space="preserve">Construcción de caja colectora zona verde,  medida interna 1*1 h=1.2m espesores de 0,2m </v>
          </cell>
          <cell r="E422"/>
          <cell r="F422"/>
          <cell r="G422"/>
          <cell r="H422"/>
          <cell r="I422"/>
        </row>
        <row r="423">
          <cell r="B423" t="str">
            <v>PAR-19</v>
          </cell>
          <cell r="C423"/>
          <cell r="D423" t="str">
            <v>UNIDAD</v>
          </cell>
          <cell r="E423" t="str">
            <v>UNIDAD</v>
          </cell>
          <cell r="F423" t="str">
            <v>CANTIDAD</v>
          </cell>
          <cell r="G423">
            <v>36</v>
          </cell>
          <cell r="H423" t="str">
            <v>V. UNITARIO:</v>
          </cell>
          <cell r="I423">
            <v>1338089</v>
          </cell>
        </row>
        <row r="424">
          <cell r="B424"/>
          <cell r="C424"/>
          <cell r="D424"/>
          <cell r="E424"/>
          <cell r="F424"/>
          <cell r="G424"/>
          <cell r="H424"/>
          <cell r="I424"/>
        </row>
        <row r="425">
          <cell r="B425"/>
          <cell r="C425"/>
          <cell r="D425"/>
          <cell r="E425"/>
          <cell r="F425" t="str">
            <v>Tarifa/Hora</v>
          </cell>
          <cell r="G425" t="str">
            <v>Rendimiento</v>
          </cell>
          <cell r="H425" t="str">
            <v>Valor-Unit.</v>
          </cell>
          <cell r="I425"/>
        </row>
        <row r="426">
          <cell r="B426" t="str">
            <v>E035</v>
          </cell>
          <cell r="C426" t="str">
            <v>Formaleta para caja interna de insopecion  1*1</v>
          </cell>
          <cell r="D426" t="e">
            <v>#N/A</v>
          </cell>
          <cell r="E426" t="str">
            <v>HORA</v>
          </cell>
          <cell r="F426">
            <v>7500</v>
          </cell>
          <cell r="G426">
            <v>4</v>
          </cell>
          <cell r="H426">
            <v>30000</v>
          </cell>
          <cell r="I426"/>
        </row>
        <row r="427">
          <cell r="B427" t="str">
            <v>E037</v>
          </cell>
          <cell r="C427" t="str">
            <v>formaleta para tapa de caja</v>
          </cell>
          <cell r="D427" t="e">
            <v>#N/A</v>
          </cell>
          <cell r="E427" t="str">
            <v>HORA</v>
          </cell>
          <cell r="F427">
            <v>7500</v>
          </cell>
          <cell r="G427">
            <v>1</v>
          </cell>
          <cell r="H427">
            <v>7500</v>
          </cell>
          <cell r="I427"/>
        </row>
        <row r="428">
          <cell r="B428"/>
          <cell r="C428"/>
          <cell r="D428"/>
          <cell r="E428"/>
          <cell r="F428" t="str">
            <v>Sub-Total</v>
          </cell>
          <cell r="G428" t="str">
            <v>2.11</v>
          </cell>
          <cell r="H428" t="str">
            <v>EQUI-2.11</v>
          </cell>
          <cell r="I428">
            <v>37500</v>
          </cell>
        </row>
        <row r="429">
          <cell r="B429"/>
          <cell r="C429"/>
          <cell r="D429"/>
          <cell r="E429"/>
          <cell r="F429"/>
          <cell r="G429"/>
          <cell r="H429"/>
          <cell r="I429"/>
        </row>
        <row r="430">
          <cell r="B430"/>
          <cell r="C430"/>
          <cell r="D430"/>
          <cell r="E430" t="str">
            <v>UNIDAD</v>
          </cell>
          <cell r="F430" t="str">
            <v>V.UNIT</v>
          </cell>
          <cell r="G430" t="str">
            <v>CANT</v>
          </cell>
          <cell r="H430" t="str">
            <v>V.TOTAL</v>
          </cell>
          <cell r="I430"/>
        </row>
        <row r="431">
          <cell r="B431" t="str">
            <v>M007</v>
          </cell>
          <cell r="C431" t="str">
            <v>Concreto 3000psi en obra</v>
          </cell>
          <cell r="D431"/>
          <cell r="E431" t="str">
            <v>M3</v>
          </cell>
          <cell r="F431">
            <v>498450</v>
          </cell>
          <cell r="G431">
            <v>1.36</v>
          </cell>
          <cell r="H431">
            <v>677892</v>
          </cell>
          <cell r="I431"/>
        </row>
        <row r="432">
          <cell r="B432" t="str">
            <v>M016</v>
          </cell>
          <cell r="C432" t="str">
            <v>herraje para caj reg. 1x1 con tapa</v>
          </cell>
          <cell r="D432"/>
          <cell r="E432" t="str">
            <v>UND</v>
          </cell>
          <cell r="F432">
            <v>290000</v>
          </cell>
          <cell r="G432">
            <v>1</v>
          </cell>
          <cell r="H432">
            <v>290000</v>
          </cell>
          <cell r="I432"/>
        </row>
        <row r="433">
          <cell r="B433" t="str">
            <v>M002</v>
          </cell>
          <cell r="C433" t="str">
            <v>Acero  60000 psi</v>
          </cell>
          <cell r="D433"/>
          <cell r="E433" t="str">
            <v>KG</v>
          </cell>
          <cell r="F433">
            <v>6913</v>
          </cell>
          <cell r="G433">
            <v>28</v>
          </cell>
          <cell r="H433"/>
          <cell r="I433"/>
        </row>
        <row r="434">
          <cell r="B434" t="str">
            <v>M001</v>
          </cell>
          <cell r="C434" t="str">
            <v>Alambre quemado</v>
          </cell>
          <cell r="D434"/>
          <cell r="E434" t="str">
            <v>KG</v>
          </cell>
          <cell r="F434">
            <v>8321</v>
          </cell>
          <cell r="G434">
            <v>0.112</v>
          </cell>
          <cell r="H434">
            <v>931.952</v>
          </cell>
          <cell r="I434"/>
        </row>
        <row r="435">
          <cell r="C435"/>
          <cell r="D435"/>
          <cell r="E435"/>
          <cell r="F435" t="str">
            <v>Sub-Total</v>
          </cell>
          <cell r="G435" t="str">
            <v>2.11</v>
          </cell>
          <cell r="H435" t="str">
            <v>MAT-2.11</v>
          </cell>
          <cell r="I435">
            <v>968823.95200000005</v>
          </cell>
        </row>
        <row r="436">
          <cell r="B436"/>
          <cell r="C436"/>
          <cell r="D436"/>
          <cell r="E436"/>
          <cell r="F436"/>
          <cell r="G436"/>
          <cell r="H436"/>
          <cell r="I436"/>
        </row>
        <row r="437">
          <cell r="B437"/>
          <cell r="C437"/>
          <cell r="D437" t="str">
            <v xml:space="preserve">CAN </v>
          </cell>
          <cell r="E437" t="str">
            <v>DISTANCIA</v>
          </cell>
          <cell r="F437" t="str">
            <v>M3-Km / UN-KM</v>
          </cell>
          <cell r="G437" t="str">
            <v>TARIFA</v>
          </cell>
          <cell r="H437" t="str">
            <v>Valor-Unit.</v>
          </cell>
          <cell r="I437"/>
        </row>
        <row r="438">
          <cell r="B438"/>
          <cell r="C438"/>
          <cell r="D438"/>
          <cell r="E438"/>
          <cell r="F438"/>
          <cell r="G438"/>
          <cell r="H438">
            <v>0</v>
          </cell>
          <cell r="I438"/>
        </row>
        <row r="439">
          <cell r="C439"/>
          <cell r="D439"/>
          <cell r="E439"/>
          <cell r="F439" t="str">
            <v>Sub-Total</v>
          </cell>
          <cell r="G439" t="str">
            <v>2.11</v>
          </cell>
          <cell r="H439" t="str">
            <v>TRAN-2.11</v>
          </cell>
          <cell r="I439">
            <v>0</v>
          </cell>
        </row>
        <row r="440">
          <cell r="B440"/>
          <cell r="C440"/>
          <cell r="D440"/>
          <cell r="E440"/>
          <cell r="F440"/>
          <cell r="G440"/>
          <cell r="H440"/>
          <cell r="I440"/>
        </row>
        <row r="441">
          <cell r="B441"/>
          <cell r="C441"/>
          <cell r="D441" t="str">
            <v>JORNAL-HORA</v>
          </cell>
          <cell r="E441" t="str">
            <v>PRES</v>
          </cell>
          <cell r="F441" t="str">
            <v>Jornal Total</v>
          </cell>
          <cell r="G441" t="str">
            <v>Rendimiento</v>
          </cell>
          <cell r="H441" t="str">
            <v>Valor-Unit.</v>
          </cell>
          <cell r="I441"/>
        </row>
        <row r="442">
          <cell r="B442" t="str">
            <v>MO004</v>
          </cell>
          <cell r="C442" t="str">
            <v xml:space="preserve">oficial </v>
          </cell>
          <cell r="D442">
            <v>12336.644836388892</v>
          </cell>
          <cell r="E442"/>
          <cell r="F442">
            <v>12336.644836388892</v>
          </cell>
          <cell r="G442">
            <v>9</v>
          </cell>
          <cell r="H442">
            <v>111029.80352750003</v>
          </cell>
          <cell r="I442"/>
        </row>
        <row r="443">
          <cell r="B443" t="str">
            <v>MO005</v>
          </cell>
          <cell r="C443" t="str">
            <v xml:space="preserve">ayudante entendido </v>
          </cell>
          <cell r="D443">
            <v>11136.644836388892</v>
          </cell>
          <cell r="E443"/>
          <cell r="F443">
            <v>11136.644836388892</v>
          </cell>
          <cell r="G443">
            <v>9</v>
          </cell>
          <cell r="H443">
            <v>100229.80352750003</v>
          </cell>
          <cell r="I443"/>
        </row>
        <row r="444">
          <cell r="B444" t="str">
            <v>MO006</v>
          </cell>
          <cell r="C444" t="str">
            <v xml:space="preserve">ayudante </v>
          </cell>
          <cell r="D444">
            <v>10336.644836388892</v>
          </cell>
          <cell r="E444"/>
          <cell r="F444">
            <v>10336.644836388892</v>
          </cell>
          <cell r="G444">
            <v>9</v>
          </cell>
          <cell r="H444">
            <v>93029.803527500029</v>
          </cell>
          <cell r="I444"/>
        </row>
        <row r="445">
          <cell r="B445" t="str">
            <v>MO007</v>
          </cell>
          <cell r="C445" t="str">
            <v>contra maestro</v>
          </cell>
          <cell r="D445">
            <v>12974.601086388891</v>
          </cell>
          <cell r="E445"/>
          <cell r="F445">
            <v>12974.601086388891</v>
          </cell>
          <cell r="G445">
            <v>0.9</v>
          </cell>
          <cell r="H445">
            <v>11677.140977750003</v>
          </cell>
          <cell r="I445"/>
        </row>
        <row r="446">
          <cell r="C446"/>
          <cell r="D446"/>
          <cell r="E446"/>
          <cell r="F446" t="str">
            <v>Sub-Total</v>
          </cell>
          <cell r="G446" t="str">
            <v>2.11</v>
          </cell>
          <cell r="H446" t="str">
            <v>MDEO-2.11</v>
          </cell>
          <cell r="I446">
            <v>315966.55156025011</v>
          </cell>
        </row>
        <row r="447">
          <cell r="C447"/>
          <cell r="D447"/>
          <cell r="E447"/>
          <cell r="F447"/>
          <cell r="G447"/>
          <cell r="H447"/>
          <cell r="I447">
            <v>15798.327578012506</v>
          </cell>
        </row>
        <row r="448">
          <cell r="C448"/>
          <cell r="D448"/>
          <cell r="E448"/>
          <cell r="F448" t="str">
            <v>Total Costo Directo</v>
          </cell>
          <cell r="G448"/>
          <cell r="H448"/>
          <cell r="I448">
            <v>1338089</v>
          </cell>
        </row>
        <row r="449">
          <cell r="B449"/>
          <cell r="C449"/>
          <cell r="D449"/>
          <cell r="E449"/>
          <cell r="F449" t="str">
            <v>REVISA</v>
          </cell>
          <cell r="G449"/>
          <cell r="H449"/>
          <cell r="I449"/>
        </row>
        <row r="450">
          <cell r="B450"/>
          <cell r="C450"/>
          <cell r="D450"/>
          <cell r="E450"/>
          <cell r="F450" t="str">
            <v>FIRMA:</v>
          </cell>
          <cell r="G450"/>
          <cell r="H450"/>
          <cell r="I450"/>
        </row>
        <row r="451">
          <cell r="B451" t="str">
            <v>RAI ANDRE ESCOBAR FERIA</v>
          </cell>
          <cell r="C451"/>
          <cell r="F451" t="str">
            <v>NOMBRE</v>
          </cell>
          <cell r="G451"/>
          <cell r="H451"/>
          <cell r="I451"/>
        </row>
        <row r="452">
          <cell r="B452" t="str">
            <v>M.P. 031037-0642230 BLV</v>
          </cell>
          <cell r="C452"/>
          <cell r="F452" t="str">
            <v>MAT:</v>
          </cell>
          <cell r="G452"/>
          <cell r="H452"/>
          <cell r="I452"/>
        </row>
        <row r="453">
          <cell r="B453"/>
          <cell r="C453"/>
          <cell r="F453"/>
          <cell r="G453"/>
          <cell r="H453"/>
          <cell r="I453"/>
        </row>
        <row r="454">
          <cell r="B454"/>
          <cell r="C454"/>
          <cell r="D454"/>
          <cell r="E454"/>
          <cell r="F454"/>
          <cell r="G454"/>
          <cell r="H454"/>
          <cell r="I454"/>
        </row>
        <row r="455">
          <cell r="B455"/>
          <cell r="C455"/>
          <cell r="D455"/>
          <cell r="E455"/>
          <cell r="F455"/>
          <cell r="G455"/>
          <cell r="H455"/>
          <cell r="I455"/>
        </row>
        <row r="456">
          <cell r="B456"/>
          <cell r="C456"/>
          <cell r="D456"/>
          <cell r="E456"/>
          <cell r="F456"/>
          <cell r="G456"/>
          <cell r="H456"/>
          <cell r="I456"/>
        </row>
        <row r="457">
          <cell r="I457"/>
        </row>
        <row r="458">
          <cell r="B458"/>
          <cell r="C458"/>
          <cell r="D458"/>
          <cell r="E458"/>
          <cell r="F458"/>
          <cell r="G458"/>
          <cell r="H458"/>
          <cell r="I458"/>
        </row>
        <row r="459">
          <cell r="B459" t="str">
            <v>2.12</v>
          </cell>
          <cell r="C459" t="str">
            <v>DESCRIPCION:</v>
          </cell>
          <cell r="D459" t="str">
            <v>Lleno de material granular rio para cimiento de la tubería de la red de aguas lluvias</v>
          </cell>
          <cell r="E459"/>
          <cell r="F459"/>
          <cell r="G459"/>
          <cell r="H459"/>
          <cell r="I459"/>
        </row>
        <row r="460">
          <cell r="B460" t="str">
            <v>803C-EPM</v>
          </cell>
          <cell r="C460"/>
          <cell r="D460" t="str">
            <v>UNIDAD</v>
          </cell>
          <cell r="E460" t="str">
            <v>M3</v>
          </cell>
          <cell r="F460" t="str">
            <v>CANTIDAD</v>
          </cell>
          <cell r="G460">
            <v>1890</v>
          </cell>
          <cell r="H460" t="str">
            <v>V. UNITARIO:</v>
          </cell>
          <cell r="I460">
            <v>113921</v>
          </cell>
        </row>
        <row r="461">
          <cell r="B461"/>
          <cell r="C461"/>
          <cell r="D461"/>
          <cell r="E461"/>
          <cell r="F461"/>
          <cell r="G461"/>
          <cell r="H461"/>
          <cell r="I461"/>
        </row>
        <row r="462">
          <cell r="B462"/>
          <cell r="C462"/>
          <cell r="D462"/>
          <cell r="E462"/>
          <cell r="F462" t="str">
            <v>Tarifa/Hora</v>
          </cell>
          <cell r="G462" t="str">
            <v>Rendimiento</v>
          </cell>
          <cell r="H462" t="str">
            <v>Valor-Unit.</v>
          </cell>
          <cell r="I462"/>
        </row>
        <row r="463">
          <cell r="B463" t="str">
            <v>E033</v>
          </cell>
          <cell r="C463" t="str">
            <v>compactador tipo canguro</v>
          </cell>
          <cell r="D463" t="e">
            <v>#N/A</v>
          </cell>
          <cell r="E463" t="str">
            <v>HORA</v>
          </cell>
          <cell r="F463">
            <v>7500</v>
          </cell>
          <cell r="G463">
            <v>0.5</v>
          </cell>
          <cell r="H463">
            <v>3750</v>
          </cell>
          <cell r="I463"/>
        </row>
        <row r="464">
          <cell r="C464"/>
          <cell r="D464"/>
          <cell r="E464"/>
          <cell r="F464" t="str">
            <v>Sub-Total</v>
          </cell>
          <cell r="G464" t="str">
            <v>2.12</v>
          </cell>
          <cell r="H464" t="str">
            <v>EQUI-2.12</v>
          </cell>
          <cell r="I464">
            <v>3750</v>
          </cell>
        </row>
        <row r="465">
          <cell r="B465"/>
          <cell r="C465"/>
          <cell r="D465"/>
          <cell r="E465"/>
          <cell r="F465"/>
          <cell r="G465"/>
          <cell r="H465"/>
          <cell r="I465"/>
        </row>
        <row r="466">
          <cell r="B466"/>
          <cell r="C466"/>
          <cell r="D466"/>
          <cell r="E466" t="str">
            <v>UNIDAD</v>
          </cell>
          <cell r="F466" t="str">
            <v>V.UNIT</v>
          </cell>
          <cell r="G466" t="str">
            <v>CANT</v>
          </cell>
          <cell r="H466" t="str">
            <v>V.TOTAL</v>
          </cell>
          <cell r="I466"/>
        </row>
        <row r="467">
          <cell r="B467" t="str">
            <v>M010</v>
          </cell>
          <cell r="C467" t="str">
            <v>Material granular de préstamo</v>
          </cell>
          <cell r="D467"/>
          <cell r="E467" t="str">
            <v>M3</v>
          </cell>
          <cell r="F467">
            <v>29500</v>
          </cell>
          <cell r="G467">
            <v>1.1000000000000001</v>
          </cell>
          <cell r="H467">
            <v>32450.000000000004</v>
          </cell>
          <cell r="I467"/>
        </row>
        <row r="468">
          <cell r="C468"/>
          <cell r="D468"/>
          <cell r="E468"/>
          <cell r="F468" t="str">
            <v>Sub-Total</v>
          </cell>
          <cell r="G468" t="str">
            <v>2.12</v>
          </cell>
          <cell r="H468" t="str">
            <v>MAT-2.12</v>
          </cell>
          <cell r="I468">
            <v>32450.000000000004</v>
          </cell>
        </row>
        <row r="469">
          <cell r="B469"/>
          <cell r="C469"/>
          <cell r="D469"/>
          <cell r="E469"/>
          <cell r="F469"/>
          <cell r="G469"/>
          <cell r="H469"/>
          <cell r="I469"/>
        </row>
        <row r="470">
          <cell r="B470"/>
          <cell r="C470"/>
          <cell r="D470" t="str">
            <v xml:space="preserve">CAN </v>
          </cell>
          <cell r="E470" t="str">
            <v>DISTANCIA</v>
          </cell>
          <cell r="F470" t="str">
            <v>M3-Km / UN-KM</v>
          </cell>
          <cell r="G470" t="str">
            <v>TARIFA</v>
          </cell>
          <cell r="H470" t="str">
            <v>Valor-Unit.</v>
          </cell>
          <cell r="I470"/>
        </row>
        <row r="471">
          <cell r="B471" t="str">
            <v>T008</v>
          </cell>
          <cell r="C471" t="str">
            <v>trans material &gt; 10 km</v>
          </cell>
          <cell r="D471">
            <v>1.1000000000000001</v>
          </cell>
          <cell r="E471">
            <v>55</v>
          </cell>
          <cell r="F471">
            <v>60.500000000000007</v>
          </cell>
          <cell r="G471">
            <v>980</v>
          </cell>
          <cell r="H471">
            <v>59290.000000000007</v>
          </cell>
          <cell r="I471"/>
        </row>
        <row r="472">
          <cell r="C472"/>
          <cell r="D472"/>
          <cell r="E472"/>
          <cell r="F472" t="str">
            <v>Sub-Total</v>
          </cell>
          <cell r="G472" t="str">
            <v>2.12</v>
          </cell>
          <cell r="H472" t="str">
            <v>TRAN-2.12</v>
          </cell>
          <cell r="I472">
            <v>59290.000000000007</v>
          </cell>
        </row>
        <row r="473">
          <cell r="B473"/>
          <cell r="C473"/>
          <cell r="D473"/>
          <cell r="E473"/>
          <cell r="F473"/>
          <cell r="G473"/>
          <cell r="H473"/>
          <cell r="I473"/>
        </row>
        <row r="474">
          <cell r="B474"/>
          <cell r="C474"/>
          <cell r="D474" t="str">
            <v>JORNAL-HORA</v>
          </cell>
          <cell r="E474" t="str">
            <v>PRES</v>
          </cell>
          <cell r="F474" t="str">
            <v>Jornal Total</v>
          </cell>
          <cell r="G474" t="str">
            <v>Rendimiento</v>
          </cell>
          <cell r="H474" t="str">
            <v>Valor-Unit.</v>
          </cell>
          <cell r="I474"/>
        </row>
        <row r="475">
          <cell r="B475" t="str">
            <v>MO004</v>
          </cell>
          <cell r="C475" t="str">
            <v xml:space="preserve">oficial </v>
          </cell>
          <cell r="D475">
            <v>12336.644836388892</v>
          </cell>
          <cell r="E475"/>
          <cell r="F475">
            <v>12336.644836388892</v>
          </cell>
          <cell r="G475">
            <v>0.5</v>
          </cell>
          <cell r="H475">
            <v>6168.3224181944461</v>
          </cell>
          <cell r="I475"/>
        </row>
        <row r="476">
          <cell r="B476" t="str">
            <v>MO005</v>
          </cell>
          <cell r="C476" t="str">
            <v xml:space="preserve">ayudante entendido </v>
          </cell>
          <cell r="D476">
            <v>11136.644836388892</v>
          </cell>
          <cell r="E476"/>
          <cell r="F476">
            <v>11136.644836388892</v>
          </cell>
          <cell r="G476">
            <v>0.5</v>
          </cell>
          <cell r="H476">
            <v>5568.3224181944461</v>
          </cell>
          <cell r="I476"/>
        </row>
        <row r="477">
          <cell r="B477" t="str">
            <v>MO006</v>
          </cell>
          <cell r="C477" t="str">
            <v xml:space="preserve">ayudante </v>
          </cell>
          <cell r="D477">
            <v>10336.644836388892</v>
          </cell>
          <cell r="E477"/>
          <cell r="F477">
            <v>10336.644836388892</v>
          </cell>
          <cell r="G477">
            <v>0.5</v>
          </cell>
          <cell r="H477">
            <v>5168.3224181944461</v>
          </cell>
          <cell r="I477"/>
        </row>
        <row r="478">
          <cell r="B478" t="str">
            <v>MO007</v>
          </cell>
          <cell r="C478" t="str">
            <v>contra maestro</v>
          </cell>
          <cell r="D478">
            <v>12974.601086388891</v>
          </cell>
          <cell r="E478"/>
          <cell r="F478">
            <v>12974.601086388891</v>
          </cell>
          <cell r="G478">
            <v>0.05</v>
          </cell>
          <cell r="H478">
            <v>648.73005431944466</v>
          </cell>
          <cell r="I478"/>
        </row>
        <row r="479">
          <cell r="B479"/>
          <cell r="C479"/>
          <cell r="D479"/>
          <cell r="E479"/>
          <cell r="F479"/>
          <cell r="G479"/>
          <cell r="H479"/>
          <cell r="I479"/>
        </row>
        <row r="480">
          <cell r="C480"/>
          <cell r="D480"/>
          <cell r="E480"/>
          <cell r="F480" t="str">
            <v>Sub-Total</v>
          </cell>
          <cell r="G480" t="str">
            <v>2.12</v>
          </cell>
          <cell r="H480" t="str">
            <v>MDEO-2.12</v>
          </cell>
          <cell r="I480">
            <v>17553.697308902782</v>
          </cell>
        </row>
        <row r="481">
          <cell r="C481"/>
          <cell r="D481"/>
          <cell r="E481"/>
          <cell r="F481"/>
          <cell r="G481"/>
          <cell r="H481"/>
          <cell r="I481">
            <v>877.68486544513917</v>
          </cell>
        </row>
        <row r="482">
          <cell r="C482"/>
          <cell r="D482"/>
          <cell r="E482"/>
          <cell r="F482" t="str">
            <v>Total Costo Directo</v>
          </cell>
          <cell r="G482"/>
          <cell r="H482"/>
          <cell r="I482">
            <v>113921</v>
          </cell>
        </row>
        <row r="483">
          <cell r="B483"/>
          <cell r="C483"/>
          <cell r="D483"/>
          <cell r="E483"/>
          <cell r="F483"/>
          <cell r="G483"/>
          <cell r="H483"/>
          <cell r="I483"/>
        </row>
        <row r="484">
          <cell r="B484"/>
          <cell r="C484"/>
          <cell r="D484"/>
          <cell r="E484"/>
          <cell r="F484" t="str">
            <v>REVISA</v>
          </cell>
          <cell r="G484"/>
          <cell r="H484"/>
          <cell r="I484"/>
        </row>
        <row r="485">
          <cell r="B485"/>
          <cell r="C485"/>
          <cell r="D485"/>
          <cell r="E485"/>
          <cell r="F485" t="str">
            <v>FIRMA:</v>
          </cell>
          <cell r="G485"/>
          <cell r="H485"/>
          <cell r="I485"/>
        </row>
        <row r="486">
          <cell r="B486" t="str">
            <v>RAI ANDRE ESCOBAR FERIA</v>
          </cell>
          <cell r="C486"/>
          <cell r="F486" t="str">
            <v>NOMBRE</v>
          </cell>
          <cell r="G486"/>
          <cell r="H486"/>
          <cell r="I486"/>
        </row>
        <row r="487">
          <cell r="B487" t="str">
            <v>M.P. 031037-0642230 BLV</v>
          </cell>
          <cell r="C487"/>
          <cell r="F487" t="str">
            <v>MAT:</v>
          </cell>
          <cell r="G487"/>
          <cell r="H487"/>
          <cell r="I487"/>
        </row>
        <row r="488">
          <cell r="B488"/>
          <cell r="C488"/>
          <cell r="F488"/>
          <cell r="G488"/>
          <cell r="H488"/>
          <cell r="I488"/>
        </row>
        <row r="489">
          <cell r="B489"/>
          <cell r="C489"/>
          <cell r="D489"/>
          <cell r="E489"/>
          <cell r="F489"/>
          <cell r="G489"/>
          <cell r="H489"/>
          <cell r="I489"/>
        </row>
        <row r="490">
          <cell r="B490"/>
          <cell r="C490"/>
          <cell r="D490"/>
          <cell r="E490"/>
          <cell r="F490"/>
          <cell r="G490"/>
          <cell r="H490"/>
          <cell r="I490"/>
        </row>
        <row r="491">
          <cell r="B491"/>
          <cell r="C491"/>
          <cell r="D491"/>
          <cell r="E491"/>
          <cell r="F491"/>
          <cell r="G491"/>
          <cell r="H491"/>
          <cell r="I491"/>
        </row>
        <row r="492">
          <cell r="B492"/>
          <cell r="C492"/>
          <cell r="D492"/>
          <cell r="E492"/>
          <cell r="F492"/>
          <cell r="G492"/>
          <cell r="H492"/>
          <cell r="I492"/>
        </row>
        <row r="493">
          <cell r="B493" t="str">
            <v>2.13</v>
          </cell>
          <cell r="C493" t="str">
            <v>DESCRIPCION:</v>
          </cell>
          <cell r="D493" t="str">
            <v xml:space="preserve">Lleno con material de préstamo tipo limo </v>
          </cell>
          <cell r="E493"/>
          <cell r="F493"/>
          <cell r="G493"/>
          <cell r="H493"/>
          <cell r="I493"/>
        </row>
        <row r="494">
          <cell r="B494" t="str">
            <v>PAR-20</v>
          </cell>
          <cell r="C494"/>
          <cell r="D494" t="str">
            <v>UNIDAD</v>
          </cell>
          <cell r="E494" t="str">
            <v>M3</v>
          </cell>
          <cell r="F494" t="str">
            <v>CANTIDAD</v>
          </cell>
          <cell r="G494">
            <v>1573</v>
          </cell>
          <cell r="H494" t="str">
            <v>V. UNITARIO:</v>
          </cell>
          <cell r="I494">
            <v>55597</v>
          </cell>
        </row>
        <row r="495">
          <cell r="B495"/>
          <cell r="C495"/>
          <cell r="D495"/>
          <cell r="E495"/>
          <cell r="F495"/>
          <cell r="G495"/>
          <cell r="H495"/>
          <cell r="I495"/>
        </row>
        <row r="496">
          <cell r="B496"/>
          <cell r="C496"/>
          <cell r="D496"/>
          <cell r="E496"/>
          <cell r="F496" t="str">
            <v>Tarifa/Hora</v>
          </cell>
          <cell r="G496" t="str">
            <v>Rendimiento</v>
          </cell>
          <cell r="H496" t="str">
            <v>Valor-Unit.</v>
          </cell>
          <cell r="I496"/>
        </row>
        <row r="497">
          <cell r="B497" t="str">
            <v>E033</v>
          </cell>
          <cell r="C497" t="str">
            <v>compactador tipo canguro</v>
          </cell>
          <cell r="D497" t="e">
            <v>#N/A</v>
          </cell>
          <cell r="E497" t="str">
            <v>HORA</v>
          </cell>
          <cell r="F497">
            <v>7500</v>
          </cell>
          <cell r="G497">
            <v>0.5</v>
          </cell>
          <cell r="H497">
            <v>3750</v>
          </cell>
          <cell r="I497"/>
        </row>
        <row r="498">
          <cell r="C498"/>
          <cell r="D498"/>
          <cell r="E498"/>
          <cell r="F498" t="str">
            <v>Sub-Total</v>
          </cell>
          <cell r="G498" t="str">
            <v>2.13</v>
          </cell>
          <cell r="H498" t="str">
            <v>EQUI-2.13</v>
          </cell>
          <cell r="I498">
            <v>3750</v>
          </cell>
        </row>
        <row r="499">
          <cell r="B499"/>
          <cell r="C499"/>
          <cell r="D499"/>
          <cell r="E499"/>
          <cell r="F499"/>
          <cell r="G499"/>
          <cell r="H499"/>
          <cell r="I499"/>
        </row>
        <row r="500">
          <cell r="B500"/>
          <cell r="C500"/>
          <cell r="D500"/>
          <cell r="E500" t="str">
            <v>UNIDAD</v>
          </cell>
          <cell r="F500" t="str">
            <v>V.UNIT</v>
          </cell>
          <cell r="G500" t="str">
            <v>CANT</v>
          </cell>
          <cell r="H500" t="str">
            <v>V.TOTAL</v>
          </cell>
          <cell r="I500"/>
        </row>
        <row r="501">
          <cell r="B501" t="str">
            <v>M012</v>
          </cell>
          <cell r="C501" t="str">
            <v>Material tipo limo de préstamo</v>
          </cell>
          <cell r="D501"/>
          <cell r="E501" t="str">
            <v>M3</v>
          </cell>
          <cell r="F501">
            <v>22000</v>
          </cell>
          <cell r="G501">
            <v>1.1000000000000001</v>
          </cell>
          <cell r="H501">
            <v>24200.000000000004</v>
          </cell>
          <cell r="I501"/>
        </row>
        <row r="502">
          <cell r="C502"/>
          <cell r="D502"/>
          <cell r="E502"/>
          <cell r="F502" t="str">
            <v>Sub-Total</v>
          </cell>
          <cell r="G502" t="str">
            <v>2.13</v>
          </cell>
          <cell r="H502" t="str">
            <v>MAT-2.13</v>
          </cell>
          <cell r="I502">
            <v>24200.000000000004</v>
          </cell>
        </row>
        <row r="503">
          <cell r="B503"/>
          <cell r="C503"/>
          <cell r="D503"/>
          <cell r="E503"/>
          <cell r="F503"/>
          <cell r="G503"/>
          <cell r="H503"/>
          <cell r="I503"/>
        </row>
        <row r="504">
          <cell r="B504"/>
          <cell r="C504"/>
          <cell r="D504" t="str">
            <v xml:space="preserve">CAN </v>
          </cell>
          <cell r="E504" t="str">
            <v>DISTANCIA</v>
          </cell>
          <cell r="F504" t="str">
            <v>M3-Km / UN-KM</v>
          </cell>
          <cell r="G504" t="str">
            <v>TARIFA</v>
          </cell>
          <cell r="H504" t="str">
            <v>Valor-Unit.</v>
          </cell>
          <cell r="I504"/>
        </row>
        <row r="505">
          <cell r="B505" t="str">
            <v>T009</v>
          </cell>
          <cell r="C505" t="str">
            <v>trans material &lt; 10 km</v>
          </cell>
          <cell r="D505">
            <v>1.1000000000000001</v>
          </cell>
          <cell r="E505">
            <v>8</v>
          </cell>
          <cell r="F505">
            <v>8.8000000000000007</v>
          </cell>
          <cell r="G505">
            <v>1095</v>
          </cell>
          <cell r="H505">
            <v>9636</v>
          </cell>
          <cell r="I505"/>
        </row>
        <row r="506">
          <cell r="C506"/>
          <cell r="D506"/>
          <cell r="E506"/>
          <cell r="F506" t="str">
            <v>Sub-Total</v>
          </cell>
          <cell r="G506" t="str">
            <v>2.13</v>
          </cell>
          <cell r="H506" t="str">
            <v>TRAN-2.13</v>
          </cell>
          <cell r="I506">
            <v>9636</v>
          </cell>
        </row>
        <row r="507">
          <cell r="B507"/>
          <cell r="C507"/>
          <cell r="D507"/>
          <cell r="E507"/>
          <cell r="F507"/>
          <cell r="G507"/>
          <cell r="H507"/>
          <cell r="I507"/>
        </row>
        <row r="508">
          <cell r="B508"/>
          <cell r="C508"/>
          <cell r="D508" t="str">
            <v>JORNAL-HORA</v>
          </cell>
          <cell r="E508" t="str">
            <v>PRES</v>
          </cell>
          <cell r="F508" t="str">
            <v>Jornal Total</v>
          </cell>
          <cell r="G508" t="str">
            <v>Rendimiento</v>
          </cell>
          <cell r="H508" t="str">
            <v>Valor-Unit.</v>
          </cell>
          <cell r="I508"/>
        </row>
        <row r="509">
          <cell r="B509" t="str">
            <v>MO004</v>
          </cell>
          <cell r="C509" t="str">
            <v xml:space="preserve">oficial </v>
          </cell>
          <cell r="D509">
            <v>12336.644836388892</v>
          </cell>
          <cell r="E509"/>
          <cell r="F509">
            <v>12336.644836388892</v>
          </cell>
          <cell r="G509">
            <v>0.5</v>
          </cell>
          <cell r="H509">
            <v>6168.3224181944461</v>
          </cell>
          <cell r="I509"/>
        </row>
        <row r="510">
          <cell r="B510" t="str">
            <v>MO006</v>
          </cell>
          <cell r="C510" t="str">
            <v xml:space="preserve">ayudante </v>
          </cell>
          <cell r="D510">
            <v>10336.644836388892</v>
          </cell>
          <cell r="E510"/>
          <cell r="F510">
            <v>10336.644836388892</v>
          </cell>
          <cell r="G510">
            <v>1</v>
          </cell>
          <cell r="H510">
            <v>10336.644836388892</v>
          </cell>
          <cell r="I510"/>
        </row>
        <row r="511">
          <cell r="B511" t="str">
            <v>MO007</v>
          </cell>
          <cell r="C511" t="str">
            <v>contra maestro</v>
          </cell>
          <cell r="D511">
            <v>12974.601086388891</v>
          </cell>
          <cell r="E511"/>
          <cell r="F511">
            <v>12974.601086388891</v>
          </cell>
          <cell r="G511">
            <v>0.05</v>
          </cell>
          <cell r="H511">
            <v>648.73005431944466</v>
          </cell>
          <cell r="I511"/>
        </row>
        <row r="512">
          <cell r="B512"/>
          <cell r="C512"/>
          <cell r="D512"/>
          <cell r="E512"/>
          <cell r="F512"/>
          <cell r="G512"/>
          <cell r="H512"/>
          <cell r="I512"/>
        </row>
        <row r="513">
          <cell r="C513"/>
          <cell r="D513"/>
          <cell r="E513"/>
          <cell r="F513" t="str">
            <v>Sub-Total</v>
          </cell>
          <cell r="G513" t="str">
            <v>2.13</v>
          </cell>
          <cell r="H513" t="str">
            <v>MDEO-2.13</v>
          </cell>
          <cell r="I513">
            <v>17153.697308902782</v>
          </cell>
        </row>
        <row r="514">
          <cell r="C514"/>
          <cell r="D514"/>
          <cell r="E514"/>
          <cell r="F514"/>
          <cell r="G514"/>
          <cell r="H514"/>
          <cell r="I514">
            <v>857.68486544513917</v>
          </cell>
        </row>
        <row r="515">
          <cell r="C515"/>
          <cell r="D515"/>
          <cell r="E515"/>
          <cell r="F515" t="str">
            <v>Total Costo Directo</v>
          </cell>
          <cell r="G515"/>
          <cell r="H515"/>
          <cell r="I515">
            <v>55597</v>
          </cell>
        </row>
        <row r="516">
          <cell r="B516"/>
          <cell r="C516"/>
          <cell r="D516"/>
          <cell r="E516"/>
          <cell r="F516" t="str">
            <v>REVISA</v>
          </cell>
          <cell r="G516"/>
          <cell r="H516"/>
          <cell r="I516"/>
        </row>
        <row r="517">
          <cell r="B517"/>
          <cell r="C517"/>
          <cell r="D517"/>
          <cell r="E517"/>
          <cell r="F517" t="str">
            <v>FIRMA:</v>
          </cell>
          <cell r="G517"/>
          <cell r="H517"/>
          <cell r="I517"/>
        </row>
        <row r="518">
          <cell r="B518" t="str">
            <v>RAI ANDRE ESCOBAR FERIA</v>
          </cell>
          <cell r="C518"/>
          <cell r="F518" t="str">
            <v>NOMBRE</v>
          </cell>
          <cell r="G518"/>
          <cell r="H518"/>
          <cell r="I518"/>
        </row>
        <row r="519">
          <cell r="B519" t="str">
            <v>M.P. 031037-0642230 BLV</v>
          </cell>
          <cell r="C519"/>
          <cell r="F519" t="str">
            <v>MAT:</v>
          </cell>
          <cell r="G519"/>
          <cell r="H519"/>
          <cell r="I519"/>
        </row>
        <row r="520">
          <cell r="B520"/>
          <cell r="C520"/>
          <cell r="F520"/>
          <cell r="G520"/>
          <cell r="H520"/>
          <cell r="I520"/>
        </row>
        <row r="521">
          <cell r="B521"/>
          <cell r="C521"/>
          <cell r="D521"/>
          <cell r="E521"/>
          <cell r="F521"/>
          <cell r="G521"/>
          <cell r="H521"/>
          <cell r="I521"/>
        </row>
        <row r="522">
          <cell r="B522"/>
          <cell r="C522"/>
          <cell r="D522"/>
          <cell r="E522"/>
          <cell r="F522"/>
          <cell r="G522"/>
          <cell r="H522"/>
          <cell r="I522"/>
        </row>
        <row r="523">
          <cell r="B523"/>
          <cell r="C523"/>
          <cell r="D523"/>
          <cell r="E523"/>
          <cell r="F523"/>
          <cell r="G523"/>
          <cell r="H523"/>
          <cell r="I523"/>
        </row>
        <row r="524">
          <cell r="B524"/>
          <cell r="C524"/>
          <cell r="D524"/>
          <cell r="E524"/>
          <cell r="F524"/>
          <cell r="G524"/>
          <cell r="H524"/>
          <cell r="I524"/>
        </row>
        <row r="525">
          <cell r="B525"/>
          <cell r="C525"/>
          <cell r="D525"/>
          <cell r="E525"/>
          <cell r="F525"/>
          <cell r="G525"/>
          <cell r="H525"/>
          <cell r="I525"/>
        </row>
        <row r="526">
          <cell r="B526" t="str">
            <v>2.14</v>
          </cell>
          <cell r="C526" t="str">
            <v>DESCRIPCION:</v>
          </cell>
          <cell r="D526" t="str">
            <v>Construcción de sumidero tipo b norma EPM</v>
          </cell>
          <cell r="E526"/>
          <cell r="F526"/>
          <cell r="G526"/>
          <cell r="H526"/>
          <cell r="I526"/>
        </row>
        <row r="527">
          <cell r="B527" t="str">
            <v>PAR-17</v>
          </cell>
          <cell r="C527"/>
          <cell r="D527" t="str">
            <v>UNIDAD</v>
          </cell>
          <cell r="E527" t="str">
            <v>UNIDAD</v>
          </cell>
          <cell r="F527" t="str">
            <v>CANTIDAD</v>
          </cell>
          <cell r="G527">
            <v>426</v>
          </cell>
          <cell r="H527" t="str">
            <v>V. UNITARIO:</v>
          </cell>
          <cell r="I527">
            <v>1113660</v>
          </cell>
        </row>
        <row r="528">
          <cell r="B528"/>
          <cell r="C528"/>
          <cell r="D528"/>
          <cell r="E528"/>
          <cell r="F528"/>
          <cell r="G528"/>
          <cell r="H528"/>
          <cell r="I528"/>
        </row>
        <row r="529">
          <cell r="B529"/>
          <cell r="C529"/>
          <cell r="D529"/>
          <cell r="E529"/>
          <cell r="F529" t="str">
            <v>Tarifa/Hora</v>
          </cell>
          <cell r="G529" t="str">
            <v>Rendimiento</v>
          </cell>
          <cell r="H529" t="str">
            <v>Valor-Unit.</v>
          </cell>
          <cell r="I529"/>
        </row>
        <row r="530">
          <cell r="B530" t="str">
            <v>E016</v>
          </cell>
          <cell r="C530" t="str">
            <v>formaleta cajasumidero tipo b</v>
          </cell>
          <cell r="D530" t="e">
            <v>#N/A</v>
          </cell>
          <cell r="E530" t="str">
            <v>HORA</v>
          </cell>
          <cell r="F530">
            <v>7500</v>
          </cell>
          <cell r="G530">
            <v>4</v>
          </cell>
          <cell r="H530">
            <v>30000</v>
          </cell>
          <cell r="I530"/>
        </row>
        <row r="531">
          <cell r="C531"/>
          <cell r="D531"/>
          <cell r="E531"/>
          <cell r="F531" t="str">
            <v>Sub-Total</v>
          </cell>
          <cell r="G531" t="str">
            <v>2.14</v>
          </cell>
          <cell r="H531" t="str">
            <v>EQUI-2.14</v>
          </cell>
          <cell r="I531">
            <v>30000</v>
          </cell>
        </row>
        <row r="532">
          <cell r="B532"/>
          <cell r="C532"/>
          <cell r="D532"/>
          <cell r="E532"/>
          <cell r="F532"/>
          <cell r="G532"/>
          <cell r="H532"/>
          <cell r="I532"/>
        </row>
        <row r="533">
          <cell r="B533"/>
          <cell r="C533"/>
          <cell r="D533"/>
          <cell r="E533" t="str">
            <v>UNIDAD</v>
          </cell>
          <cell r="F533" t="str">
            <v>V.UNIT</v>
          </cell>
          <cell r="G533" t="str">
            <v>CANT</v>
          </cell>
          <cell r="H533" t="str">
            <v>V.TOTAL</v>
          </cell>
          <cell r="I533"/>
        </row>
        <row r="534">
          <cell r="B534" t="str">
            <v>M028</v>
          </cell>
          <cell r="C534" t="str">
            <v>rejilla tipo sumidero</v>
          </cell>
          <cell r="D534"/>
          <cell r="E534" t="str">
            <v>Unidad</v>
          </cell>
          <cell r="F534">
            <v>455700</v>
          </cell>
          <cell r="G534">
            <v>1</v>
          </cell>
          <cell r="H534">
            <v>455700</v>
          </cell>
          <cell r="I534"/>
        </row>
        <row r="535">
          <cell r="B535" t="str">
            <v>M007</v>
          </cell>
          <cell r="C535" t="str">
            <v>Concreto 3000psi en obra</v>
          </cell>
          <cell r="D535"/>
          <cell r="E535" t="str">
            <v>M3</v>
          </cell>
          <cell r="F535">
            <v>498450</v>
          </cell>
          <cell r="G535">
            <v>0.96</v>
          </cell>
          <cell r="H535">
            <v>478512</v>
          </cell>
          <cell r="I535"/>
        </row>
        <row r="536">
          <cell r="B536" t="str">
            <v>M002</v>
          </cell>
          <cell r="C536" t="str">
            <v>Acero  60000 psi</v>
          </cell>
          <cell r="D536"/>
          <cell r="E536" t="str">
            <v>KG</v>
          </cell>
          <cell r="F536">
            <v>6913</v>
          </cell>
          <cell r="G536">
            <v>6</v>
          </cell>
          <cell r="H536"/>
          <cell r="I536"/>
        </row>
        <row r="537">
          <cell r="B537" t="str">
            <v>M001</v>
          </cell>
          <cell r="C537" t="str">
            <v>Alambre quemado</v>
          </cell>
          <cell r="D537"/>
          <cell r="E537" t="str">
            <v>KG</v>
          </cell>
          <cell r="F537">
            <v>8321</v>
          </cell>
          <cell r="G537">
            <v>0.24</v>
          </cell>
          <cell r="H537">
            <v>1997.04</v>
          </cell>
          <cell r="I537"/>
        </row>
        <row r="538">
          <cell r="C538"/>
          <cell r="D538"/>
          <cell r="E538"/>
          <cell r="F538" t="str">
            <v>Sub-Total</v>
          </cell>
          <cell r="G538" t="str">
            <v>2.14</v>
          </cell>
          <cell r="H538" t="str">
            <v>MAT-2.14</v>
          </cell>
          <cell r="I538">
            <v>936209.04</v>
          </cell>
        </row>
        <row r="539">
          <cell r="B539"/>
          <cell r="C539"/>
          <cell r="D539"/>
          <cell r="E539"/>
          <cell r="F539"/>
          <cell r="G539"/>
          <cell r="H539"/>
          <cell r="I539"/>
        </row>
        <row r="540">
          <cell r="B540"/>
          <cell r="C540"/>
          <cell r="D540" t="str">
            <v xml:space="preserve">CAN </v>
          </cell>
          <cell r="E540" t="str">
            <v>DISTANCIA</v>
          </cell>
          <cell r="F540" t="str">
            <v>M3-Km / UN-KM</v>
          </cell>
          <cell r="G540" t="str">
            <v>TARIFA</v>
          </cell>
          <cell r="H540" t="str">
            <v>Valor-Unit.</v>
          </cell>
          <cell r="I540"/>
        </row>
        <row r="541">
          <cell r="B541"/>
          <cell r="C541"/>
          <cell r="D541"/>
          <cell r="E541"/>
          <cell r="F541"/>
          <cell r="G541"/>
          <cell r="H541"/>
          <cell r="I541"/>
        </row>
        <row r="542">
          <cell r="C542"/>
          <cell r="D542"/>
          <cell r="E542"/>
          <cell r="F542" t="str">
            <v>Sub-Total</v>
          </cell>
          <cell r="G542" t="str">
            <v>2.14</v>
          </cell>
          <cell r="H542" t="str">
            <v>TRAN-2.14</v>
          </cell>
          <cell r="I542">
            <v>0</v>
          </cell>
        </row>
        <row r="543">
          <cell r="B543"/>
          <cell r="C543"/>
          <cell r="D543"/>
          <cell r="E543"/>
          <cell r="F543"/>
          <cell r="G543"/>
          <cell r="H543"/>
          <cell r="I543"/>
        </row>
        <row r="544">
          <cell r="B544"/>
          <cell r="C544"/>
          <cell r="D544" t="str">
            <v>JORNAL-HORA</v>
          </cell>
          <cell r="E544" t="str">
            <v>PRES</v>
          </cell>
          <cell r="F544" t="str">
            <v>JORNAL TOTAL</v>
          </cell>
          <cell r="G544" t="str">
            <v>RENDIEMIENTO</v>
          </cell>
          <cell r="H544" t="str">
            <v>VALOR-UNIT</v>
          </cell>
          <cell r="I544"/>
        </row>
        <row r="545">
          <cell r="B545" t="str">
            <v>MO004</v>
          </cell>
          <cell r="C545" t="str">
            <v xml:space="preserve">oficial </v>
          </cell>
          <cell r="D545">
            <v>12336.644836388892</v>
          </cell>
          <cell r="E545"/>
          <cell r="F545">
            <v>12336.644836388892</v>
          </cell>
          <cell r="G545">
            <v>4</v>
          </cell>
          <cell r="H545">
            <v>49346.579345555569</v>
          </cell>
          <cell r="I545"/>
        </row>
        <row r="546">
          <cell r="B546" t="str">
            <v>MO005</v>
          </cell>
          <cell r="C546" t="str">
            <v xml:space="preserve">ayudante entendido </v>
          </cell>
          <cell r="D546">
            <v>11136.644836388892</v>
          </cell>
          <cell r="E546"/>
          <cell r="F546">
            <v>11136.644836388892</v>
          </cell>
          <cell r="G546">
            <v>4</v>
          </cell>
          <cell r="H546">
            <v>44546.579345555569</v>
          </cell>
          <cell r="I546"/>
        </row>
        <row r="547">
          <cell r="B547" t="str">
            <v>MO006</v>
          </cell>
          <cell r="C547" t="str">
            <v xml:space="preserve">ayudante </v>
          </cell>
          <cell r="D547">
            <v>10336.644836388892</v>
          </cell>
          <cell r="E547"/>
          <cell r="F547">
            <v>10336.644836388892</v>
          </cell>
          <cell r="G547">
            <v>4</v>
          </cell>
          <cell r="H547">
            <v>41346.579345555569</v>
          </cell>
          <cell r="I547"/>
        </row>
        <row r="548">
          <cell r="B548" t="str">
            <v>MO007</v>
          </cell>
          <cell r="C548" t="str">
            <v>contra maestro</v>
          </cell>
          <cell r="D548">
            <v>12974.601086388891</v>
          </cell>
          <cell r="E548"/>
          <cell r="F548">
            <v>12974.601086388891</v>
          </cell>
          <cell r="G548">
            <v>0.4</v>
          </cell>
          <cell r="H548">
            <v>5189.8404345555573</v>
          </cell>
          <cell r="I548"/>
        </row>
        <row r="549">
          <cell r="C549"/>
          <cell r="D549"/>
          <cell r="E549"/>
          <cell r="F549" t="str">
            <v>Sub-Total</v>
          </cell>
          <cell r="G549" t="str">
            <v>2.14</v>
          </cell>
          <cell r="H549" t="str">
            <v>MDEO-2.14</v>
          </cell>
          <cell r="I549">
            <v>140429.57847122225</v>
          </cell>
        </row>
        <row r="550">
          <cell r="C550"/>
          <cell r="D550"/>
          <cell r="E550"/>
          <cell r="F550"/>
          <cell r="G550"/>
          <cell r="H550"/>
          <cell r="I550">
            <v>7021.4789235611133</v>
          </cell>
        </row>
        <row r="551">
          <cell r="C551"/>
          <cell r="D551"/>
          <cell r="E551"/>
          <cell r="F551" t="str">
            <v>Total Costo Directo</v>
          </cell>
          <cell r="G551"/>
          <cell r="H551"/>
          <cell r="I551">
            <v>1113660</v>
          </cell>
        </row>
        <row r="552">
          <cell r="B552"/>
          <cell r="C552"/>
          <cell r="D552"/>
          <cell r="E552"/>
          <cell r="F552"/>
          <cell r="G552"/>
          <cell r="H552"/>
          <cell r="I552"/>
        </row>
        <row r="553">
          <cell r="B553"/>
          <cell r="C553"/>
          <cell r="D553"/>
          <cell r="E553"/>
          <cell r="F553" t="str">
            <v>REVISA</v>
          </cell>
          <cell r="G553"/>
          <cell r="H553"/>
          <cell r="I553"/>
        </row>
        <row r="554">
          <cell r="B554"/>
          <cell r="C554"/>
          <cell r="D554"/>
          <cell r="E554"/>
          <cell r="F554" t="str">
            <v>FIRMA:</v>
          </cell>
          <cell r="G554"/>
          <cell r="H554"/>
          <cell r="I554"/>
        </row>
        <row r="555">
          <cell r="B555" t="str">
            <v>RAI ANDRE ESCOBAR FERIA</v>
          </cell>
          <cell r="C555"/>
          <cell r="F555" t="str">
            <v>NOMBRE</v>
          </cell>
          <cell r="G555"/>
          <cell r="H555"/>
          <cell r="I555"/>
        </row>
        <row r="556">
          <cell r="B556" t="str">
            <v>M.P. 031037-0642230 BLV</v>
          </cell>
          <cell r="C556"/>
          <cell r="F556" t="str">
            <v>MAT:</v>
          </cell>
          <cell r="G556"/>
          <cell r="H556"/>
          <cell r="I556"/>
        </row>
        <row r="557">
          <cell r="B557"/>
          <cell r="C557"/>
          <cell r="F557"/>
          <cell r="G557"/>
          <cell r="H557"/>
          <cell r="I557"/>
        </row>
        <row r="558">
          <cell r="B558"/>
          <cell r="C558"/>
          <cell r="D558"/>
          <cell r="E558"/>
          <cell r="F558"/>
          <cell r="G558"/>
          <cell r="H558"/>
          <cell r="I558"/>
        </row>
        <row r="559">
          <cell r="B559"/>
          <cell r="C559"/>
          <cell r="D559"/>
          <cell r="E559"/>
          <cell r="F559"/>
          <cell r="G559"/>
          <cell r="H559"/>
          <cell r="I559"/>
        </row>
        <row r="560">
          <cell r="B560"/>
          <cell r="C560"/>
          <cell r="D560"/>
          <cell r="E560"/>
          <cell r="F560"/>
          <cell r="G560"/>
          <cell r="H560"/>
          <cell r="I560"/>
        </row>
        <row r="561">
          <cell r="B561"/>
          <cell r="C561"/>
          <cell r="D561"/>
          <cell r="E561"/>
          <cell r="F561"/>
          <cell r="G561"/>
          <cell r="H561"/>
          <cell r="I561"/>
        </row>
        <row r="562">
          <cell r="B562" t="str">
            <v>3.1</v>
          </cell>
          <cell r="C562" t="str">
            <v>DESCRIPCION:</v>
          </cell>
          <cell r="D562" t="str">
            <v>Excavaciones mecánica para cajeos y fallos de subrasante incluye Re compactación de la subrasante</v>
          </cell>
          <cell r="E562"/>
          <cell r="F562"/>
          <cell r="G562"/>
          <cell r="H562"/>
          <cell r="I562"/>
        </row>
        <row r="563">
          <cell r="B563" t="str">
            <v>210-13</v>
          </cell>
          <cell r="C563"/>
          <cell r="D563" t="str">
            <v>UNIDAD</v>
          </cell>
          <cell r="E563" t="str">
            <v>M3</v>
          </cell>
          <cell r="F563" t="str">
            <v>CANTIDAD</v>
          </cell>
          <cell r="G563">
            <v>2205</v>
          </cell>
          <cell r="H563" t="str">
            <v>V. UNITARIO:</v>
          </cell>
          <cell r="I563">
            <v>11636.979561632334</v>
          </cell>
        </row>
        <row r="564">
          <cell r="B564"/>
          <cell r="C564"/>
          <cell r="D564"/>
          <cell r="E564"/>
          <cell r="F564"/>
          <cell r="G564"/>
          <cell r="H564"/>
          <cell r="I564"/>
        </row>
        <row r="565">
          <cell r="B565"/>
          <cell r="C565"/>
          <cell r="D565"/>
          <cell r="E565"/>
          <cell r="F565" t="str">
            <v>Tarifa/Hora/DIA</v>
          </cell>
          <cell r="G565" t="str">
            <v>Rendimiento</v>
          </cell>
          <cell r="H565" t="str">
            <v>Valor-Unit.</v>
          </cell>
          <cell r="I565"/>
        </row>
        <row r="566">
          <cell r="B566" t="str">
            <v>E003</v>
          </cell>
          <cell r="C566" t="str">
            <v>Retrocargador</v>
          </cell>
          <cell r="D566"/>
          <cell r="E566"/>
          <cell r="F566">
            <v>120000</v>
          </cell>
          <cell r="G566">
            <v>4.3999999999999997E-2</v>
          </cell>
          <cell r="H566">
            <v>5280</v>
          </cell>
          <cell r="I566"/>
        </row>
        <row r="567">
          <cell r="B567" t="str">
            <v>E028</v>
          </cell>
          <cell r="C567" t="str">
            <v>vibro compactador</v>
          </cell>
          <cell r="D567"/>
          <cell r="E567"/>
          <cell r="F567">
            <v>120000</v>
          </cell>
          <cell r="G567">
            <v>4.3999999999999997E-2</v>
          </cell>
          <cell r="H567">
            <v>5280</v>
          </cell>
          <cell r="I567"/>
        </row>
        <row r="568">
          <cell r="C568"/>
          <cell r="D568"/>
          <cell r="E568"/>
          <cell r="F568" t="str">
            <v>Sub-Total</v>
          </cell>
          <cell r="G568" t="str">
            <v>3.1</v>
          </cell>
          <cell r="H568" t="str">
            <v>EQUI-3.1</v>
          </cell>
          <cell r="I568">
            <v>10560</v>
          </cell>
        </row>
        <row r="569">
          <cell r="B569"/>
          <cell r="C569"/>
          <cell r="D569"/>
          <cell r="E569"/>
          <cell r="F569"/>
          <cell r="G569"/>
          <cell r="H569"/>
          <cell r="I569"/>
        </row>
        <row r="570">
          <cell r="B570"/>
          <cell r="C570"/>
          <cell r="D570"/>
          <cell r="E570" t="str">
            <v>UNIDAD</v>
          </cell>
          <cell r="F570" t="str">
            <v>V.UNIT</v>
          </cell>
          <cell r="G570" t="str">
            <v>CANT</v>
          </cell>
          <cell r="H570" t="str">
            <v>V.TOTAL</v>
          </cell>
          <cell r="I570"/>
        </row>
        <row r="571">
          <cell r="B571"/>
          <cell r="C571"/>
          <cell r="D571"/>
          <cell r="E571"/>
          <cell r="F571"/>
          <cell r="G571"/>
          <cell r="H571">
            <v>0</v>
          </cell>
          <cell r="I571"/>
        </row>
        <row r="572">
          <cell r="C572"/>
          <cell r="D572"/>
          <cell r="E572"/>
          <cell r="F572" t="str">
            <v>Sub-Total</v>
          </cell>
          <cell r="G572" t="str">
            <v>3.1</v>
          </cell>
          <cell r="H572" t="str">
            <v>MAT-3.1</v>
          </cell>
          <cell r="I572">
            <v>0</v>
          </cell>
        </row>
        <row r="573">
          <cell r="B573"/>
          <cell r="C573"/>
          <cell r="D573"/>
          <cell r="E573"/>
          <cell r="F573"/>
          <cell r="G573"/>
          <cell r="H573"/>
          <cell r="I573"/>
        </row>
        <row r="574">
          <cell r="B574"/>
          <cell r="C574"/>
          <cell r="D574" t="str">
            <v xml:space="preserve">CAN </v>
          </cell>
          <cell r="E574" t="str">
            <v>DISTANCIA</v>
          </cell>
          <cell r="F574" t="str">
            <v>M3-Km / UN-KM</v>
          </cell>
          <cell r="G574" t="str">
            <v>TARIFA</v>
          </cell>
          <cell r="H574" t="str">
            <v>Valor-Unit.</v>
          </cell>
          <cell r="I574"/>
        </row>
        <row r="575">
          <cell r="B575"/>
          <cell r="C575"/>
          <cell r="D575"/>
          <cell r="E575"/>
          <cell r="F575"/>
          <cell r="G575"/>
          <cell r="H575">
            <v>0</v>
          </cell>
          <cell r="I575"/>
        </row>
        <row r="576">
          <cell r="C576"/>
          <cell r="D576"/>
          <cell r="E576"/>
          <cell r="F576" t="str">
            <v>Sub-Total</v>
          </cell>
          <cell r="G576" t="str">
            <v>3.1</v>
          </cell>
          <cell r="H576" t="str">
            <v>TRAN-3.1</v>
          </cell>
          <cell r="I576">
            <v>0</v>
          </cell>
        </row>
        <row r="577">
          <cell r="B577"/>
          <cell r="C577"/>
          <cell r="D577"/>
          <cell r="E577"/>
          <cell r="F577"/>
          <cell r="G577"/>
          <cell r="H577"/>
          <cell r="I577"/>
        </row>
        <row r="578">
          <cell r="B578"/>
          <cell r="C578"/>
          <cell r="D578" t="str">
            <v>JORNAL-HORA</v>
          </cell>
          <cell r="E578" t="str">
            <v>PRES</v>
          </cell>
          <cell r="F578" t="str">
            <v>Jornal Total</v>
          </cell>
          <cell r="G578" t="str">
            <v>Rendimiento</v>
          </cell>
          <cell r="H578" t="str">
            <v>Valor-Unit.</v>
          </cell>
          <cell r="I578"/>
        </row>
        <row r="579">
          <cell r="B579" t="str">
            <v>MO006</v>
          </cell>
          <cell r="C579" t="str">
            <v xml:space="preserve">ayudante </v>
          </cell>
          <cell r="D579">
            <v>10336.644836388892</v>
          </cell>
          <cell r="E579"/>
          <cell r="F579">
            <v>10336.644836388892</v>
          </cell>
          <cell r="G579">
            <v>4.3999999999999997E-2</v>
          </cell>
          <cell r="H579">
            <v>454.81237280111122</v>
          </cell>
          <cell r="I579"/>
        </row>
        <row r="580">
          <cell r="B580" t="str">
            <v>MO002</v>
          </cell>
          <cell r="C580" t="str">
            <v>cadenero 1</v>
          </cell>
          <cell r="D580">
            <v>12974.601086388891</v>
          </cell>
          <cell r="E580"/>
          <cell r="F580">
            <v>12974.601086388891</v>
          </cell>
          <cell r="G580">
            <v>4.3999999999999997E-2</v>
          </cell>
          <cell r="H580">
            <v>570.8824478011112</v>
          </cell>
          <cell r="I580"/>
        </row>
        <row r="581">
          <cell r="B581"/>
          <cell r="C581"/>
          <cell r="D581"/>
          <cell r="E581"/>
          <cell r="F581"/>
          <cell r="G581"/>
          <cell r="H581"/>
          <cell r="I581"/>
        </row>
        <row r="582">
          <cell r="C582"/>
          <cell r="D582"/>
          <cell r="E582"/>
          <cell r="F582" t="str">
            <v>Sub-Total</v>
          </cell>
          <cell r="G582" t="str">
            <v>3.1</v>
          </cell>
          <cell r="H582" t="str">
            <v>MDEO-3.1</v>
          </cell>
          <cell r="I582">
            <v>1025.6948206022225</v>
          </cell>
        </row>
        <row r="583">
          <cell r="C583"/>
          <cell r="D583"/>
          <cell r="E583"/>
          <cell r="F583"/>
          <cell r="G583"/>
          <cell r="H583"/>
          <cell r="I583">
            <v>51.284741030111128</v>
          </cell>
        </row>
        <row r="584">
          <cell r="C584"/>
          <cell r="D584"/>
          <cell r="E584"/>
          <cell r="F584" t="str">
            <v>Total Costo Directo</v>
          </cell>
          <cell r="G584"/>
          <cell r="H584"/>
          <cell r="I584">
            <v>11636.979561632334</v>
          </cell>
        </row>
        <row r="585">
          <cell r="B585"/>
          <cell r="C585"/>
          <cell r="D585"/>
          <cell r="E585"/>
          <cell r="F585"/>
          <cell r="G585"/>
          <cell r="H585"/>
          <cell r="I585"/>
        </row>
        <row r="586">
          <cell r="B586"/>
          <cell r="C586"/>
          <cell r="D586"/>
          <cell r="E586"/>
          <cell r="F586" t="str">
            <v>REVISA</v>
          </cell>
          <cell r="G586"/>
          <cell r="H586"/>
          <cell r="I586"/>
        </row>
        <row r="587">
          <cell r="B587"/>
          <cell r="C587"/>
          <cell r="D587"/>
          <cell r="E587"/>
          <cell r="F587" t="str">
            <v>FIRMA:</v>
          </cell>
          <cell r="G587"/>
          <cell r="H587"/>
          <cell r="I587"/>
        </row>
        <row r="588">
          <cell r="B588" t="str">
            <v>RAI ANDRE ESCOBAR FERIA</v>
          </cell>
          <cell r="C588"/>
          <cell r="F588" t="str">
            <v>NOMBRE</v>
          </cell>
          <cell r="G588"/>
          <cell r="H588"/>
          <cell r="I588"/>
        </row>
        <row r="589">
          <cell r="B589" t="str">
            <v>M.P. 031037-0642230 BLV</v>
          </cell>
          <cell r="C589"/>
          <cell r="F589" t="str">
            <v>MAT:</v>
          </cell>
          <cell r="G589"/>
          <cell r="H589"/>
          <cell r="I589"/>
        </row>
        <row r="590">
          <cell r="B590"/>
          <cell r="C590"/>
          <cell r="F590"/>
          <cell r="G590"/>
          <cell r="H590"/>
          <cell r="I590"/>
        </row>
        <row r="591">
          <cell r="B591"/>
          <cell r="C591"/>
          <cell r="D591"/>
          <cell r="E591"/>
          <cell r="F591"/>
          <cell r="G591"/>
          <cell r="H591"/>
          <cell r="I591"/>
        </row>
        <row r="592">
          <cell r="B592"/>
          <cell r="C592"/>
          <cell r="D592"/>
          <cell r="E592"/>
          <cell r="F592"/>
          <cell r="G592"/>
          <cell r="H592"/>
          <cell r="I592"/>
        </row>
        <row r="593">
          <cell r="B593"/>
          <cell r="C593"/>
          <cell r="D593"/>
          <cell r="E593"/>
          <cell r="F593"/>
          <cell r="G593"/>
          <cell r="H593"/>
          <cell r="I593"/>
        </row>
        <row r="594">
          <cell r="B594"/>
          <cell r="C594"/>
          <cell r="D594"/>
          <cell r="E594"/>
          <cell r="F594"/>
          <cell r="G594"/>
          <cell r="H594"/>
          <cell r="I594"/>
        </row>
        <row r="595">
          <cell r="B595" t="str">
            <v>3.2</v>
          </cell>
          <cell r="C595" t="str">
            <v>DESCRIPCION:</v>
          </cell>
          <cell r="D595" t="str">
            <v>Suministro e instalación de geotextil 2400, estabilización de subrasante, separación de materiales</v>
          </cell>
          <cell r="E595"/>
          <cell r="F595"/>
          <cell r="G595"/>
          <cell r="H595"/>
          <cell r="I595"/>
        </row>
        <row r="596">
          <cell r="B596" t="str">
            <v>232-13</v>
          </cell>
          <cell r="C596"/>
          <cell r="D596" t="str">
            <v>UNIDAD</v>
          </cell>
          <cell r="E596" t="str">
            <v>M2</v>
          </cell>
          <cell r="F596" t="str">
            <v>CANTIDAD</v>
          </cell>
          <cell r="G596">
            <v>14703</v>
          </cell>
          <cell r="H596" t="str">
            <v>V. UNITARIO:</v>
          </cell>
          <cell r="I596">
            <v>10759</v>
          </cell>
        </row>
        <row r="597">
          <cell r="B597"/>
          <cell r="C597"/>
          <cell r="D597"/>
          <cell r="E597"/>
          <cell r="F597"/>
          <cell r="G597"/>
          <cell r="H597"/>
          <cell r="I597"/>
        </row>
        <row r="598">
          <cell r="B598"/>
          <cell r="C598"/>
          <cell r="D598"/>
          <cell r="E598"/>
          <cell r="F598" t="str">
            <v>Tarifa/Hora</v>
          </cell>
          <cell r="G598" t="str">
            <v>Rendimiento</v>
          </cell>
          <cell r="H598" t="str">
            <v>Valor-Unit.</v>
          </cell>
          <cell r="I598"/>
        </row>
        <row r="599">
          <cell r="B599"/>
          <cell r="C599"/>
          <cell r="D599"/>
          <cell r="E599"/>
          <cell r="F599"/>
          <cell r="G599"/>
          <cell r="H599">
            <v>0</v>
          </cell>
          <cell r="I599"/>
        </row>
        <row r="600">
          <cell r="C600"/>
          <cell r="D600"/>
          <cell r="E600"/>
          <cell r="F600" t="str">
            <v>Sub-Total</v>
          </cell>
          <cell r="G600" t="str">
            <v>3.2</v>
          </cell>
          <cell r="H600" t="str">
            <v>EQUI-3.2</v>
          </cell>
          <cell r="I600">
            <v>0</v>
          </cell>
        </row>
        <row r="601">
          <cell r="B601"/>
          <cell r="C601"/>
          <cell r="D601"/>
          <cell r="E601"/>
          <cell r="F601"/>
          <cell r="G601"/>
          <cell r="H601"/>
          <cell r="I601"/>
        </row>
        <row r="602">
          <cell r="B602"/>
          <cell r="C602"/>
          <cell r="D602"/>
          <cell r="E602" t="str">
            <v>UNIDAD</v>
          </cell>
          <cell r="F602" t="str">
            <v>V.UNIT</v>
          </cell>
          <cell r="G602" t="str">
            <v>CANT</v>
          </cell>
          <cell r="H602" t="str">
            <v>V.TOTAL</v>
          </cell>
          <cell r="I602"/>
        </row>
        <row r="603">
          <cell r="B603" t="str">
            <v>M015</v>
          </cell>
          <cell r="C603" t="str">
            <v>geotextil tejido 2400 t</v>
          </cell>
          <cell r="D603"/>
          <cell r="E603" t="str">
            <v>M2</v>
          </cell>
          <cell r="F603">
            <v>8500</v>
          </cell>
          <cell r="G603">
            <v>1</v>
          </cell>
          <cell r="H603">
            <v>8500</v>
          </cell>
          <cell r="I603"/>
        </row>
        <row r="604">
          <cell r="B604" t="str">
            <v>M019</v>
          </cell>
          <cell r="C604" t="str">
            <v>listón 2*2 madera tipo choiba</v>
          </cell>
          <cell r="D604"/>
          <cell r="E604" t="str">
            <v>UNIDAD</v>
          </cell>
          <cell r="F604">
            <v>10000</v>
          </cell>
          <cell r="G604">
            <v>0.06</v>
          </cell>
          <cell r="H604">
            <v>600</v>
          </cell>
          <cell r="I604"/>
        </row>
        <row r="605">
          <cell r="C605"/>
          <cell r="D605"/>
          <cell r="E605"/>
          <cell r="F605" t="str">
            <v>Sub-Total</v>
          </cell>
          <cell r="G605" t="str">
            <v>3.2</v>
          </cell>
          <cell r="H605" t="str">
            <v>MAT-3.2</v>
          </cell>
          <cell r="I605">
            <v>9100</v>
          </cell>
        </row>
        <row r="606">
          <cell r="B606"/>
          <cell r="C606"/>
          <cell r="D606"/>
          <cell r="E606"/>
          <cell r="F606"/>
          <cell r="G606"/>
          <cell r="H606"/>
          <cell r="I606"/>
        </row>
        <row r="607">
          <cell r="B607"/>
          <cell r="C607"/>
          <cell r="D607" t="str">
            <v xml:space="preserve">CAN </v>
          </cell>
          <cell r="E607" t="str">
            <v>DISTANCIA</v>
          </cell>
          <cell r="F607" t="str">
            <v>M3-Km / UN-KM</v>
          </cell>
          <cell r="G607" t="str">
            <v>TARIFA</v>
          </cell>
          <cell r="H607" t="str">
            <v>Valor-Unit.</v>
          </cell>
          <cell r="I607"/>
        </row>
        <row r="608">
          <cell r="B608"/>
          <cell r="C608"/>
          <cell r="D608"/>
          <cell r="E608"/>
          <cell r="F608"/>
          <cell r="G608"/>
          <cell r="H608"/>
          <cell r="I608"/>
        </row>
        <row r="609">
          <cell r="C609"/>
          <cell r="D609"/>
          <cell r="E609"/>
          <cell r="F609" t="str">
            <v>Sub-Total</v>
          </cell>
          <cell r="G609" t="str">
            <v>3.2</v>
          </cell>
          <cell r="H609" t="str">
            <v>TRAN-3.2</v>
          </cell>
          <cell r="I609">
            <v>0</v>
          </cell>
        </row>
        <row r="610">
          <cell r="B610"/>
          <cell r="C610"/>
          <cell r="D610"/>
          <cell r="E610"/>
          <cell r="F610"/>
          <cell r="G610"/>
          <cell r="H610"/>
          <cell r="I610"/>
        </row>
        <row r="611">
          <cell r="B611"/>
          <cell r="C611"/>
          <cell r="D611" t="str">
            <v>JORNAL-HORA</v>
          </cell>
          <cell r="E611" t="str">
            <v>PRES</v>
          </cell>
          <cell r="F611" t="str">
            <v>JORNAL TOTAL</v>
          </cell>
          <cell r="G611" t="str">
            <v>RENDIEMIENTO</v>
          </cell>
          <cell r="H611" t="str">
            <v>VALOR-UNIT</v>
          </cell>
          <cell r="I611"/>
        </row>
        <row r="612">
          <cell r="B612" t="str">
            <v>MO004</v>
          </cell>
          <cell r="C612" t="str">
            <v xml:space="preserve">oficial </v>
          </cell>
          <cell r="D612">
            <v>12336.644836388892</v>
          </cell>
          <cell r="E612">
            <v>0</v>
          </cell>
          <cell r="F612">
            <v>12336.644836388892</v>
          </cell>
          <cell r="G612">
            <v>4.4999999999999998E-2</v>
          </cell>
          <cell r="H612">
            <v>555.14901763750015</v>
          </cell>
          <cell r="I612"/>
        </row>
        <row r="613">
          <cell r="B613" t="str">
            <v>MO005</v>
          </cell>
          <cell r="C613" t="str">
            <v xml:space="preserve">ayudante entendido </v>
          </cell>
          <cell r="D613">
            <v>11136.644836388892</v>
          </cell>
          <cell r="E613">
            <v>0</v>
          </cell>
          <cell r="F613">
            <v>11136.644836388892</v>
          </cell>
          <cell r="G613">
            <v>4.4999999999999998E-2</v>
          </cell>
          <cell r="H613">
            <v>501.14901763750015</v>
          </cell>
          <cell r="I613"/>
        </row>
        <row r="614">
          <cell r="B614" t="str">
            <v>MO006</v>
          </cell>
          <cell r="C614" t="str">
            <v xml:space="preserve">ayudante </v>
          </cell>
          <cell r="D614">
            <v>10336.644836388892</v>
          </cell>
          <cell r="E614">
            <v>0</v>
          </cell>
          <cell r="F614">
            <v>10336.644836388892</v>
          </cell>
          <cell r="G614">
            <v>4.4999999999999998E-2</v>
          </cell>
          <cell r="H614">
            <v>465.14901763750015</v>
          </cell>
          <cell r="I614"/>
        </row>
        <row r="615">
          <cell r="B615" t="str">
            <v>MO007</v>
          </cell>
          <cell r="C615" t="str">
            <v>contra maestro</v>
          </cell>
          <cell r="D615">
            <v>12974.601086388891</v>
          </cell>
          <cell r="E615"/>
          <cell r="F615">
            <v>12974.601086388891</v>
          </cell>
          <cell r="G615">
            <v>4.4999999999999997E-3</v>
          </cell>
          <cell r="H615">
            <v>58.385704888750006</v>
          </cell>
          <cell r="I615"/>
        </row>
        <row r="616">
          <cell r="B616"/>
          <cell r="C616"/>
          <cell r="D616"/>
          <cell r="E616"/>
          <cell r="F616"/>
          <cell r="G616"/>
          <cell r="H616"/>
          <cell r="I616"/>
        </row>
        <row r="617">
          <cell r="C617"/>
          <cell r="D617"/>
          <cell r="E617"/>
          <cell r="F617" t="str">
            <v>Sub-Total</v>
          </cell>
          <cell r="G617" t="str">
            <v>3.2</v>
          </cell>
          <cell r="H617" t="str">
            <v>MDEO-3.2</v>
          </cell>
          <cell r="I617">
            <v>1579.8327578012506</v>
          </cell>
        </row>
        <row r="618">
          <cell r="C618"/>
          <cell r="D618"/>
          <cell r="E618"/>
          <cell r="F618"/>
          <cell r="G618"/>
          <cell r="H618"/>
          <cell r="I618">
            <v>78.991637890062535</v>
          </cell>
        </row>
        <row r="619">
          <cell r="C619"/>
          <cell r="D619"/>
          <cell r="E619"/>
          <cell r="F619" t="str">
            <v>Total Costo Directo</v>
          </cell>
          <cell r="G619"/>
          <cell r="H619"/>
          <cell r="I619">
            <v>10759</v>
          </cell>
        </row>
        <row r="620">
          <cell r="B620"/>
          <cell r="C620"/>
          <cell r="D620"/>
          <cell r="E620"/>
          <cell r="F620" t="str">
            <v>REVISA</v>
          </cell>
          <cell r="G620"/>
          <cell r="H620"/>
          <cell r="I620"/>
        </row>
        <row r="621">
          <cell r="B621"/>
          <cell r="C621"/>
          <cell r="D621"/>
          <cell r="E621"/>
          <cell r="F621" t="str">
            <v>FIRMA:</v>
          </cell>
          <cell r="G621"/>
          <cell r="H621"/>
          <cell r="I621"/>
        </row>
        <row r="622">
          <cell r="B622" t="str">
            <v>RAI ANDRE ESCOBAR FERIA</v>
          </cell>
          <cell r="C622"/>
          <cell r="F622" t="str">
            <v>NOMBRE</v>
          </cell>
          <cell r="G622"/>
          <cell r="H622"/>
          <cell r="I622"/>
        </row>
        <row r="623">
          <cell r="B623" t="str">
            <v>M.P. 031037-0642230 BLV</v>
          </cell>
          <cell r="C623"/>
          <cell r="F623" t="str">
            <v>MAT:</v>
          </cell>
          <cell r="G623"/>
          <cell r="H623"/>
          <cell r="I623"/>
        </row>
        <row r="624">
          <cell r="B624"/>
          <cell r="C624"/>
          <cell r="F624"/>
          <cell r="G624"/>
          <cell r="H624"/>
          <cell r="I624"/>
        </row>
        <row r="625">
          <cell r="B625"/>
          <cell r="C625"/>
          <cell r="D625"/>
          <cell r="E625"/>
          <cell r="F625"/>
          <cell r="G625"/>
          <cell r="H625"/>
          <cell r="I625"/>
        </row>
        <row r="626">
          <cell r="B626"/>
          <cell r="C626"/>
          <cell r="D626"/>
          <cell r="E626"/>
          <cell r="F626"/>
          <cell r="G626"/>
          <cell r="H626"/>
          <cell r="I626"/>
        </row>
        <row r="627">
          <cell r="B627"/>
          <cell r="C627"/>
          <cell r="D627"/>
          <cell r="E627"/>
          <cell r="F627"/>
          <cell r="G627"/>
          <cell r="H627"/>
          <cell r="I627"/>
        </row>
        <row r="628">
          <cell r="B628"/>
          <cell r="C628"/>
          <cell r="D628"/>
          <cell r="E628"/>
          <cell r="F628"/>
          <cell r="G628"/>
          <cell r="H628"/>
          <cell r="I628"/>
        </row>
        <row r="629">
          <cell r="B629" t="str">
            <v>3.3</v>
          </cell>
          <cell r="C629" t="str">
            <v>DESCRIPCION:</v>
          </cell>
          <cell r="D629" t="str">
            <v>Mejoramiento de la subrasante con adición de materiales granular de préstamo para remplazo de fallos</v>
          </cell>
          <cell r="E629"/>
          <cell r="F629"/>
          <cell r="G629"/>
          <cell r="H629"/>
          <cell r="I629"/>
        </row>
        <row r="630">
          <cell r="B630" t="str">
            <v>230-13</v>
          </cell>
          <cell r="C630"/>
          <cell r="D630" t="str">
            <v>UNIDAD</v>
          </cell>
          <cell r="E630" t="str">
            <v>M3</v>
          </cell>
          <cell r="F630" t="str">
            <v>CANTIDAD</v>
          </cell>
          <cell r="G630">
            <v>2205</v>
          </cell>
          <cell r="H630" t="str">
            <v>V. UNITARIO:</v>
          </cell>
          <cell r="I630">
            <v>124919</v>
          </cell>
        </row>
        <row r="631">
          <cell r="B631"/>
          <cell r="C631"/>
          <cell r="D631"/>
          <cell r="E631"/>
          <cell r="F631"/>
          <cell r="G631"/>
          <cell r="H631"/>
          <cell r="I631"/>
        </row>
        <row r="632">
          <cell r="B632"/>
          <cell r="C632"/>
          <cell r="D632"/>
          <cell r="E632"/>
          <cell r="F632" t="str">
            <v>Tarifa/Hora</v>
          </cell>
          <cell r="G632" t="str">
            <v>Rendimiento</v>
          </cell>
          <cell r="H632" t="str">
            <v>Valor-Unit.</v>
          </cell>
          <cell r="I632"/>
        </row>
        <row r="633">
          <cell r="B633" t="str">
            <v>E003</v>
          </cell>
          <cell r="C633" t="str">
            <v>Retrocargador</v>
          </cell>
          <cell r="D633"/>
          <cell r="E633"/>
          <cell r="F633">
            <v>120000</v>
          </cell>
          <cell r="G633">
            <v>4.3999999999999997E-2</v>
          </cell>
          <cell r="H633">
            <v>5280</v>
          </cell>
          <cell r="I633"/>
        </row>
        <row r="634">
          <cell r="B634" t="str">
            <v>E028</v>
          </cell>
          <cell r="C634" t="str">
            <v>vibro compactador</v>
          </cell>
          <cell r="D634"/>
          <cell r="E634"/>
          <cell r="F634">
            <v>120000</v>
          </cell>
          <cell r="G634">
            <v>4.3999999999999997E-2</v>
          </cell>
          <cell r="H634">
            <v>5280</v>
          </cell>
          <cell r="I634"/>
        </row>
        <row r="635">
          <cell r="B635" t="str">
            <v>E026</v>
          </cell>
          <cell r="C635" t="str">
            <v>tanque de almacenamiento de agua</v>
          </cell>
          <cell r="D635"/>
          <cell r="E635"/>
          <cell r="F635">
            <v>1000</v>
          </cell>
          <cell r="G635">
            <v>4.3999999999999997E-2</v>
          </cell>
          <cell r="H635">
            <v>44</v>
          </cell>
          <cell r="I635"/>
        </row>
        <row r="636">
          <cell r="C636"/>
          <cell r="D636"/>
          <cell r="E636"/>
          <cell r="F636" t="str">
            <v>Sub-Total</v>
          </cell>
          <cell r="G636" t="str">
            <v>3.3</v>
          </cell>
          <cell r="H636" t="str">
            <v>EQUI-3.3</v>
          </cell>
          <cell r="I636">
            <v>10604</v>
          </cell>
        </row>
        <row r="637">
          <cell r="B637"/>
          <cell r="C637"/>
          <cell r="D637"/>
          <cell r="E637"/>
          <cell r="F637"/>
          <cell r="G637"/>
          <cell r="H637"/>
          <cell r="I637"/>
        </row>
        <row r="638">
          <cell r="B638"/>
          <cell r="C638"/>
          <cell r="D638"/>
          <cell r="E638" t="str">
            <v>UNIDAD</v>
          </cell>
          <cell r="F638" t="str">
            <v>V.UNIT</v>
          </cell>
          <cell r="G638" t="str">
            <v>CANT</v>
          </cell>
          <cell r="H638" t="str">
            <v>V.TOTAL</v>
          </cell>
          <cell r="I638"/>
        </row>
        <row r="639">
          <cell r="B639" t="str">
            <v>M002</v>
          </cell>
          <cell r="C639" t="str">
            <v>agua</v>
          </cell>
          <cell r="D639"/>
          <cell r="E639" t="str">
            <v>M3</v>
          </cell>
          <cell r="F639">
            <v>2750</v>
          </cell>
          <cell r="G639">
            <v>0.2</v>
          </cell>
          <cell r="H639">
            <v>550</v>
          </cell>
          <cell r="I639"/>
        </row>
        <row r="640">
          <cell r="B640" t="str">
            <v>M010</v>
          </cell>
          <cell r="C640" t="str">
            <v>Material granular de préstamo</v>
          </cell>
          <cell r="D640"/>
          <cell r="E640" t="str">
            <v>M3</v>
          </cell>
          <cell r="F640">
            <v>29500</v>
          </cell>
          <cell r="G640">
            <v>0.78</v>
          </cell>
          <cell r="H640">
            <v>23010</v>
          </cell>
          <cell r="I640"/>
        </row>
        <row r="641">
          <cell r="B641" t="str">
            <v>M011</v>
          </cell>
          <cell r="C641" t="str">
            <v>Material granular piedra &gt;3"</v>
          </cell>
          <cell r="D641"/>
          <cell r="E641" t="str">
            <v>M3</v>
          </cell>
          <cell r="F641">
            <v>44000</v>
          </cell>
          <cell r="G641">
            <v>0.52</v>
          </cell>
          <cell r="H641">
            <v>22880</v>
          </cell>
          <cell r="I641"/>
        </row>
        <row r="642">
          <cell r="C642"/>
          <cell r="D642"/>
          <cell r="E642"/>
          <cell r="F642" t="str">
            <v>Sub-Total</v>
          </cell>
          <cell r="G642" t="str">
            <v>3.3</v>
          </cell>
          <cell r="H642" t="str">
            <v>MAT-3.3</v>
          </cell>
          <cell r="I642">
            <v>46440</v>
          </cell>
        </row>
        <row r="643">
          <cell r="B643"/>
          <cell r="C643"/>
          <cell r="D643"/>
          <cell r="E643"/>
          <cell r="F643"/>
          <cell r="G643"/>
          <cell r="H643"/>
          <cell r="I643"/>
        </row>
        <row r="644">
          <cell r="B644"/>
          <cell r="C644"/>
          <cell r="D644" t="str">
            <v xml:space="preserve">CAN </v>
          </cell>
          <cell r="E644" t="str">
            <v>DISTANCIA</v>
          </cell>
          <cell r="F644" t="str">
            <v>M3-Km / UN-KM</v>
          </cell>
          <cell r="G644" t="str">
            <v>TARIFA</v>
          </cell>
          <cell r="H644" t="str">
            <v>Valor-Unit.</v>
          </cell>
          <cell r="I644"/>
        </row>
        <row r="645">
          <cell r="B645" t="str">
            <v>T003</v>
          </cell>
          <cell r="C645" t="str">
            <v>trans agua 0-5km</v>
          </cell>
          <cell r="D645">
            <v>0.2</v>
          </cell>
          <cell r="E645">
            <v>5</v>
          </cell>
          <cell r="F645">
            <v>1</v>
          </cell>
          <cell r="G645">
            <v>1095</v>
          </cell>
          <cell r="H645">
            <v>1095</v>
          </cell>
          <cell r="I645"/>
        </row>
        <row r="646">
          <cell r="B646" t="str">
            <v>T008</v>
          </cell>
          <cell r="C646" t="str">
            <v>trans material &gt; 10 km</v>
          </cell>
          <cell r="D646">
            <v>0.78</v>
          </cell>
          <cell r="E646">
            <v>50</v>
          </cell>
          <cell r="F646">
            <v>39</v>
          </cell>
          <cell r="G646">
            <v>980</v>
          </cell>
          <cell r="H646">
            <v>38220</v>
          </cell>
          <cell r="I646"/>
        </row>
        <row r="647">
          <cell r="B647" t="str">
            <v>T008</v>
          </cell>
          <cell r="C647" t="str">
            <v>trans material &gt; 10 km</v>
          </cell>
          <cell r="D647">
            <v>0.52</v>
          </cell>
          <cell r="E647">
            <v>55</v>
          </cell>
          <cell r="F647">
            <v>28.6</v>
          </cell>
          <cell r="G647">
            <v>980</v>
          </cell>
          <cell r="H647">
            <v>28028</v>
          </cell>
          <cell r="I647"/>
        </row>
        <row r="648">
          <cell r="C648"/>
          <cell r="D648"/>
          <cell r="E648"/>
          <cell r="F648" t="str">
            <v>Sub-Total</v>
          </cell>
          <cell r="G648" t="str">
            <v>3.3</v>
          </cell>
          <cell r="H648" t="str">
            <v>TRAN-3.3</v>
          </cell>
          <cell r="I648">
            <v>67343</v>
          </cell>
        </row>
        <row r="649">
          <cell r="B649"/>
          <cell r="C649"/>
          <cell r="D649"/>
          <cell r="E649"/>
          <cell r="F649"/>
          <cell r="G649"/>
          <cell r="H649"/>
          <cell r="I649"/>
        </row>
        <row r="650">
          <cell r="B650"/>
          <cell r="C650"/>
          <cell r="D650" t="str">
            <v>JORNAL-HORA</v>
          </cell>
          <cell r="E650" t="str">
            <v>PRES</v>
          </cell>
          <cell r="F650" t="str">
            <v>JORNAL TOTAL</v>
          </cell>
          <cell r="G650" t="str">
            <v>RENDIEMIENTO</v>
          </cell>
          <cell r="H650" t="str">
            <v>VALOR-UNIT</v>
          </cell>
          <cell r="I650"/>
        </row>
        <row r="651">
          <cell r="B651" t="str">
            <v>MO006</v>
          </cell>
          <cell r="C651" t="str">
            <v xml:space="preserve">ayudante </v>
          </cell>
          <cell r="D651">
            <v>10336.644836388892</v>
          </cell>
          <cell r="E651"/>
          <cell r="F651">
            <v>10336.644836388892</v>
          </cell>
          <cell r="G651">
            <v>4.3999999999999997E-2</v>
          </cell>
          <cell r="H651">
            <v>454.81237280111122</v>
          </cell>
          <cell r="I651"/>
        </row>
        <row r="652">
          <cell r="B652" t="str">
            <v>MO007</v>
          </cell>
          <cell r="C652" t="str">
            <v>contra maestro</v>
          </cell>
          <cell r="D652">
            <v>12974.601086388891</v>
          </cell>
          <cell r="E652"/>
          <cell r="F652">
            <v>12974.601086388891</v>
          </cell>
          <cell r="G652">
            <v>4.0000000000000001E-3</v>
          </cell>
          <cell r="H652">
            <v>51.898404345555569</v>
          </cell>
          <cell r="I652"/>
        </row>
        <row r="653">
          <cell r="B653"/>
          <cell r="C653"/>
          <cell r="D653"/>
          <cell r="E653"/>
          <cell r="F653"/>
          <cell r="G653"/>
          <cell r="H653"/>
          <cell r="I653"/>
        </row>
        <row r="654">
          <cell r="C654"/>
          <cell r="D654"/>
          <cell r="E654"/>
          <cell r="F654" t="str">
            <v>Sub-Total</v>
          </cell>
          <cell r="G654" t="str">
            <v>3.3</v>
          </cell>
          <cell r="H654" t="str">
            <v>MDEO-3.3</v>
          </cell>
          <cell r="I654">
            <v>506.71077714666677</v>
          </cell>
        </row>
        <row r="655">
          <cell r="C655"/>
          <cell r="D655"/>
          <cell r="E655"/>
          <cell r="F655"/>
          <cell r="G655"/>
          <cell r="H655"/>
          <cell r="I655">
            <v>25.33553885733334</v>
          </cell>
        </row>
        <row r="656">
          <cell r="C656"/>
          <cell r="D656"/>
          <cell r="E656"/>
          <cell r="F656" t="str">
            <v>Total Costo Directo</v>
          </cell>
          <cell r="G656"/>
          <cell r="H656"/>
          <cell r="I656">
            <v>124919</v>
          </cell>
        </row>
        <row r="657">
          <cell r="B657"/>
          <cell r="C657"/>
          <cell r="D657"/>
          <cell r="E657"/>
          <cell r="F657"/>
          <cell r="G657"/>
          <cell r="H657"/>
          <cell r="I657"/>
        </row>
        <row r="658">
          <cell r="B658"/>
          <cell r="C658"/>
          <cell r="D658"/>
          <cell r="E658"/>
          <cell r="F658" t="str">
            <v>REVISA</v>
          </cell>
          <cell r="G658"/>
          <cell r="H658"/>
          <cell r="I658"/>
        </row>
        <row r="659">
          <cell r="B659"/>
          <cell r="C659"/>
          <cell r="D659"/>
          <cell r="E659"/>
          <cell r="F659" t="str">
            <v>FIRMA:</v>
          </cell>
          <cell r="G659"/>
          <cell r="H659"/>
          <cell r="I659"/>
        </row>
        <row r="660">
          <cell r="B660" t="str">
            <v>RAI ANDRE ESCOBAR FERIA</v>
          </cell>
          <cell r="C660"/>
          <cell r="F660" t="str">
            <v>NOMBRE</v>
          </cell>
          <cell r="G660"/>
          <cell r="H660"/>
          <cell r="I660"/>
        </row>
        <row r="661">
          <cell r="B661" t="str">
            <v>M.P. 031037-0642230 BLV</v>
          </cell>
          <cell r="C661"/>
          <cell r="F661" t="str">
            <v>MAT:</v>
          </cell>
          <cell r="G661"/>
          <cell r="H661"/>
          <cell r="I661"/>
        </row>
        <row r="662">
          <cell r="B662"/>
          <cell r="C662"/>
          <cell r="F662"/>
          <cell r="G662"/>
          <cell r="H662"/>
          <cell r="I662"/>
        </row>
        <row r="663">
          <cell r="B663"/>
          <cell r="C663"/>
          <cell r="D663"/>
          <cell r="E663"/>
          <cell r="F663"/>
          <cell r="G663"/>
          <cell r="H663"/>
          <cell r="I663"/>
        </row>
        <row r="664">
          <cell r="B664"/>
          <cell r="C664"/>
          <cell r="D664"/>
          <cell r="E664"/>
          <cell r="F664"/>
          <cell r="G664"/>
          <cell r="H664"/>
          <cell r="I664"/>
        </row>
        <row r="665">
          <cell r="B665"/>
          <cell r="C665"/>
          <cell r="D665"/>
          <cell r="E665"/>
          <cell r="F665"/>
          <cell r="G665"/>
          <cell r="H665"/>
          <cell r="I665"/>
        </row>
        <row r="666">
          <cell r="B666"/>
          <cell r="C666"/>
          <cell r="D666"/>
          <cell r="E666"/>
          <cell r="F666"/>
          <cell r="G666"/>
          <cell r="H666"/>
          <cell r="I666"/>
        </row>
        <row r="667">
          <cell r="B667" t="str">
            <v>3.4</v>
          </cell>
          <cell r="C667" t="str">
            <v>DESCRIPCION:</v>
          </cell>
          <cell r="D667" t="str">
            <v>Cimentación de la estructura pavimento, a través estabilización de la subrasante con cemento, (incluye sub base granular para adecuación de altimetría)</v>
          </cell>
          <cell r="E667"/>
          <cell r="F667"/>
          <cell r="G667"/>
          <cell r="H667"/>
          <cell r="I667"/>
        </row>
        <row r="668">
          <cell r="B668" t="str">
            <v>330-1</v>
          </cell>
          <cell r="C668"/>
          <cell r="D668" t="str">
            <v>UNIDAD</v>
          </cell>
          <cell r="E668" t="str">
            <v>M3</v>
          </cell>
          <cell r="F668" t="str">
            <v>CANTIDAD</v>
          </cell>
          <cell r="G668">
            <v>6888</v>
          </cell>
          <cell r="H668" t="str">
            <v>V. UNITARIO:</v>
          </cell>
          <cell r="I668">
            <v>88479</v>
          </cell>
        </row>
        <row r="669">
          <cell r="B669"/>
          <cell r="C669"/>
          <cell r="D669"/>
          <cell r="E669"/>
          <cell r="F669"/>
          <cell r="G669"/>
          <cell r="H669"/>
          <cell r="I669"/>
        </row>
        <row r="670">
          <cell r="B670"/>
          <cell r="C670"/>
          <cell r="D670"/>
          <cell r="E670"/>
          <cell r="F670" t="str">
            <v>Tarifa/Hora</v>
          </cell>
          <cell r="G670" t="str">
            <v>Rendimiento</v>
          </cell>
          <cell r="H670" t="str">
            <v>Valor-Unit.</v>
          </cell>
          <cell r="I670"/>
        </row>
        <row r="671">
          <cell r="B671" t="str">
            <v>E019</v>
          </cell>
          <cell r="C671" t="str">
            <v>motoniveladora</v>
          </cell>
          <cell r="D671"/>
          <cell r="E671"/>
          <cell r="F671">
            <v>155000</v>
          </cell>
          <cell r="G671">
            <v>4.3999999999999997E-2</v>
          </cell>
          <cell r="H671">
            <v>6820</v>
          </cell>
          <cell r="I671"/>
        </row>
        <row r="672">
          <cell r="B672" t="str">
            <v>E028</v>
          </cell>
          <cell r="C672" t="str">
            <v>vibro compactador</v>
          </cell>
          <cell r="D672"/>
          <cell r="E672"/>
          <cell r="F672">
            <v>120000</v>
          </cell>
          <cell r="G672">
            <v>4.3999999999999997E-2</v>
          </cell>
          <cell r="H672">
            <v>5280</v>
          </cell>
          <cell r="I672"/>
        </row>
        <row r="673">
          <cell r="B673" t="str">
            <v>E036</v>
          </cell>
          <cell r="C673" t="str">
            <v>Carro con sistema de irrigacion y tanque de almacenamiento de Agua 1000 l</v>
          </cell>
          <cell r="D673"/>
          <cell r="E673"/>
          <cell r="F673">
            <v>90000</v>
          </cell>
          <cell r="G673">
            <v>4.3999999999999997E-2</v>
          </cell>
          <cell r="H673">
            <v>3959.9999999999995</v>
          </cell>
          <cell r="I673"/>
        </row>
        <row r="674">
          <cell r="C674"/>
          <cell r="D674"/>
          <cell r="E674"/>
          <cell r="F674" t="str">
            <v>Sub-Total</v>
          </cell>
          <cell r="G674" t="str">
            <v>3.4</v>
          </cell>
          <cell r="H674" t="str">
            <v>EQUI-3.4</v>
          </cell>
          <cell r="I674">
            <v>16060</v>
          </cell>
        </row>
        <row r="675">
          <cell r="B675"/>
          <cell r="C675"/>
          <cell r="D675"/>
          <cell r="E675"/>
          <cell r="F675"/>
          <cell r="G675"/>
          <cell r="H675"/>
          <cell r="I675"/>
        </row>
        <row r="676">
          <cell r="B676"/>
          <cell r="C676"/>
          <cell r="D676"/>
          <cell r="E676" t="str">
            <v>UNIDAD</v>
          </cell>
          <cell r="F676" t="str">
            <v>V.UNIT</v>
          </cell>
          <cell r="G676" t="str">
            <v>CANT</v>
          </cell>
          <cell r="H676" t="str">
            <v>V.TOTAL</v>
          </cell>
          <cell r="I676"/>
        </row>
        <row r="677">
          <cell r="B677" t="str">
            <v>M002</v>
          </cell>
          <cell r="C677" t="str">
            <v>agua</v>
          </cell>
          <cell r="D677"/>
          <cell r="E677" t="str">
            <v>M3</v>
          </cell>
          <cell r="F677">
            <v>2750</v>
          </cell>
          <cell r="G677">
            <v>0.2</v>
          </cell>
          <cell r="H677">
            <v>550</v>
          </cell>
          <cell r="I677"/>
        </row>
        <row r="678">
          <cell r="B678" t="str">
            <v>M014</v>
          </cell>
          <cell r="C678" t="str">
            <v xml:space="preserve">Subbase granular </v>
          </cell>
          <cell r="D678"/>
          <cell r="E678" t="str">
            <v>M3</v>
          </cell>
          <cell r="F678">
            <v>39000</v>
          </cell>
          <cell r="G678">
            <v>0.75</v>
          </cell>
          <cell r="H678">
            <v>29250</v>
          </cell>
          <cell r="I678"/>
        </row>
        <row r="679">
          <cell r="B679" t="str">
            <v>M005</v>
          </cell>
          <cell r="C679" t="str">
            <v>Cemento gris</v>
          </cell>
          <cell r="D679"/>
          <cell r="E679" t="str">
            <v>SACO</v>
          </cell>
          <cell r="F679">
            <v>32700</v>
          </cell>
          <cell r="G679">
            <v>1</v>
          </cell>
          <cell r="H679"/>
          <cell r="I679"/>
        </row>
        <row r="680">
          <cell r="C680"/>
          <cell r="D680"/>
          <cell r="E680"/>
          <cell r="F680" t="str">
            <v>Sub-Total</v>
          </cell>
          <cell r="G680" t="str">
            <v>3.4</v>
          </cell>
          <cell r="H680" t="str">
            <v>MAT-3.4</v>
          </cell>
          <cell r="I680">
            <v>29800</v>
          </cell>
        </row>
        <row r="681">
          <cell r="B681"/>
          <cell r="C681"/>
          <cell r="D681"/>
          <cell r="E681"/>
          <cell r="F681"/>
          <cell r="G681"/>
          <cell r="H681"/>
          <cell r="I681"/>
        </row>
        <row r="682">
          <cell r="B682"/>
          <cell r="C682"/>
          <cell r="D682" t="str">
            <v>Can</v>
          </cell>
          <cell r="E682" t="str">
            <v>Distancia</v>
          </cell>
          <cell r="F682" t="str">
            <v>M3-Km / UN-KM</v>
          </cell>
          <cell r="G682" t="str">
            <v>Tarifa</v>
          </cell>
          <cell r="H682" t="str">
            <v>Valor-Unit.</v>
          </cell>
          <cell r="I682"/>
        </row>
        <row r="683">
          <cell r="B683" t="str">
            <v>T008</v>
          </cell>
          <cell r="C683" t="str">
            <v>trans material &gt; 10 km</v>
          </cell>
          <cell r="D683">
            <v>0.75</v>
          </cell>
          <cell r="E683">
            <v>55</v>
          </cell>
          <cell r="F683">
            <v>41.25</v>
          </cell>
          <cell r="G683">
            <v>980</v>
          </cell>
          <cell r="H683">
            <v>40425</v>
          </cell>
          <cell r="I683"/>
        </row>
        <row r="684">
          <cell r="B684" t="str">
            <v>T003</v>
          </cell>
          <cell r="C684" t="str">
            <v>trans agua 0-5km</v>
          </cell>
          <cell r="D684">
            <v>0.2</v>
          </cell>
          <cell r="E684">
            <v>5</v>
          </cell>
          <cell r="F684">
            <v>1</v>
          </cell>
          <cell r="G684">
            <v>1095</v>
          </cell>
          <cell r="H684">
            <v>1095</v>
          </cell>
          <cell r="I684"/>
        </row>
        <row r="685">
          <cell r="C685"/>
          <cell r="D685"/>
          <cell r="E685"/>
          <cell r="F685" t="str">
            <v>Sub-Total</v>
          </cell>
          <cell r="G685" t="str">
            <v>3.4</v>
          </cell>
          <cell r="H685" t="str">
            <v>TRAN-3.4</v>
          </cell>
          <cell r="I685">
            <v>41520</v>
          </cell>
        </row>
        <row r="686">
          <cell r="B686"/>
          <cell r="C686"/>
          <cell r="D686"/>
          <cell r="E686"/>
          <cell r="F686"/>
          <cell r="G686"/>
          <cell r="H686"/>
          <cell r="I686"/>
        </row>
        <row r="687">
          <cell r="B687"/>
          <cell r="C687"/>
          <cell r="D687" t="str">
            <v>JORNAL-HORA</v>
          </cell>
          <cell r="E687" t="str">
            <v>PRES</v>
          </cell>
          <cell r="F687" t="str">
            <v>JORNAL TOTAL</v>
          </cell>
          <cell r="G687" t="str">
            <v>RENDIEMIENTO</v>
          </cell>
          <cell r="H687" t="str">
            <v>VALOR-UNIT</v>
          </cell>
          <cell r="I687"/>
        </row>
        <row r="688">
          <cell r="B688" t="str">
            <v>MO004</v>
          </cell>
          <cell r="C688" t="str">
            <v xml:space="preserve">oficial </v>
          </cell>
          <cell r="D688">
            <v>12336.644836388892</v>
          </cell>
          <cell r="E688"/>
          <cell r="F688">
            <v>12336.644836388892</v>
          </cell>
          <cell r="G688">
            <v>4.3999999999999997E-2</v>
          </cell>
          <cell r="H688">
            <v>542.81237280111122</v>
          </cell>
          <cell r="I688"/>
        </row>
        <row r="689">
          <cell r="B689" t="str">
            <v>MO005</v>
          </cell>
          <cell r="C689" t="str">
            <v xml:space="preserve">ayudante entendido </v>
          </cell>
          <cell r="D689">
            <v>11136.644836388892</v>
          </cell>
          <cell r="E689"/>
          <cell r="F689">
            <v>11136.644836388892</v>
          </cell>
          <cell r="G689">
            <v>4.4000000000000003E-3</v>
          </cell>
          <cell r="H689">
            <v>49.001237280111127</v>
          </cell>
          <cell r="I689"/>
        </row>
        <row r="690">
          <cell r="B690" t="str">
            <v>MO006</v>
          </cell>
          <cell r="C690" t="str">
            <v xml:space="preserve">ayudante </v>
          </cell>
          <cell r="D690">
            <v>10336.644836388892</v>
          </cell>
          <cell r="E690"/>
          <cell r="F690">
            <v>10336.644836388892</v>
          </cell>
          <cell r="G690">
            <v>4.3999999999999997E-2</v>
          </cell>
          <cell r="H690">
            <v>454.81237280111122</v>
          </cell>
          <cell r="I690"/>
        </row>
        <row r="691">
          <cell r="C691"/>
          <cell r="D691"/>
          <cell r="E691"/>
          <cell r="F691" t="str">
            <v>Sub-Total</v>
          </cell>
          <cell r="G691" t="str">
            <v>3.4</v>
          </cell>
          <cell r="H691" t="str">
            <v>MDEO-3.4</v>
          </cell>
          <cell r="I691">
            <v>1046.6259828823336</v>
          </cell>
        </row>
        <row r="692">
          <cell r="C692"/>
          <cell r="D692"/>
          <cell r="E692"/>
          <cell r="F692"/>
          <cell r="G692"/>
          <cell r="H692"/>
          <cell r="I692">
            <v>52.331299144116684</v>
          </cell>
        </row>
        <row r="693">
          <cell r="C693"/>
          <cell r="D693"/>
          <cell r="E693"/>
          <cell r="F693" t="str">
            <v>Total Costo Directo</v>
          </cell>
          <cell r="G693"/>
          <cell r="H693"/>
          <cell r="I693">
            <v>88479</v>
          </cell>
        </row>
        <row r="694">
          <cell r="B694"/>
          <cell r="C694"/>
          <cell r="D694"/>
          <cell r="E694"/>
          <cell r="F694"/>
          <cell r="G694"/>
          <cell r="H694"/>
          <cell r="I694"/>
        </row>
        <row r="695">
          <cell r="B695"/>
          <cell r="C695"/>
          <cell r="D695"/>
          <cell r="E695"/>
          <cell r="F695" t="str">
            <v>REVISA</v>
          </cell>
          <cell r="G695"/>
          <cell r="H695"/>
          <cell r="I695"/>
        </row>
        <row r="696">
          <cell r="B696"/>
          <cell r="C696"/>
          <cell r="D696"/>
          <cell r="E696"/>
          <cell r="F696" t="str">
            <v>FIRMA:</v>
          </cell>
          <cell r="G696"/>
          <cell r="H696"/>
          <cell r="I696"/>
        </row>
        <row r="697">
          <cell r="B697" t="str">
            <v>RAI ANDRE ESCOBAR FERIA</v>
          </cell>
          <cell r="C697"/>
          <cell r="F697" t="str">
            <v>NOMBRE</v>
          </cell>
          <cell r="G697"/>
          <cell r="H697"/>
          <cell r="I697"/>
        </row>
        <row r="698">
          <cell r="B698" t="str">
            <v>M.P. 031037-0642230 BLV</v>
          </cell>
          <cell r="C698"/>
          <cell r="F698" t="str">
            <v>MAT:</v>
          </cell>
          <cell r="G698"/>
          <cell r="H698"/>
          <cell r="I698"/>
        </row>
        <row r="699">
          <cell r="B699"/>
          <cell r="C699"/>
          <cell r="F699"/>
          <cell r="G699"/>
          <cell r="H699"/>
          <cell r="I699"/>
        </row>
        <row r="700">
          <cell r="B700"/>
          <cell r="C700"/>
          <cell r="D700"/>
          <cell r="E700"/>
          <cell r="F700"/>
          <cell r="G700"/>
          <cell r="H700"/>
          <cell r="I700"/>
        </row>
        <row r="701">
          <cell r="B701"/>
          <cell r="C701"/>
          <cell r="D701"/>
          <cell r="E701"/>
          <cell r="F701"/>
          <cell r="G701"/>
          <cell r="H701"/>
          <cell r="I701"/>
        </row>
        <row r="702">
          <cell r="B702"/>
          <cell r="C702"/>
          <cell r="D702"/>
          <cell r="E702"/>
          <cell r="F702"/>
          <cell r="G702"/>
          <cell r="H702"/>
          <cell r="I702"/>
        </row>
        <row r="703">
          <cell r="B703"/>
          <cell r="C703"/>
          <cell r="D703"/>
          <cell r="E703"/>
          <cell r="F703"/>
          <cell r="G703"/>
          <cell r="H703"/>
          <cell r="I703"/>
        </row>
        <row r="704">
          <cell r="B704" t="str">
            <v>3.5</v>
          </cell>
          <cell r="C704" t="str">
            <v>DESCRIPCION:</v>
          </cell>
          <cell r="D704" t="str">
            <v>Instalación de concreto hidráulico Mr. 3,9 Mpa, pavimento rígido</v>
          </cell>
          <cell r="E704"/>
          <cell r="F704"/>
          <cell r="G704"/>
          <cell r="H704"/>
          <cell r="I704"/>
        </row>
        <row r="705">
          <cell r="B705" t="str">
            <v>500-13</v>
          </cell>
          <cell r="C705"/>
          <cell r="D705" t="str">
            <v>UNIDAD</v>
          </cell>
          <cell r="E705" t="str">
            <v>M3</v>
          </cell>
          <cell r="F705" t="str">
            <v>CANTIDAD</v>
          </cell>
          <cell r="G705">
            <v>9134</v>
          </cell>
          <cell r="H705" t="str">
            <v>V. UNITARIO:</v>
          </cell>
          <cell r="I705">
            <v>134965</v>
          </cell>
        </row>
        <row r="706">
          <cell r="B706"/>
          <cell r="C706"/>
          <cell r="D706"/>
          <cell r="E706"/>
          <cell r="F706"/>
          <cell r="G706"/>
          <cell r="H706"/>
          <cell r="I706"/>
        </row>
        <row r="707">
          <cell r="B707"/>
          <cell r="C707"/>
          <cell r="D707"/>
          <cell r="E707"/>
          <cell r="F707" t="str">
            <v>Tarifa/Hora/DIA</v>
          </cell>
          <cell r="G707" t="str">
            <v>Rendimiento</v>
          </cell>
          <cell r="H707" t="str">
            <v>Valor-Unit.</v>
          </cell>
          <cell r="I707"/>
        </row>
        <row r="708">
          <cell r="B708" t="str">
            <v>E026</v>
          </cell>
          <cell r="C708" t="str">
            <v>tanque de almacenamiento de agua</v>
          </cell>
          <cell r="D708"/>
          <cell r="E708"/>
          <cell r="F708">
            <v>1000</v>
          </cell>
          <cell r="G708">
            <v>0.8</v>
          </cell>
          <cell r="H708">
            <v>800</v>
          </cell>
          <cell r="I708"/>
        </row>
        <row r="709">
          <cell r="B709" t="str">
            <v>E006</v>
          </cell>
          <cell r="C709" t="str">
            <v>Equipo de pavimento (flota y rastrillo)</v>
          </cell>
          <cell r="D709"/>
          <cell r="E709"/>
          <cell r="F709">
            <v>1500</v>
          </cell>
          <cell r="G709">
            <v>0.8</v>
          </cell>
          <cell r="H709">
            <v>1200</v>
          </cell>
          <cell r="I709"/>
        </row>
        <row r="710">
          <cell r="B710" t="str">
            <v>E027</v>
          </cell>
          <cell r="C710" t="str">
            <v>vibrador de aguja</v>
          </cell>
          <cell r="D710"/>
          <cell r="E710"/>
          <cell r="F710">
            <v>4375</v>
          </cell>
          <cell r="G710">
            <v>0.8</v>
          </cell>
          <cell r="H710">
            <v>3500</v>
          </cell>
          <cell r="I710"/>
        </row>
        <row r="711">
          <cell r="B711" t="str">
            <v>E014</v>
          </cell>
          <cell r="C711" t="str">
            <v>formaleta metálica para pavimento</v>
          </cell>
          <cell r="D711"/>
          <cell r="E711"/>
          <cell r="F711">
            <v>1100</v>
          </cell>
          <cell r="G711">
            <v>0.8</v>
          </cell>
          <cell r="H711">
            <v>880</v>
          </cell>
          <cell r="I711"/>
        </row>
        <row r="712">
          <cell r="B712" t="str">
            <v>E021</v>
          </cell>
          <cell r="C712" t="str">
            <v>regla vibratoria</v>
          </cell>
          <cell r="D712"/>
          <cell r="E712"/>
          <cell r="F712">
            <v>2500</v>
          </cell>
          <cell r="G712">
            <v>0.8</v>
          </cell>
          <cell r="H712">
            <v>2000</v>
          </cell>
          <cell r="I712"/>
        </row>
        <row r="713">
          <cell r="C713"/>
          <cell r="D713"/>
          <cell r="E713"/>
          <cell r="F713" t="str">
            <v>Sub-Total</v>
          </cell>
          <cell r="G713" t="str">
            <v>3.5</v>
          </cell>
          <cell r="H713" t="str">
            <v>EQUI-3.5</v>
          </cell>
          <cell r="I713">
            <v>8380</v>
          </cell>
        </row>
        <row r="714">
          <cell r="B714"/>
          <cell r="C714"/>
          <cell r="D714"/>
          <cell r="E714"/>
          <cell r="F714"/>
          <cell r="G714"/>
          <cell r="H714"/>
          <cell r="I714"/>
        </row>
        <row r="715">
          <cell r="B715"/>
          <cell r="C715"/>
          <cell r="D715"/>
          <cell r="E715" t="str">
            <v>UNIDAD</v>
          </cell>
          <cell r="F715" t="str">
            <v>V.UNIT</v>
          </cell>
          <cell r="G715" t="str">
            <v>CANT</v>
          </cell>
          <cell r="H715" t="str">
            <v>V.TOTAL</v>
          </cell>
          <cell r="I715"/>
        </row>
        <row r="716">
          <cell r="B716" t="str">
            <v>M008</v>
          </cell>
          <cell r="C716" t="str">
            <v>Concreto premezclado Mr. 3,9 Mpa</v>
          </cell>
          <cell r="D716"/>
          <cell r="E716" t="str">
            <v>M3</v>
          </cell>
          <cell r="F716">
            <v>584766</v>
          </cell>
          <cell r="G716">
            <v>1</v>
          </cell>
          <cell r="H716"/>
          <cell r="I716"/>
          <cell r="K716">
            <v>9134</v>
          </cell>
        </row>
        <row r="717">
          <cell r="B717" t="str">
            <v>M009</v>
          </cell>
          <cell r="C717" t="str">
            <v>curador tipo anti sol</v>
          </cell>
          <cell r="D717"/>
          <cell r="E717" t="str">
            <v>KG</v>
          </cell>
          <cell r="F717">
            <v>7500</v>
          </cell>
          <cell r="G717">
            <v>1.1111111111111112</v>
          </cell>
          <cell r="H717">
            <v>8333.3333333333339</v>
          </cell>
          <cell r="I717"/>
        </row>
        <row r="718">
          <cell r="C718"/>
          <cell r="D718"/>
          <cell r="E718"/>
          <cell r="F718" t="str">
            <v>Sub-Total</v>
          </cell>
          <cell r="G718" t="str">
            <v>3.5</v>
          </cell>
          <cell r="H718" t="str">
            <v>MAT-3.5</v>
          </cell>
          <cell r="I718">
            <v>8333.3333333333339</v>
          </cell>
        </row>
        <row r="719">
          <cell r="B719"/>
          <cell r="C719"/>
          <cell r="D719"/>
          <cell r="E719"/>
          <cell r="F719"/>
          <cell r="G719"/>
          <cell r="H719"/>
          <cell r="I719"/>
        </row>
        <row r="720">
          <cell r="B720"/>
          <cell r="C720"/>
          <cell r="D720" t="str">
            <v xml:space="preserve">CAN </v>
          </cell>
          <cell r="E720" t="str">
            <v>DISTANCIA</v>
          </cell>
          <cell r="F720" t="str">
            <v>M3-Km / UN-KM</v>
          </cell>
          <cell r="G720" t="str">
            <v>TARIFA</v>
          </cell>
          <cell r="H720" t="str">
            <v>Valor-Unit.</v>
          </cell>
          <cell r="I720"/>
        </row>
        <row r="721">
          <cell r="B721" t="str">
            <v>T008</v>
          </cell>
          <cell r="C721" t="str">
            <v>trans material &gt; 10 km</v>
          </cell>
          <cell r="D721">
            <v>0</v>
          </cell>
          <cell r="E721">
            <v>55</v>
          </cell>
          <cell r="F721">
            <v>0</v>
          </cell>
          <cell r="G721">
            <v>980</v>
          </cell>
          <cell r="H721">
            <v>0</v>
          </cell>
          <cell r="I721"/>
        </row>
        <row r="722">
          <cell r="C722"/>
          <cell r="D722"/>
          <cell r="E722"/>
          <cell r="F722" t="str">
            <v>Sub-Total</v>
          </cell>
          <cell r="G722" t="str">
            <v>3.5</v>
          </cell>
          <cell r="H722" t="str">
            <v>TRAN-3.5</v>
          </cell>
          <cell r="I722">
            <v>0</v>
          </cell>
        </row>
        <row r="723">
          <cell r="B723"/>
          <cell r="C723"/>
          <cell r="D723"/>
          <cell r="E723"/>
          <cell r="F723"/>
          <cell r="G723"/>
          <cell r="H723"/>
          <cell r="I723"/>
        </row>
        <row r="724">
          <cell r="B724"/>
          <cell r="C724"/>
          <cell r="D724" t="str">
            <v>JORNAL-HORA</v>
          </cell>
          <cell r="E724" t="str">
            <v>PRES</v>
          </cell>
          <cell r="F724" t="str">
            <v>JORNAL TOTAL</v>
          </cell>
          <cell r="G724" t="str">
            <v>RENDIEMIENTO</v>
          </cell>
          <cell r="H724" t="str">
            <v>VALOR-UNIT</v>
          </cell>
          <cell r="I724"/>
        </row>
        <row r="725">
          <cell r="B725" t="str">
            <v>MO004</v>
          </cell>
          <cell r="C725" t="str">
            <v xml:space="preserve">oficial </v>
          </cell>
          <cell r="D725">
            <v>12336.644836388892</v>
          </cell>
          <cell r="E725">
            <v>0</v>
          </cell>
          <cell r="F725">
            <v>12336.644836388892</v>
          </cell>
          <cell r="G725">
            <v>1.6</v>
          </cell>
          <cell r="H725">
            <v>19738.63173822223</v>
          </cell>
          <cell r="I725"/>
        </row>
        <row r="726">
          <cell r="B726" t="str">
            <v>MO005</v>
          </cell>
          <cell r="C726" t="str">
            <v xml:space="preserve">ayudante entendido </v>
          </cell>
          <cell r="D726">
            <v>11136.644836388892</v>
          </cell>
          <cell r="E726">
            <v>0</v>
          </cell>
          <cell r="F726">
            <v>11136.644836388892</v>
          </cell>
          <cell r="G726">
            <v>2.4000000000000004</v>
          </cell>
          <cell r="H726">
            <v>26727.947607333346</v>
          </cell>
          <cell r="I726"/>
        </row>
        <row r="727">
          <cell r="B727" t="str">
            <v>MO006</v>
          </cell>
          <cell r="C727" t="str">
            <v xml:space="preserve">ayudante </v>
          </cell>
          <cell r="D727">
            <v>10336.644836388892</v>
          </cell>
          <cell r="E727">
            <v>0</v>
          </cell>
          <cell r="F727">
            <v>10336.644836388892</v>
          </cell>
          <cell r="G727">
            <v>6.4</v>
          </cell>
          <cell r="H727">
            <v>66154.526952888918</v>
          </cell>
          <cell r="I727"/>
        </row>
        <row r="728">
          <cell r="B728"/>
          <cell r="C728"/>
          <cell r="D728"/>
          <cell r="E728"/>
          <cell r="F728"/>
          <cell r="G728"/>
          <cell r="H728"/>
          <cell r="I728"/>
        </row>
        <row r="729">
          <cell r="C729"/>
          <cell r="D729"/>
          <cell r="E729"/>
          <cell r="F729" t="str">
            <v>Sub-Total</v>
          </cell>
          <cell r="G729" t="str">
            <v>3.5</v>
          </cell>
          <cell r="H729" t="str">
            <v>MDEO-3.5</v>
          </cell>
          <cell r="I729">
            <v>112621.1062984445</v>
          </cell>
        </row>
        <row r="730">
          <cell r="C730"/>
          <cell r="D730"/>
          <cell r="E730"/>
          <cell r="F730"/>
          <cell r="G730"/>
          <cell r="H730"/>
          <cell r="I730">
            <v>5631.0553149222251</v>
          </cell>
        </row>
        <row r="731">
          <cell r="C731"/>
          <cell r="D731"/>
          <cell r="E731"/>
          <cell r="F731" t="str">
            <v>Total Costo Directo</v>
          </cell>
          <cell r="G731"/>
          <cell r="H731"/>
          <cell r="I731">
            <v>134965</v>
          </cell>
        </row>
        <row r="732">
          <cell r="B732"/>
          <cell r="C732"/>
          <cell r="D732"/>
          <cell r="E732"/>
          <cell r="F732"/>
          <cell r="G732"/>
          <cell r="H732"/>
          <cell r="I732"/>
        </row>
        <row r="733">
          <cell r="B733"/>
          <cell r="C733"/>
          <cell r="D733"/>
          <cell r="E733"/>
          <cell r="F733" t="str">
            <v>REVISA</v>
          </cell>
          <cell r="G733"/>
          <cell r="H733"/>
          <cell r="I733"/>
        </row>
        <row r="734">
          <cell r="B734"/>
          <cell r="C734"/>
          <cell r="D734"/>
          <cell r="E734"/>
          <cell r="F734" t="str">
            <v>FIRMA:</v>
          </cell>
          <cell r="G734"/>
          <cell r="H734"/>
          <cell r="I734"/>
        </row>
        <row r="735">
          <cell r="B735" t="str">
            <v>RAI ANDRE ESCOBAR FERIA</v>
          </cell>
          <cell r="C735"/>
          <cell r="F735" t="str">
            <v>NOMBRE</v>
          </cell>
          <cell r="G735"/>
          <cell r="H735"/>
          <cell r="I735"/>
        </row>
        <row r="736">
          <cell r="B736" t="str">
            <v>M.P. 031037-0642230 BLV</v>
          </cell>
          <cell r="C736"/>
          <cell r="F736" t="str">
            <v>MAT:</v>
          </cell>
          <cell r="G736"/>
          <cell r="H736"/>
          <cell r="I736"/>
        </row>
        <row r="737">
          <cell r="B737"/>
          <cell r="C737"/>
          <cell r="F737"/>
          <cell r="G737"/>
          <cell r="H737"/>
          <cell r="I737"/>
        </row>
        <row r="738">
          <cell r="B738"/>
          <cell r="C738"/>
          <cell r="D738"/>
          <cell r="E738"/>
          <cell r="F738"/>
          <cell r="G738"/>
          <cell r="H738"/>
          <cell r="I738"/>
        </row>
        <row r="739">
          <cell r="B739"/>
          <cell r="C739"/>
          <cell r="D739"/>
          <cell r="E739"/>
          <cell r="F739"/>
          <cell r="G739"/>
          <cell r="H739"/>
          <cell r="I739"/>
        </row>
        <row r="740">
          <cell r="B740"/>
          <cell r="C740"/>
          <cell r="D740"/>
          <cell r="E740"/>
          <cell r="F740"/>
          <cell r="G740"/>
          <cell r="H740"/>
          <cell r="I740"/>
        </row>
        <row r="741">
          <cell r="B741"/>
          <cell r="C741"/>
          <cell r="D741"/>
          <cell r="E741"/>
          <cell r="F741"/>
          <cell r="G741"/>
          <cell r="H741"/>
          <cell r="I741"/>
        </row>
        <row r="742">
          <cell r="B742" t="str">
            <v>3.6</v>
          </cell>
          <cell r="C742" t="str">
            <v>DESCRIPCION:</v>
          </cell>
          <cell r="D742" t="str">
            <v>Corte, figuración y colocación de acero 60000 psi</v>
          </cell>
          <cell r="E742"/>
          <cell r="F742"/>
          <cell r="G742"/>
          <cell r="H742"/>
          <cell r="I742"/>
        </row>
        <row r="743">
          <cell r="B743" t="str">
            <v>641.1-13</v>
          </cell>
          <cell r="C743"/>
          <cell r="D743" t="str">
            <v>UNIDAD</v>
          </cell>
          <cell r="E743" t="str">
            <v>KG</v>
          </cell>
          <cell r="F743" t="str">
            <v>CANTIDAD</v>
          </cell>
          <cell r="G743">
            <v>2160</v>
          </cell>
          <cell r="H743" t="str">
            <v>V. UNITARIO:</v>
          </cell>
          <cell r="I743">
            <v>2108</v>
          </cell>
        </row>
        <row r="744">
          <cell r="B744"/>
          <cell r="C744"/>
          <cell r="D744"/>
          <cell r="E744"/>
          <cell r="F744"/>
          <cell r="G744"/>
          <cell r="H744"/>
          <cell r="I744"/>
        </row>
        <row r="745">
          <cell r="B745"/>
          <cell r="C745"/>
          <cell r="D745"/>
          <cell r="E745"/>
          <cell r="F745" t="str">
            <v>Tarifa/Hora</v>
          </cell>
          <cell r="G745" t="str">
            <v>Rendimiento</v>
          </cell>
          <cell r="H745" t="str">
            <v>Valor-Unit.</v>
          </cell>
          <cell r="I745"/>
        </row>
        <row r="746">
          <cell r="B746"/>
          <cell r="C746"/>
          <cell r="D746"/>
          <cell r="E746"/>
          <cell r="F746"/>
          <cell r="G746"/>
          <cell r="H746">
            <v>0</v>
          </cell>
          <cell r="I746"/>
        </row>
        <row r="747">
          <cell r="C747"/>
          <cell r="D747"/>
          <cell r="E747"/>
          <cell r="F747" t="str">
            <v>Sub-Total</v>
          </cell>
          <cell r="G747" t="str">
            <v>3.6</v>
          </cell>
          <cell r="H747" t="str">
            <v>EQUI-3.6</v>
          </cell>
          <cell r="I747">
            <v>0</v>
          </cell>
        </row>
        <row r="748">
          <cell r="B748"/>
          <cell r="C748"/>
          <cell r="D748"/>
          <cell r="E748"/>
          <cell r="F748"/>
          <cell r="G748"/>
          <cell r="H748"/>
          <cell r="I748"/>
        </row>
        <row r="749">
          <cell r="B749"/>
          <cell r="C749"/>
          <cell r="D749"/>
          <cell r="E749" t="str">
            <v>UNIDAD</v>
          </cell>
          <cell r="F749" t="str">
            <v>V.UNIT</v>
          </cell>
          <cell r="G749" t="str">
            <v>CANT</v>
          </cell>
          <cell r="H749" t="str">
            <v>V.TOTAL</v>
          </cell>
          <cell r="I749"/>
        </row>
        <row r="750">
          <cell r="B750" t="str">
            <v>M002</v>
          </cell>
          <cell r="C750" t="str">
            <v>Acero  60000 psi</v>
          </cell>
          <cell r="D750"/>
          <cell r="E750" t="str">
            <v>KG</v>
          </cell>
          <cell r="F750">
            <v>6913</v>
          </cell>
          <cell r="G750">
            <v>1</v>
          </cell>
          <cell r="H750"/>
          <cell r="I750"/>
        </row>
        <row r="751">
          <cell r="B751" t="str">
            <v>M001</v>
          </cell>
          <cell r="C751" t="str">
            <v>Alambre quemado</v>
          </cell>
          <cell r="D751"/>
          <cell r="E751" t="str">
            <v>KG</v>
          </cell>
          <cell r="F751">
            <v>8321</v>
          </cell>
          <cell r="G751">
            <v>0.04</v>
          </cell>
          <cell r="H751">
            <v>332.84000000000003</v>
          </cell>
          <cell r="I751"/>
        </row>
        <row r="752">
          <cell r="C752"/>
          <cell r="D752"/>
          <cell r="E752"/>
          <cell r="F752" t="str">
            <v>Sub-Total</v>
          </cell>
          <cell r="G752" t="str">
            <v>3.6</v>
          </cell>
          <cell r="H752" t="str">
            <v>MAT-3.6</v>
          </cell>
          <cell r="I752">
            <v>332.84000000000003</v>
          </cell>
        </row>
        <row r="753">
          <cell r="B753"/>
          <cell r="C753"/>
          <cell r="D753"/>
          <cell r="E753"/>
          <cell r="F753"/>
          <cell r="G753"/>
          <cell r="H753"/>
          <cell r="I753"/>
        </row>
        <row r="754">
          <cell r="B754"/>
          <cell r="C754"/>
          <cell r="D754" t="str">
            <v xml:space="preserve">CAN </v>
          </cell>
          <cell r="E754" t="str">
            <v>DISTANCIA</v>
          </cell>
          <cell r="F754" t="str">
            <v>M3-Km / UN-KM</v>
          </cell>
          <cell r="G754" t="str">
            <v>TARIFA</v>
          </cell>
          <cell r="H754" t="str">
            <v>Valor-Unit.</v>
          </cell>
          <cell r="I754"/>
        </row>
        <row r="755">
          <cell r="B755" t="str">
            <v>T003</v>
          </cell>
          <cell r="C755"/>
          <cell r="D755"/>
          <cell r="E755"/>
          <cell r="F755"/>
          <cell r="G755"/>
          <cell r="H755"/>
          <cell r="I755"/>
        </row>
        <row r="756">
          <cell r="B756" t="str">
            <v>T008</v>
          </cell>
          <cell r="C756"/>
          <cell r="D756"/>
          <cell r="E756"/>
          <cell r="F756"/>
          <cell r="G756"/>
          <cell r="H756"/>
          <cell r="I756"/>
        </row>
        <row r="757">
          <cell r="B757" t="str">
            <v>T001</v>
          </cell>
          <cell r="C757"/>
          <cell r="D757"/>
          <cell r="E757"/>
          <cell r="F757"/>
          <cell r="G757"/>
          <cell r="H757"/>
          <cell r="I757"/>
        </row>
        <row r="758">
          <cell r="C758"/>
          <cell r="D758"/>
          <cell r="E758"/>
          <cell r="F758" t="str">
            <v>Sub-Total</v>
          </cell>
          <cell r="G758" t="str">
            <v>3.6</v>
          </cell>
          <cell r="H758" t="str">
            <v>TRAN-3.6</v>
          </cell>
          <cell r="I758">
            <v>0</v>
          </cell>
        </row>
        <row r="759">
          <cell r="B759"/>
          <cell r="C759"/>
          <cell r="D759"/>
          <cell r="E759"/>
          <cell r="F759"/>
          <cell r="G759"/>
          <cell r="H759"/>
          <cell r="I759"/>
        </row>
        <row r="760">
          <cell r="B760"/>
          <cell r="C760"/>
          <cell r="D760" t="str">
            <v>JORNAL-HORA</v>
          </cell>
          <cell r="E760" t="str">
            <v>PRES</v>
          </cell>
          <cell r="F760" t="str">
            <v>JORNAL TOTAL</v>
          </cell>
          <cell r="G760" t="str">
            <v>RENDIEMIENTO</v>
          </cell>
          <cell r="H760" t="str">
            <v>VALOR-UNIT</v>
          </cell>
          <cell r="I760"/>
        </row>
        <row r="761">
          <cell r="B761" t="str">
            <v>MO004</v>
          </cell>
          <cell r="C761" t="str">
            <v xml:space="preserve">oficial </v>
          </cell>
          <cell r="D761">
            <v>12336.644836388892</v>
          </cell>
          <cell r="E761">
            <v>0</v>
          </cell>
          <cell r="F761">
            <v>12336.644836388892</v>
          </cell>
          <cell r="G761">
            <v>0.05</v>
          </cell>
          <cell r="H761">
            <v>616.83224181944468</v>
          </cell>
          <cell r="I761"/>
        </row>
        <row r="762">
          <cell r="B762" t="str">
            <v>MO005</v>
          </cell>
          <cell r="C762" t="str">
            <v xml:space="preserve">ayudante entendido </v>
          </cell>
          <cell r="D762">
            <v>11136.644836388892</v>
          </cell>
          <cell r="E762">
            <v>0</v>
          </cell>
          <cell r="F762">
            <v>11136.644836388892</v>
          </cell>
          <cell r="G762">
            <v>0.05</v>
          </cell>
          <cell r="H762">
            <v>556.83224181944468</v>
          </cell>
          <cell r="I762"/>
        </row>
        <row r="763">
          <cell r="B763" t="str">
            <v>MO006</v>
          </cell>
          <cell r="C763" t="str">
            <v xml:space="preserve">ayudante </v>
          </cell>
          <cell r="D763">
            <v>10336.644836388892</v>
          </cell>
          <cell r="E763">
            <v>0</v>
          </cell>
          <cell r="F763">
            <v>10336.644836388892</v>
          </cell>
          <cell r="G763">
            <v>0.05</v>
          </cell>
          <cell r="H763">
            <v>516.83224181944468</v>
          </cell>
          <cell r="I763"/>
        </row>
        <row r="764">
          <cell r="B764"/>
          <cell r="C764"/>
          <cell r="D764"/>
          <cell r="E764"/>
          <cell r="F764"/>
          <cell r="G764"/>
          <cell r="H764"/>
          <cell r="I764"/>
        </row>
        <row r="765">
          <cell r="C765"/>
          <cell r="D765"/>
          <cell r="E765"/>
          <cell r="F765" t="str">
            <v>Sub-Total</v>
          </cell>
          <cell r="G765" t="str">
            <v>3.6</v>
          </cell>
          <cell r="H765" t="str">
            <v>MDEO-3.6</v>
          </cell>
          <cell r="I765">
            <v>1690.4967254583339</v>
          </cell>
        </row>
        <row r="766">
          <cell r="C766"/>
          <cell r="D766"/>
          <cell r="E766"/>
          <cell r="F766"/>
          <cell r="G766"/>
          <cell r="H766"/>
          <cell r="I766">
            <v>84.524836272916701</v>
          </cell>
        </row>
        <row r="767">
          <cell r="C767"/>
          <cell r="D767"/>
          <cell r="E767"/>
          <cell r="F767" t="str">
            <v>Total Costo Directo</v>
          </cell>
          <cell r="G767"/>
          <cell r="H767"/>
          <cell r="I767">
            <v>2108</v>
          </cell>
        </row>
        <row r="768">
          <cell r="C768"/>
          <cell r="D768"/>
          <cell r="E768"/>
          <cell r="F768"/>
          <cell r="G768"/>
          <cell r="H768"/>
          <cell r="I768"/>
        </row>
        <row r="769">
          <cell r="C769"/>
          <cell r="D769"/>
          <cell r="E769"/>
          <cell r="F769"/>
          <cell r="G769"/>
          <cell r="H769"/>
          <cell r="I769"/>
        </row>
        <row r="770">
          <cell r="C770"/>
          <cell r="D770"/>
          <cell r="E770"/>
          <cell r="F770"/>
          <cell r="G770"/>
          <cell r="H770"/>
          <cell r="I770"/>
        </row>
        <row r="771">
          <cell r="C771"/>
          <cell r="D771"/>
          <cell r="E771"/>
          <cell r="F771"/>
          <cell r="G771"/>
          <cell r="H771"/>
          <cell r="I771"/>
        </row>
        <row r="772">
          <cell r="C772"/>
          <cell r="D772"/>
          <cell r="E772"/>
          <cell r="F772"/>
          <cell r="G772"/>
          <cell r="H772"/>
          <cell r="I772"/>
        </row>
        <row r="773">
          <cell r="C773"/>
          <cell r="D773"/>
          <cell r="E773"/>
          <cell r="F773"/>
          <cell r="G773"/>
          <cell r="H773"/>
          <cell r="I773"/>
        </row>
        <row r="774">
          <cell r="B774"/>
          <cell r="C774"/>
          <cell r="D774"/>
          <cell r="E774"/>
          <cell r="F774"/>
          <cell r="G774"/>
          <cell r="H774"/>
          <cell r="I774"/>
        </row>
        <row r="775">
          <cell r="B775"/>
          <cell r="C775"/>
          <cell r="D775"/>
          <cell r="E775"/>
          <cell r="F775" t="str">
            <v>REVISA</v>
          </cell>
          <cell r="G775"/>
          <cell r="H775"/>
          <cell r="I775"/>
        </row>
        <row r="776">
          <cell r="B776"/>
          <cell r="C776"/>
          <cell r="D776"/>
          <cell r="E776"/>
          <cell r="F776" t="str">
            <v>FIRMA:</v>
          </cell>
          <cell r="G776"/>
          <cell r="H776"/>
          <cell r="I776"/>
        </row>
        <row r="777">
          <cell r="B777" t="str">
            <v>RAI ANDRE ESCOBAR FERIA</v>
          </cell>
          <cell r="C777"/>
          <cell r="F777" t="str">
            <v>NOMBRE</v>
          </cell>
          <cell r="G777"/>
          <cell r="H777"/>
          <cell r="I777"/>
        </row>
        <row r="778">
          <cell r="B778" t="str">
            <v>M.P. 031037-0642230 BLV</v>
          </cell>
          <cell r="C778"/>
          <cell r="F778" t="str">
            <v>MAT:</v>
          </cell>
          <cell r="G778"/>
          <cell r="H778"/>
          <cell r="I778"/>
        </row>
        <row r="779">
          <cell r="B779"/>
          <cell r="C779"/>
          <cell r="F779"/>
          <cell r="G779"/>
          <cell r="H779"/>
          <cell r="I779"/>
        </row>
        <row r="780">
          <cell r="B780"/>
          <cell r="C780"/>
          <cell r="D780"/>
          <cell r="E780"/>
          <cell r="F780"/>
          <cell r="G780"/>
          <cell r="H780"/>
          <cell r="I780"/>
        </row>
        <row r="781">
          <cell r="B781"/>
          <cell r="C781"/>
          <cell r="D781"/>
          <cell r="E781"/>
          <cell r="F781"/>
          <cell r="G781"/>
          <cell r="H781"/>
          <cell r="I781"/>
        </row>
        <row r="782">
          <cell r="B782"/>
          <cell r="C782"/>
          <cell r="D782"/>
          <cell r="E782"/>
          <cell r="F782"/>
          <cell r="G782"/>
          <cell r="H782"/>
          <cell r="I782"/>
        </row>
        <row r="783">
          <cell r="B783"/>
          <cell r="C783"/>
          <cell r="D783"/>
          <cell r="E783"/>
          <cell r="F783"/>
          <cell r="G783"/>
          <cell r="H783"/>
          <cell r="I783"/>
        </row>
        <row r="784">
          <cell r="B784" t="str">
            <v>3.7</v>
          </cell>
          <cell r="C784" t="str">
            <v>DESCRIPCION:</v>
          </cell>
          <cell r="D784" t="str">
            <v>Inducción de junta transversal y longitudinal con acerrado mecánico</v>
          </cell>
          <cell r="E784"/>
          <cell r="F784"/>
          <cell r="G784"/>
          <cell r="H784"/>
          <cell r="I784"/>
        </row>
        <row r="785">
          <cell r="B785" t="str">
            <v>500-13</v>
          </cell>
          <cell r="C785"/>
          <cell r="D785" t="str">
            <v>UNIDAD</v>
          </cell>
          <cell r="E785" t="str">
            <v>ML</v>
          </cell>
          <cell r="F785" t="str">
            <v>CANTIDAD</v>
          </cell>
          <cell r="G785"/>
          <cell r="H785" t="str">
            <v>V. UNITARIO:</v>
          </cell>
          <cell r="I785">
            <v>20051</v>
          </cell>
        </row>
        <row r="786">
          <cell r="B786"/>
          <cell r="C786"/>
          <cell r="D786"/>
          <cell r="E786"/>
          <cell r="F786"/>
          <cell r="G786"/>
          <cell r="H786"/>
          <cell r="I786"/>
        </row>
        <row r="787">
          <cell r="B787"/>
          <cell r="C787"/>
          <cell r="D787"/>
          <cell r="E787"/>
          <cell r="F787" t="str">
            <v>Tarifa/Hora/DIA</v>
          </cell>
          <cell r="G787" t="str">
            <v>Rendimiento</v>
          </cell>
          <cell r="H787" t="str">
            <v>Valor-Unit.</v>
          </cell>
          <cell r="I787"/>
        </row>
        <row r="788">
          <cell r="B788" t="str">
            <v>E004</v>
          </cell>
          <cell r="C788" t="str">
            <v>Cortadora de pavimento</v>
          </cell>
          <cell r="D788"/>
          <cell r="E788"/>
          <cell r="F788">
            <v>7500</v>
          </cell>
          <cell r="G788">
            <v>0.2</v>
          </cell>
          <cell r="H788">
            <v>1500</v>
          </cell>
          <cell r="I788"/>
        </row>
        <row r="789">
          <cell r="C789"/>
          <cell r="D789"/>
          <cell r="E789"/>
          <cell r="F789" t="str">
            <v>Sub-Total</v>
          </cell>
          <cell r="G789" t="str">
            <v>3.7</v>
          </cell>
          <cell r="H789" t="str">
            <v>EQUI-3.7</v>
          </cell>
          <cell r="I789">
            <v>1500</v>
          </cell>
        </row>
        <row r="790">
          <cell r="B790"/>
          <cell r="C790"/>
          <cell r="D790"/>
          <cell r="E790"/>
          <cell r="F790"/>
          <cell r="G790"/>
          <cell r="H790"/>
          <cell r="I790"/>
        </row>
        <row r="791">
          <cell r="B791"/>
          <cell r="C791"/>
          <cell r="D791"/>
          <cell r="E791" t="str">
            <v>UNIDAD</v>
          </cell>
          <cell r="F791" t="str">
            <v>V.UNIT</v>
          </cell>
          <cell r="G791" t="str">
            <v>CANT</v>
          </cell>
          <cell r="H791" t="str">
            <v>V.TOTAL</v>
          </cell>
          <cell r="I791"/>
        </row>
        <row r="792">
          <cell r="B792" t="str">
            <v>M039</v>
          </cell>
          <cell r="C792" t="str">
            <v>Disco de corte diamantado Duro</v>
          </cell>
          <cell r="D792"/>
          <cell r="E792" t="str">
            <v>UN</v>
          </cell>
          <cell r="F792">
            <v>380000</v>
          </cell>
          <cell r="G792">
            <v>2.1000000000000001E-2</v>
          </cell>
          <cell r="H792">
            <v>7980.0000000000009</v>
          </cell>
          <cell r="I792"/>
        </row>
        <row r="793">
          <cell r="B793" t="str">
            <v>M040</v>
          </cell>
          <cell r="C793" t="str">
            <v>Disco de corte diamantado Blando</v>
          </cell>
          <cell r="D793"/>
          <cell r="E793" t="str">
            <v>UN</v>
          </cell>
          <cell r="F793">
            <v>380000</v>
          </cell>
          <cell r="G793">
            <v>2.1000000000000001E-2</v>
          </cell>
          <cell r="H793">
            <v>7980.0000000000009</v>
          </cell>
          <cell r="I793"/>
        </row>
        <row r="794">
          <cell r="B794"/>
          <cell r="C794"/>
          <cell r="D794"/>
          <cell r="E794"/>
          <cell r="F794"/>
          <cell r="G794"/>
          <cell r="H794"/>
          <cell r="I794"/>
        </row>
        <row r="795">
          <cell r="C795"/>
          <cell r="D795"/>
          <cell r="E795"/>
          <cell r="F795" t="str">
            <v>Sub-Total</v>
          </cell>
          <cell r="G795" t="str">
            <v>3.7</v>
          </cell>
          <cell r="H795" t="str">
            <v>MAT-3.7</v>
          </cell>
          <cell r="I795">
            <v>15960.000000000002</v>
          </cell>
        </row>
        <row r="796">
          <cell r="B796"/>
          <cell r="C796"/>
          <cell r="D796"/>
          <cell r="E796"/>
          <cell r="F796"/>
          <cell r="G796"/>
          <cell r="H796"/>
          <cell r="I796"/>
        </row>
        <row r="797">
          <cell r="B797"/>
          <cell r="C797"/>
          <cell r="D797" t="str">
            <v xml:space="preserve">CAN </v>
          </cell>
          <cell r="E797" t="str">
            <v>DISTANCIA</v>
          </cell>
          <cell r="F797" t="str">
            <v>M3-Km / UN-KM</v>
          </cell>
          <cell r="G797" t="str">
            <v>TARIFA</v>
          </cell>
          <cell r="H797" t="str">
            <v>Valor-Unit.</v>
          </cell>
          <cell r="I797"/>
        </row>
        <row r="798">
          <cell r="B798"/>
          <cell r="C798"/>
          <cell r="D798"/>
          <cell r="E798"/>
          <cell r="F798"/>
          <cell r="G798"/>
          <cell r="H798"/>
          <cell r="I798"/>
        </row>
        <row r="799">
          <cell r="C799"/>
          <cell r="D799"/>
          <cell r="E799"/>
          <cell r="F799" t="str">
            <v>Sub-Total</v>
          </cell>
          <cell r="G799" t="str">
            <v>3.7</v>
          </cell>
          <cell r="H799" t="str">
            <v>TRAN-3.7</v>
          </cell>
          <cell r="I799">
            <v>0</v>
          </cell>
        </row>
        <row r="800">
          <cell r="B800"/>
          <cell r="C800"/>
          <cell r="D800"/>
          <cell r="E800"/>
          <cell r="F800"/>
          <cell r="G800"/>
          <cell r="H800"/>
          <cell r="I800"/>
        </row>
        <row r="801">
          <cell r="B801"/>
          <cell r="C801"/>
          <cell r="D801" t="str">
            <v>JORNAL-HORA</v>
          </cell>
          <cell r="E801" t="str">
            <v>PRES</v>
          </cell>
          <cell r="F801" t="str">
            <v>JORNAL TOTAL</v>
          </cell>
          <cell r="G801" t="str">
            <v>RENDIEMIENTO</v>
          </cell>
          <cell r="H801" t="str">
            <v>VALOR-UNIT</v>
          </cell>
          <cell r="I801"/>
        </row>
        <row r="802">
          <cell r="B802" t="str">
            <v>MO004</v>
          </cell>
          <cell r="C802" t="str">
            <v xml:space="preserve">oficial </v>
          </cell>
          <cell r="D802">
            <v>12336.644836388892</v>
          </cell>
          <cell r="E802">
            <v>0</v>
          </cell>
          <cell r="F802">
            <v>12336.644836388892</v>
          </cell>
          <cell r="G802">
            <v>0.2</v>
          </cell>
          <cell r="H802">
            <v>2467.3289672777787</v>
          </cell>
          <cell r="I802"/>
        </row>
        <row r="803">
          <cell r="C803"/>
          <cell r="D803"/>
          <cell r="E803"/>
          <cell r="F803" t="str">
            <v>Sub-Total</v>
          </cell>
          <cell r="G803" t="str">
            <v>3.7</v>
          </cell>
          <cell r="H803" t="str">
            <v>MDEO-3.7</v>
          </cell>
          <cell r="I803">
            <v>2467.3289672777787</v>
          </cell>
        </row>
        <row r="804">
          <cell r="C804"/>
          <cell r="D804"/>
          <cell r="E804"/>
          <cell r="F804"/>
          <cell r="G804"/>
          <cell r="H804"/>
          <cell r="I804">
            <v>123.36644836388894</v>
          </cell>
        </row>
        <row r="805">
          <cell r="C805"/>
          <cell r="D805"/>
          <cell r="E805"/>
          <cell r="F805" t="str">
            <v>Total Costo Directo</v>
          </cell>
          <cell r="G805"/>
          <cell r="H805"/>
          <cell r="I805">
            <v>20051</v>
          </cell>
        </row>
        <row r="806">
          <cell r="B806"/>
          <cell r="C806"/>
          <cell r="D806"/>
          <cell r="E806"/>
          <cell r="F806"/>
          <cell r="G806"/>
          <cell r="H806"/>
          <cell r="I806"/>
        </row>
        <row r="807">
          <cell r="B807"/>
          <cell r="C807"/>
          <cell r="D807"/>
          <cell r="E807"/>
          <cell r="F807" t="str">
            <v>REVISA</v>
          </cell>
          <cell r="G807"/>
          <cell r="H807"/>
          <cell r="I807"/>
        </row>
        <row r="808">
          <cell r="B808"/>
          <cell r="C808"/>
          <cell r="D808"/>
          <cell r="E808"/>
          <cell r="F808" t="str">
            <v>FIRMA:</v>
          </cell>
          <cell r="G808"/>
          <cell r="H808"/>
          <cell r="I808"/>
        </row>
        <row r="809">
          <cell r="B809" t="str">
            <v>RAI ANDRE ESCOBAR FERIA</v>
          </cell>
          <cell r="C809"/>
          <cell r="F809" t="str">
            <v>NOMBRE</v>
          </cell>
          <cell r="G809"/>
          <cell r="H809"/>
          <cell r="I809"/>
        </row>
        <row r="810">
          <cell r="B810" t="str">
            <v>M.P. 031037-0642230 BLV</v>
          </cell>
          <cell r="C810"/>
          <cell r="F810" t="str">
            <v>MAT:</v>
          </cell>
          <cell r="G810"/>
          <cell r="H810"/>
          <cell r="I810"/>
        </row>
        <row r="811">
          <cell r="B811"/>
          <cell r="C811"/>
          <cell r="F811"/>
          <cell r="G811"/>
          <cell r="H811"/>
          <cell r="I811"/>
        </row>
        <row r="812">
          <cell r="B812"/>
          <cell r="C812"/>
          <cell r="D812"/>
          <cell r="E812"/>
          <cell r="F812"/>
          <cell r="G812"/>
          <cell r="H812"/>
          <cell r="I812"/>
        </row>
        <row r="813">
          <cell r="B813"/>
          <cell r="C813"/>
          <cell r="D813"/>
          <cell r="E813"/>
          <cell r="F813"/>
          <cell r="G813"/>
          <cell r="H813"/>
          <cell r="I813"/>
        </row>
        <row r="814">
          <cell r="B814"/>
          <cell r="C814"/>
          <cell r="D814"/>
          <cell r="E814"/>
          <cell r="F814"/>
          <cell r="G814"/>
          <cell r="H814"/>
          <cell r="I814"/>
        </row>
        <row r="815">
          <cell r="B815"/>
          <cell r="C815"/>
          <cell r="D815"/>
          <cell r="E815"/>
          <cell r="F815"/>
          <cell r="G815"/>
          <cell r="H815"/>
          <cell r="I815"/>
        </row>
        <row r="816">
          <cell r="B816" t="str">
            <v>3.8</v>
          </cell>
          <cell r="C816" t="str">
            <v>DESCRIPCION:</v>
          </cell>
          <cell r="D816" t="str">
            <v>Instalación de sello en junta transversal y longitudinal</v>
          </cell>
          <cell r="E816"/>
          <cell r="F816"/>
          <cell r="G816"/>
          <cell r="H816"/>
          <cell r="I816"/>
        </row>
        <row r="817">
          <cell r="B817" t="str">
            <v>500-13</v>
          </cell>
          <cell r="C817"/>
          <cell r="D817" t="str">
            <v>UNIDAD</v>
          </cell>
          <cell r="E817" t="str">
            <v>ML</v>
          </cell>
          <cell r="F817" t="str">
            <v>CANTIDAD</v>
          </cell>
          <cell r="G817"/>
          <cell r="H817" t="str">
            <v>V. UNITARIO:</v>
          </cell>
          <cell r="I817">
            <v>14687</v>
          </cell>
        </row>
        <row r="818">
          <cell r="B818"/>
          <cell r="C818"/>
          <cell r="D818"/>
          <cell r="E818"/>
          <cell r="F818"/>
          <cell r="G818"/>
          <cell r="H818"/>
          <cell r="I818"/>
        </row>
        <row r="819">
          <cell r="B819"/>
          <cell r="C819"/>
          <cell r="D819"/>
          <cell r="E819"/>
          <cell r="F819" t="str">
            <v>Tarifa/Hora/DIA</v>
          </cell>
          <cell r="G819" t="str">
            <v>Rendimiento</v>
          </cell>
          <cell r="H819" t="str">
            <v>Valor-Unit.</v>
          </cell>
          <cell r="I819"/>
        </row>
        <row r="820">
          <cell r="B820" t="str">
            <v>E008</v>
          </cell>
          <cell r="C820" t="str">
            <v>Compresor para demolición y  limpieza a presión de junta</v>
          </cell>
          <cell r="D820"/>
          <cell r="E820"/>
          <cell r="F820">
            <v>65000</v>
          </cell>
          <cell r="G820">
            <v>0.02</v>
          </cell>
          <cell r="H820">
            <v>1300</v>
          </cell>
          <cell r="I820"/>
        </row>
        <row r="821">
          <cell r="C821"/>
          <cell r="D821"/>
          <cell r="E821"/>
          <cell r="F821" t="str">
            <v>Sub-Total</v>
          </cell>
          <cell r="G821" t="str">
            <v>3.8</v>
          </cell>
          <cell r="H821" t="str">
            <v>EQUI-3.8</v>
          </cell>
          <cell r="I821">
            <v>1300</v>
          </cell>
        </row>
        <row r="822">
          <cell r="B822"/>
          <cell r="C822"/>
          <cell r="D822"/>
          <cell r="E822"/>
          <cell r="F822"/>
          <cell r="G822"/>
          <cell r="H822"/>
          <cell r="I822"/>
        </row>
        <row r="823">
          <cell r="B823"/>
          <cell r="C823"/>
          <cell r="D823"/>
          <cell r="E823" t="str">
            <v>UNIDAD</v>
          </cell>
          <cell r="F823" t="str">
            <v>V.UNIT</v>
          </cell>
          <cell r="G823" t="str">
            <v>CANT</v>
          </cell>
          <cell r="H823" t="str">
            <v>V.TOTAL</v>
          </cell>
          <cell r="I823"/>
        </row>
        <row r="824">
          <cell r="B824" t="str">
            <v>M030</v>
          </cell>
          <cell r="C824" t="str">
            <v>Sika Flex</v>
          </cell>
          <cell r="D824"/>
          <cell r="E824" t="str">
            <v>CC</v>
          </cell>
          <cell r="F824">
            <v>31400</v>
          </cell>
          <cell r="G824">
            <v>0.12</v>
          </cell>
          <cell r="H824">
            <v>3768</v>
          </cell>
          <cell r="I824"/>
        </row>
        <row r="825">
          <cell r="B825" t="str">
            <v>M031</v>
          </cell>
          <cell r="C825" t="str">
            <v>sikarod</v>
          </cell>
          <cell r="D825"/>
          <cell r="E825" t="str">
            <v>ML</v>
          </cell>
          <cell r="F825">
            <v>600</v>
          </cell>
          <cell r="G825">
            <v>1</v>
          </cell>
          <cell r="H825">
            <v>600</v>
          </cell>
          <cell r="I825"/>
        </row>
        <row r="826">
          <cell r="C826"/>
          <cell r="D826"/>
          <cell r="E826"/>
          <cell r="F826" t="str">
            <v>Sub-Total</v>
          </cell>
          <cell r="G826" t="str">
            <v>3.8</v>
          </cell>
          <cell r="H826" t="str">
            <v>MAT-3.8</v>
          </cell>
          <cell r="I826">
            <v>4368</v>
          </cell>
        </row>
        <row r="827">
          <cell r="B827"/>
          <cell r="C827"/>
          <cell r="D827"/>
          <cell r="E827"/>
          <cell r="F827"/>
          <cell r="G827"/>
          <cell r="H827"/>
          <cell r="I827"/>
        </row>
        <row r="828">
          <cell r="B828"/>
          <cell r="C828"/>
          <cell r="D828" t="str">
            <v xml:space="preserve">CAN </v>
          </cell>
          <cell r="E828" t="str">
            <v>DISTANCIA</v>
          </cell>
          <cell r="F828" t="str">
            <v>M3-Km / UN-KM</v>
          </cell>
          <cell r="G828" t="str">
            <v>TARIFA</v>
          </cell>
          <cell r="H828" t="str">
            <v>Valor-Unit.</v>
          </cell>
          <cell r="I828"/>
        </row>
        <row r="829">
          <cell r="B829"/>
          <cell r="C829"/>
          <cell r="D829"/>
          <cell r="E829"/>
          <cell r="F829"/>
          <cell r="G829"/>
          <cell r="H829"/>
          <cell r="I829"/>
        </row>
        <row r="830">
          <cell r="C830"/>
          <cell r="D830"/>
          <cell r="E830"/>
          <cell r="F830" t="str">
            <v>Sub-Total</v>
          </cell>
          <cell r="G830" t="str">
            <v>3.8</v>
          </cell>
          <cell r="H830" t="str">
            <v>TRAN-3.8</v>
          </cell>
          <cell r="I830">
            <v>0</v>
          </cell>
        </row>
        <row r="831">
          <cell r="B831"/>
          <cell r="C831"/>
          <cell r="D831"/>
          <cell r="E831"/>
          <cell r="F831"/>
          <cell r="G831"/>
          <cell r="H831"/>
          <cell r="I831"/>
        </row>
        <row r="832">
          <cell r="B832"/>
          <cell r="C832"/>
          <cell r="D832" t="str">
            <v>JORNAL-HORA</v>
          </cell>
          <cell r="E832" t="str">
            <v>PRES</v>
          </cell>
          <cell r="F832" t="str">
            <v>JORNAL TOTAL</v>
          </cell>
          <cell r="G832" t="str">
            <v>RENDIEMIENTO</v>
          </cell>
          <cell r="H832" t="str">
            <v>VALOR-UNIT</v>
          </cell>
          <cell r="I832"/>
        </row>
        <row r="833">
          <cell r="B833" t="str">
            <v>MO005</v>
          </cell>
          <cell r="C833" t="str">
            <v xml:space="preserve">ayudante entendido </v>
          </cell>
          <cell r="D833">
            <v>11136.644836388892</v>
          </cell>
          <cell r="E833">
            <v>0</v>
          </cell>
          <cell r="F833">
            <v>11136.644836388892</v>
          </cell>
          <cell r="G833">
            <v>0.4</v>
          </cell>
          <cell r="H833">
            <v>4454.6579345555574</v>
          </cell>
          <cell r="I833"/>
        </row>
        <row r="834">
          <cell r="B834" t="str">
            <v>MO006</v>
          </cell>
          <cell r="C834" t="str">
            <v xml:space="preserve">ayudante </v>
          </cell>
          <cell r="D834">
            <v>10336.644836388892</v>
          </cell>
          <cell r="E834">
            <v>0</v>
          </cell>
          <cell r="F834">
            <v>10336.644836388892</v>
          </cell>
          <cell r="G834">
            <v>0.4</v>
          </cell>
          <cell r="H834">
            <v>4134.6579345555574</v>
          </cell>
          <cell r="I834"/>
        </row>
        <row r="835">
          <cell r="C835"/>
          <cell r="D835"/>
          <cell r="E835"/>
          <cell r="F835" t="str">
            <v>Sub-Total</v>
          </cell>
          <cell r="G835" t="str">
            <v>3.8</v>
          </cell>
          <cell r="H835" t="str">
            <v>MDEO-3.8</v>
          </cell>
          <cell r="I835">
            <v>8589.3158691111148</v>
          </cell>
        </row>
        <row r="836">
          <cell r="C836"/>
          <cell r="D836"/>
          <cell r="E836"/>
          <cell r="F836"/>
          <cell r="G836"/>
          <cell r="H836"/>
          <cell r="I836">
            <v>429.46579345555574</v>
          </cell>
        </row>
        <row r="837">
          <cell r="C837"/>
          <cell r="D837"/>
          <cell r="E837"/>
          <cell r="F837" t="str">
            <v>Total Costo Directo</v>
          </cell>
          <cell r="G837"/>
          <cell r="H837"/>
          <cell r="I837">
            <v>14687</v>
          </cell>
        </row>
        <row r="838">
          <cell r="B838"/>
          <cell r="C838"/>
          <cell r="D838"/>
          <cell r="E838"/>
          <cell r="F838"/>
          <cell r="G838"/>
          <cell r="H838"/>
          <cell r="I838"/>
        </row>
        <row r="839">
          <cell r="B839"/>
          <cell r="C839"/>
          <cell r="D839"/>
          <cell r="E839"/>
          <cell r="F839" t="str">
            <v>REVISA</v>
          </cell>
          <cell r="G839"/>
          <cell r="H839"/>
          <cell r="I839"/>
        </row>
        <row r="840">
          <cell r="B840"/>
          <cell r="C840"/>
          <cell r="D840"/>
          <cell r="E840"/>
          <cell r="F840" t="str">
            <v>FIRMA:</v>
          </cell>
          <cell r="G840"/>
          <cell r="H840"/>
          <cell r="I840"/>
        </row>
        <row r="841">
          <cell r="B841" t="str">
            <v>RAI ANDRE ESCOBAR FERIA</v>
          </cell>
          <cell r="C841"/>
          <cell r="F841" t="str">
            <v>NOMBRE</v>
          </cell>
          <cell r="G841"/>
          <cell r="H841"/>
          <cell r="I841"/>
        </row>
        <row r="842">
          <cell r="B842" t="str">
            <v>M.P. 031037-0642230 BLV</v>
          </cell>
          <cell r="C842"/>
          <cell r="F842" t="str">
            <v>MAT:</v>
          </cell>
          <cell r="G842"/>
          <cell r="H842"/>
          <cell r="I842"/>
        </row>
        <row r="843">
          <cell r="B843"/>
          <cell r="C843"/>
          <cell r="F843"/>
          <cell r="G843"/>
          <cell r="H843"/>
          <cell r="I843"/>
        </row>
        <row r="844">
          <cell r="B844"/>
          <cell r="C844"/>
          <cell r="D844"/>
          <cell r="E844"/>
          <cell r="F844"/>
          <cell r="G844"/>
          <cell r="H844"/>
          <cell r="I844"/>
        </row>
        <row r="845">
          <cell r="B845"/>
          <cell r="C845"/>
          <cell r="D845"/>
          <cell r="E845"/>
          <cell r="F845"/>
          <cell r="G845"/>
          <cell r="H845"/>
          <cell r="I845"/>
        </row>
        <row r="846">
          <cell r="B846"/>
          <cell r="C846"/>
          <cell r="D846"/>
          <cell r="E846"/>
          <cell r="F846"/>
          <cell r="G846"/>
          <cell r="H846"/>
          <cell r="I846"/>
        </row>
        <row r="847">
          <cell r="B847" t="str">
            <v>3.9</v>
          </cell>
          <cell r="C847" t="str">
            <v>DESCRIPCION:</v>
          </cell>
          <cell r="D847" t="str">
            <v>Mano de obra para la fabricación de la canastilla incluye equipo de corte soldadura</v>
          </cell>
          <cell r="E847"/>
          <cell r="F847"/>
          <cell r="G847"/>
          <cell r="H847"/>
          <cell r="I847"/>
        </row>
        <row r="848">
          <cell r="B848" t="str">
            <v>500-13</v>
          </cell>
          <cell r="C848"/>
          <cell r="D848" t="str">
            <v>UNIDAD</v>
          </cell>
          <cell r="E848" t="str">
            <v>M3</v>
          </cell>
          <cell r="F848" t="str">
            <v>CANTIDAD</v>
          </cell>
          <cell r="G848">
            <v>9134</v>
          </cell>
          <cell r="H848" t="str">
            <v>V. UNITARIO:</v>
          </cell>
          <cell r="I848">
            <v>17000</v>
          </cell>
        </row>
        <row r="849">
          <cell r="B849"/>
          <cell r="C849"/>
          <cell r="D849"/>
          <cell r="E849"/>
          <cell r="F849"/>
          <cell r="G849"/>
          <cell r="H849"/>
          <cell r="I849"/>
        </row>
        <row r="850">
          <cell r="B850"/>
          <cell r="C850"/>
          <cell r="D850"/>
          <cell r="E850"/>
          <cell r="F850" t="str">
            <v>Tarifa/Hora/DIA</v>
          </cell>
          <cell r="G850" t="str">
            <v>Rendimiento</v>
          </cell>
          <cell r="H850" t="str">
            <v>Valor-Unit.</v>
          </cell>
          <cell r="I850"/>
        </row>
        <row r="851">
          <cell r="B851" t="str">
            <v>E021</v>
          </cell>
          <cell r="C851"/>
          <cell r="D851"/>
          <cell r="E851"/>
          <cell r="F851"/>
          <cell r="G851"/>
          <cell r="H851"/>
          <cell r="I851"/>
        </row>
        <row r="852">
          <cell r="C852"/>
          <cell r="D852"/>
          <cell r="E852"/>
          <cell r="F852" t="str">
            <v>Sub-Total</v>
          </cell>
          <cell r="G852" t="str">
            <v>3.9</v>
          </cell>
          <cell r="H852" t="str">
            <v>EQUI-3.9</v>
          </cell>
          <cell r="I852">
            <v>0</v>
          </cell>
        </row>
        <row r="853">
          <cell r="B853"/>
          <cell r="C853"/>
          <cell r="D853"/>
          <cell r="E853"/>
          <cell r="F853"/>
          <cell r="G853"/>
          <cell r="H853"/>
          <cell r="I853"/>
        </row>
        <row r="854">
          <cell r="B854"/>
          <cell r="C854"/>
          <cell r="D854"/>
          <cell r="E854" t="str">
            <v>UNIDAD</v>
          </cell>
          <cell r="F854" t="str">
            <v>V.UNIT</v>
          </cell>
          <cell r="G854" t="str">
            <v>CANT</v>
          </cell>
          <cell r="H854" t="str">
            <v>V.TOTAL</v>
          </cell>
          <cell r="I854"/>
        </row>
        <row r="855">
          <cell r="B855" t="str">
            <v>M022</v>
          </cell>
          <cell r="C855" t="str">
            <v>fabricacion de pasa juntas  1ø3/4 @0,3l=,35 fabricación</v>
          </cell>
          <cell r="D855"/>
          <cell r="E855" t="str">
            <v>UN</v>
          </cell>
          <cell r="F855">
            <v>17000</v>
          </cell>
          <cell r="G855">
            <v>1</v>
          </cell>
          <cell r="H855">
            <v>17000</v>
          </cell>
          <cell r="I855"/>
        </row>
        <row r="856">
          <cell r="C856"/>
          <cell r="D856"/>
          <cell r="E856"/>
          <cell r="F856" t="str">
            <v>Sub-Total</v>
          </cell>
          <cell r="G856" t="str">
            <v>3.9</v>
          </cell>
          <cell r="H856" t="str">
            <v>MAT-3.9</v>
          </cell>
          <cell r="I856">
            <v>17000</v>
          </cell>
        </row>
        <row r="857">
          <cell r="B857"/>
          <cell r="C857"/>
          <cell r="D857"/>
          <cell r="E857"/>
          <cell r="F857"/>
          <cell r="G857"/>
          <cell r="H857"/>
          <cell r="I857"/>
        </row>
        <row r="858">
          <cell r="B858"/>
          <cell r="C858"/>
          <cell r="D858" t="str">
            <v xml:space="preserve">CAN </v>
          </cell>
          <cell r="E858" t="str">
            <v>DISTANCIA</v>
          </cell>
          <cell r="F858" t="str">
            <v>M3-Km / UN-KM</v>
          </cell>
          <cell r="G858" t="str">
            <v>TARIFA</v>
          </cell>
          <cell r="H858" t="str">
            <v>Valor-Unit.</v>
          </cell>
          <cell r="I858"/>
        </row>
        <row r="859">
          <cell r="B859" t="str">
            <v>T008</v>
          </cell>
          <cell r="C859"/>
          <cell r="D859">
            <v>0</v>
          </cell>
          <cell r="E859">
            <v>55</v>
          </cell>
          <cell r="F859">
            <v>0</v>
          </cell>
          <cell r="G859">
            <v>980</v>
          </cell>
          <cell r="H859">
            <v>0</v>
          </cell>
          <cell r="I859"/>
        </row>
        <row r="860">
          <cell r="C860"/>
          <cell r="D860"/>
          <cell r="E860"/>
          <cell r="F860" t="str">
            <v>Sub-Total</v>
          </cell>
          <cell r="G860" t="str">
            <v>3.9</v>
          </cell>
          <cell r="H860" t="str">
            <v>TRAN-3.9</v>
          </cell>
          <cell r="I860">
            <v>0</v>
          </cell>
        </row>
        <row r="861">
          <cell r="B861"/>
          <cell r="C861"/>
          <cell r="D861"/>
          <cell r="E861"/>
          <cell r="F861"/>
          <cell r="G861"/>
          <cell r="H861"/>
          <cell r="I861"/>
        </row>
        <row r="862">
          <cell r="B862"/>
          <cell r="C862"/>
          <cell r="D862" t="str">
            <v>JORNAL-HORA</v>
          </cell>
          <cell r="E862" t="str">
            <v>PRES</v>
          </cell>
          <cell r="F862" t="str">
            <v>JORNAL TOTAL</v>
          </cell>
          <cell r="G862" t="str">
            <v>RENDIEMIENTO</v>
          </cell>
          <cell r="H862" t="str">
            <v>VALOR-UNIT</v>
          </cell>
          <cell r="I862"/>
        </row>
        <row r="863">
          <cell r="B863"/>
          <cell r="C863"/>
          <cell r="D863"/>
          <cell r="E863"/>
          <cell r="F863"/>
          <cell r="G863"/>
          <cell r="H863"/>
          <cell r="I863"/>
        </row>
        <row r="864">
          <cell r="B864"/>
          <cell r="C864"/>
          <cell r="D864"/>
          <cell r="E864"/>
          <cell r="F864"/>
          <cell r="G864"/>
          <cell r="H864"/>
          <cell r="I864"/>
        </row>
        <row r="865">
          <cell r="C865"/>
          <cell r="D865"/>
          <cell r="E865"/>
          <cell r="F865" t="str">
            <v>Sub-Total</v>
          </cell>
          <cell r="G865" t="str">
            <v>3.9</v>
          </cell>
          <cell r="H865" t="str">
            <v>MDEO-3.9</v>
          </cell>
          <cell r="I865">
            <v>0</v>
          </cell>
        </row>
        <row r="866">
          <cell r="C866"/>
          <cell r="D866"/>
          <cell r="E866"/>
          <cell r="F866"/>
          <cell r="G866"/>
          <cell r="H866"/>
          <cell r="I866">
            <v>0</v>
          </cell>
        </row>
        <row r="867">
          <cell r="C867"/>
          <cell r="D867"/>
          <cell r="E867"/>
          <cell r="F867" t="str">
            <v>Total Costo Directo</v>
          </cell>
          <cell r="G867"/>
          <cell r="H867"/>
          <cell r="I867">
            <v>17000</v>
          </cell>
        </row>
        <row r="868">
          <cell r="B868"/>
          <cell r="C868"/>
          <cell r="D868"/>
          <cell r="E868"/>
          <cell r="F868"/>
          <cell r="G868"/>
          <cell r="H868"/>
          <cell r="I868"/>
        </row>
        <row r="869">
          <cell r="B869"/>
          <cell r="C869"/>
          <cell r="D869"/>
          <cell r="E869"/>
          <cell r="F869" t="str">
            <v>REVISA</v>
          </cell>
          <cell r="G869"/>
          <cell r="H869"/>
          <cell r="I869"/>
        </row>
        <row r="870">
          <cell r="B870"/>
          <cell r="C870"/>
          <cell r="D870"/>
          <cell r="E870"/>
          <cell r="F870" t="str">
            <v>FIRMA:</v>
          </cell>
          <cell r="G870"/>
          <cell r="H870"/>
          <cell r="I870"/>
        </row>
        <row r="871">
          <cell r="B871" t="str">
            <v>RAI ANDRE ESCOBAR FERIA</v>
          </cell>
          <cell r="C871"/>
          <cell r="F871" t="str">
            <v>NOMBRE</v>
          </cell>
          <cell r="G871"/>
          <cell r="H871"/>
          <cell r="I871"/>
        </row>
        <row r="872">
          <cell r="B872" t="str">
            <v>M.P. 031037-0642230 BLV</v>
          </cell>
          <cell r="C872"/>
          <cell r="F872" t="str">
            <v>MAT:</v>
          </cell>
          <cell r="G872"/>
          <cell r="H872"/>
          <cell r="I872"/>
        </row>
        <row r="873">
          <cell r="B873"/>
          <cell r="C873"/>
          <cell r="F873"/>
          <cell r="G873"/>
          <cell r="H873"/>
          <cell r="I873"/>
        </row>
        <row r="874">
          <cell r="B874"/>
          <cell r="C874"/>
          <cell r="D874"/>
          <cell r="E874"/>
          <cell r="F874"/>
          <cell r="G874"/>
          <cell r="H874"/>
          <cell r="I874"/>
        </row>
        <row r="875">
          <cell r="B875"/>
          <cell r="C875"/>
          <cell r="D875"/>
          <cell r="E875"/>
          <cell r="F875"/>
          <cell r="G875"/>
          <cell r="H875"/>
          <cell r="I875"/>
        </row>
        <row r="876">
          <cell r="B876"/>
          <cell r="C876"/>
          <cell r="D876"/>
          <cell r="E876"/>
          <cell r="F876"/>
          <cell r="G876"/>
          <cell r="H876"/>
          <cell r="I876"/>
        </row>
        <row r="877">
          <cell r="I877"/>
        </row>
        <row r="878">
          <cell r="B878"/>
          <cell r="C878"/>
          <cell r="D878"/>
          <cell r="E878"/>
          <cell r="F878"/>
          <cell r="G878"/>
          <cell r="H878"/>
          <cell r="I878"/>
        </row>
        <row r="879">
          <cell r="B879" t="str">
            <v>4.1</v>
          </cell>
          <cell r="C879" t="str">
            <v>DESCRIPCION:</v>
          </cell>
          <cell r="D879" t="str">
            <v>Fabricación e instalación de bordillos en concreto 3000 lb 0,35*,15*1</v>
          </cell>
          <cell r="E879"/>
          <cell r="F879"/>
          <cell r="G879"/>
          <cell r="H879"/>
          <cell r="I879"/>
        </row>
        <row r="880">
          <cell r="B880" t="str">
            <v>672-13</v>
          </cell>
          <cell r="C880"/>
          <cell r="D880" t="str">
            <v>UNIDAD</v>
          </cell>
          <cell r="E880" t="str">
            <v>ML</v>
          </cell>
          <cell r="F880" t="str">
            <v>CANTIDAD</v>
          </cell>
          <cell r="G880">
            <v>15131</v>
          </cell>
          <cell r="H880" t="str">
            <v>V. UNITARIO:</v>
          </cell>
          <cell r="I880">
            <v>80232</v>
          </cell>
        </row>
        <row r="881">
          <cell r="B881"/>
          <cell r="C881"/>
          <cell r="D881"/>
          <cell r="E881"/>
          <cell r="F881"/>
          <cell r="G881"/>
          <cell r="H881"/>
          <cell r="I881"/>
        </row>
        <row r="882">
          <cell r="B882"/>
          <cell r="C882"/>
          <cell r="D882"/>
          <cell r="E882"/>
          <cell r="F882" t="str">
            <v>Tarifa/Hora</v>
          </cell>
          <cell r="G882" t="str">
            <v>Rendimiento</v>
          </cell>
          <cell r="H882" t="str">
            <v>Valor-Unit.</v>
          </cell>
          <cell r="I882"/>
        </row>
        <row r="883">
          <cell r="B883" t="str">
            <v>E012</v>
          </cell>
          <cell r="C883" t="str">
            <v>formaleta para bordillo/cuneta</v>
          </cell>
          <cell r="D883"/>
          <cell r="E883"/>
          <cell r="F883">
            <v>2150</v>
          </cell>
          <cell r="G883">
            <v>1</v>
          </cell>
          <cell r="H883">
            <v>2150</v>
          </cell>
          <cell r="I883"/>
        </row>
        <row r="884">
          <cell r="B884" t="str">
            <v>E027</v>
          </cell>
          <cell r="C884" t="str">
            <v>vibrador de aguja</v>
          </cell>
          <cell r="D884"/>
          <cell r="E884"/>
          <cell r="F884">
            <v>4375</v>
          </cell>
          <cell r="G884">
            <v>1</v>
          </cell>
          <cell r="H884">
            <v>4375</v>
          </cell>
          <cell r="I884"/>
        </row>
        <row r="885">
          <cell r="C885"/>
          <cell r="D885"/>
          <cell r="E885"/>
          <cell r="F885" t="str">
            <v>Sub-Total</v>
          </cell>
          <cell r="G885" t="str">
            <v>4.1</v>
          </cell>
          <cell r="H885" t="str">
            <v>EQUI-4.1</v>
          </cell>
          <cell r="I885">
            <v>6525</v>
          </cell>
        </row>
        <row r="886">
          <cell r="B886"/>
          <cell r="C886"/>
          <cell r="D886"/>
          <cell r="E886"/>
          <cell r="F886"/>
          <cell r="G886"/>
          <cell r="H886"/>
          <cell r="I886"/>
        </row>
        <row r="887">
          <cell r="B887"/>
          <cell r="C887"/>
          <cell r="D887"/>
          <cell r="E887" t="str">
            <v>UNIDAD</v>
          </cell>
          <cell r="F887" t="str">
            <v>V.UNIT</v>
          </cell>
          <cell r="G887" t="str">
            <v>CANT</v>
          </cell>
          <cell r="H887" t="str">
            <v>V.TOTAL</v>
          </cell>
          <cell r="I887"/>
        </row>
        <row r="888">
          <cell r="B888" t="str">
            <v>M006</v>
          </cell>
          <cell r="C888" t="str">
            <v>Concreto 2500 psi en obra</v>
          </cell>
          <cell r="D888"/>
          <cell r="E888" t="str">
            <v>M3</v>
          </cell>
          <cell r="F888">
            <v>439313</v>
          </cell>
          <cell r="G888">
            <v>5.5125E-2</v>
          </cell>
          <cell r="H888">
            <v>24217.129124999999</v>
          </cell>
          <cell r="I888"/>
        </row>
        <row r="889">
          <cell r="B889" t="str">
            <v>M013</v>
          </cell>
          <cell r="C889" t="str">
            <v>Mortero 1:6 para pega y rebitada</v>
          </cell>
          <cell r="D889"/>
          <cell r="E889" t="str">
            <v>M3</v>
          </cell>
          <cell r="F889">
            <v>403352</v>
          </cell>
          <cell r="G889">
            <v>4.0000000000000001E-3</v>
          </cell>
          <cell r="H889">
            <v>1613.4080000000001</v>
          </cell>
          <cell r="I889"/>
        </row>
        <row r="890">
          <cell r="C890"/>
          <cell r="D890"/>
          <cell r="E890"/>
          <cell r="F890" t="str">
            <v>Sub-Total</v>
          </cell>
          <cell r="G890" t="str">
            <v>4.1</v>
          </cell>
          <cell r="H890" t="str">
            <v>MAT-4.1</v>
          </cell>
          <cell r="I890">
            <v>25830.537124999999</v>
          </cell>
        </row>
        <row r="891">
          <cell r="B891"/>
          <cell r="C891"/>
          <cell r="D891"/>
          <cell r="E891"/>
          <cell r="F891"/>
          <cell r="G891"/>
          <cell r="H891"/>
          <cell r="I891"/>
        </row>
        <row r="892">
          <cell r="B892"/>
          <cell r="C892"/>
          <cell r="D892" t="str">
            <v xml:space="preserve">CAN </v>
          </cell>
          <cell r="E892" t="str">
            <v>DISTANCIA</v>
          </cell>
          <cell r="F892" t="str">
            <v>M3-Km / UN-KM</v>
          </cell>
          <cell r="G892" t="str">
            <v>TARIFA</v>
          </cell>
          <cell r="H892" t="str">
            <v>Valor-Unit.</v>
          </cell>
          <cell r="I892"/>
        </row>
        <row r="893">
          <cell r="B893" t="str">
            <v>T005</v>
          </cell>
          <cell r="C893" t="str">
            <v>trans int  bordillo un</v>
          </cell>
          <cell r="D893">
            <v>1</v>
          </cell>
          <cell r="E893">
            <v>1</v>
          </cell>
          <cell r="F893">
            <v>1</v>
          </cell>
          <cell r="G893">
            <v>1000</v>
          </cell>
          <cell r="H893">
            <v>1000</v>
          </cell>
          <cell r="I893"/>
        </row>
        <row r="894">
          <cell r="C894"/>
          <cell r="D894"/>
          <cell r="E894"/>
          <cell r="F894" t="str">
            <v>Sub-Total</v>
          </cell>
          <cell r="G894" t="str">
            <v>4.1</v>
          </cell>
          <cell r="H894" t="str">
            <v>TRAN-4.1</v>
          </cell>
          <cell r="I894">
            <v>1000</v>
          </cell>
        </row>
        <row r="895">
          <cell r="B895"/>
          <cell r="C895"/>
          <cell r="D895"/>
          <cell r="E895"/>
          <cell r="F895"/>
          <cell r="G895"/>
          <cell r="H895"/>
          <cell r="I895"/>
        </row>
        <row r="896">
          <cell r="B896"/>
          <cell r="C896"/>
          <cell r="D896" t="str">
            <v>JORNAL-HORA</v>
          </cell>
          <cell r="E896" t="str">
            <v>PRES</v>
          </cell>
          <cell r="F896" t="str">
            <v>JORNAL TOTAL</v>
          </cell>
          <cell r="G896" t="str">
            <v>RENDIEMIENTO</v>
          </cell>
          <cell r="H896" t="str">
            <v>VALOR-UNIT</v>
          </cell>
          <cell r="I896"/>
        </row>
        <row r="897">
          <cell r="B897" t="str">
            <v>MO004</v>
          </cell>
          <cell r="C897" t="str">
            <v xml:space="preserve">oficial </v>
          </cell>
          <cell r="D897">
            <v>12336.644836388892</v>
          </cell>
          <cell r="E897"/>
          <cell r="F897">
            <v>12336.644836388892</v>
          </cell>
          <cell r="G897">
            <v>1</v>
          </cell>
          <cell r="H897">
            <v>12336.644836388892</v>
          </cell>
          <cell r="I897"/>
        </row>
        <row r="898">
          <cell r="B898" t="str">
            <v>MO006</v>
          </cell>
          <cell r="C898" t="str">
            <v xml:space="preserve">ayudante </v>
          </cell>
          <cell r="D898">
            <v>10336.644836388892</v>
          </cell>
          <cell r="E898"/>
          <cell r="F898">
            <v>10336.644836388892</v>
          </cell>
          <cell r="G898">
            <v>3</v>
          </cell>
          <cell r="H898">
            <v>31009.934509166676</v>
          </cell>
          <cell r="I898"/>
        </row>
        <row r="899">
          <cell r="B899" t="str">
            <v>MO007</v>
          </cell>
          <cell r="C899" t="str">
            <v>contra maestro</v>
          </cell>
          <cell r="D899">
            <v>12974.601086388891</v>
          </cell>
          <cell r="E899"/>
          <cell r="F899">
            <v>12974.601086388891</v>
          </cell>
          <cell r="G899">
            <v>0.1</v>
          </cell>
          <cell r="H899">
            <v>1297.4601086388893</v>
          </cell>
          <cell r="I899"/>
        </row>
        <row r="900">
          <cell r="C900"/>
          <cell r="D900"/>
          <cell r="E900"/>
          <cell r="F900" t="str">
            <v>Sub-Total</v>
          </cell>
          <cell r="G900" t="str">
            <v>4.1</v>
          </cell>
          <cell r="H900" t="str">
            <v>MDEO-4.1</v>
          </cell>
          <cell r="I900">
            <v>44644.039454194455</v>
          </cell>
        </row>
        <row r="901">
          <cell r="C901"/>
          <cell r="D901"/>
          <cell r="E901"/>
          <cell r="F901"/>
          <cell r="G901"/>
          <cell r="H901"/>
          <cell r="I901">
            <v>2232.2019727097227</v>
          </cell>
        </row>
        <row r="902">
          <cell r="C902"/>
          <cell r="D902"/>
          <cell r="E902"/>
          <cell r="F902" t="str">
            <v>Total Costo Directo</v>
          </cell>
          <cell r="G902"/>
          <cell r="H902"/>
          <cell r="I902">
            <v>80232</v>
          </cell>
        </row>
        <row r="903">
          <cell r="B903"/>
          <cell r="C903"/>
          <cell r="D903"/>
          <cell r="E903"/>
          <cell r="F903"/>
          <cell r="G903"/>
          <cell r="H903"/>
          <cell r="I903"/>
        </row>
        <row r="904">
          <cell r="B904"/>
          <cell r="C904"/>
          <cell r="D904"/>
          <cell r="E904"/>
          <cell r="F904" t="str">
            <v>REVISA</v>
          </cell>
          <cell r="G904"/>
          <cell r="H904"/>
          <cell r="I904"/>
        </row>
        <row r="905">
          <cell r="B905"/>
          <cell r="C905"/>
          <cell r="D905"/>
          <cell r="E905"/>
          <cell r="F905" t="str">
            <v>FIRMA:</v>
          </cell>
          <cell r="G905"/>
          <cell r="H905"/>
          <cell r="I905"/>
        </row>
        <row r="906">
          <cell r="B906" t="str">
            <v>RAI ANDRE ESCOBAR FERIA</v>
          </cell>
          <cell r="C906"/>
          <cell r="F906" t="str">
            <v>NOMBRE</v>
          </cell>
          <cell r="G906"/>
          <cell r="H906"/>
          <cell r="I906"/>
        </row>
        <row r="907">
          <cell r="B907" t="str">
            <v>M.P. 031037-0642230 BLV</v>
          </cell>
          <cell r="C907"/>
          <cell r="F907" t="str">
            <v>MAT:</v>
          </cell>
          <cell r="G907"/>
          <cell r="H907"/>
          <cell r="I907"/>
        </row>
        <row r="908">
          <cell r="B908"/>
          <cell r="C908"/>
          <cell r="F908"/>
          <cell r="G908"/>
          <cell r="H908"/>
          <cell r="I908"/>
        </row>
        <row r="909">
          <cell r="B909"/>
          <cell r="C909"/>
          <cell r="D909"/>
          <cell r="E909"/>
          <cell r="F909"/>
          <cell r="G909"/>
          <cell r="H909"/>
          <cell r="I909"/>
        </row>
        <row r="910">
          <cell r="B910"/>
          <cell r="C910"/>
          <cell r="D910"/>
          <cell r="E910"/>
          <cell r="F910"/>
          <cell r="G910"/>
          <cell r="H910"/>
          <cell r="I910"/>
        </row>
        <row r="911">
          <cell r="B911"/>
          <cell r="C911"/>
          <cell r="D911"/>
          <cell r="E911"/>
          <cell r="F911"/>
          <cell r="G911"/>
          <cell r="H911"/>
          <cell r="I911"/>
        </row>
        <row r="912">
          <cell r="B912"/>
          <cell r="C912"/>
          <cell r="D912"/>
          <cell r="E912"/>
          <cell r="F912"/>
          <cell r="G912"/>
          <cell r="H912"/>
          <cell r="I912"/>
        </row>
        <row r="913">
          <cell r="B913" t="str">
            <v>4.2</v>
          </cell>
          <cell r="C913" t="str">
            <v>DESCRIPCION:</v>
          </cell>
          <cell r="D913" t="str">
            <v>Lleno para conformación sección de anden con material granular de excavación no contaminado al 60% y 40% subbase granular</v>
          </cell>
          <cell r="E913"/>
          <cell r="F913"/>
          <cell r="G913"/>
          <cell r="H913"/>
          <cell r="I913"/>
        </row>
        <row r="914">
          <cell r="B914" t="str">
            <v>230.1-13</v>
          </cell>
          <cell r="C914"/>
          <cell r="D914" t="str">
            <v>UNIDAD</v>
          </cell>
          <cell r="E914" t="str">
            <v>M3</v>
          </cell>
          <cell r="F914" t="str">
            <v>CANTIDAD</v>
          </cell>
          <cell r="G914">
            <v>4237</v>
          </cell>
          <cell r="H914" t="str">
            <v>V. UNITARIO:</v>
          </cell>
          <cell r="I914">
            <v>80048</v>
          </cell>
        </row>
        <row r="915">
          <cell r="B915"/>
          <cell r="C915"/>
          <cell r="D915"/>
          <cell r="E915"/>
          <cell r="F915"/>
          <cell r="G915"/>
          <cell r="H915"/>
          <cell r="I915"/>
        </row>
        <row r="916">
          <cell r="B916"/>
          <cell r="C916"/>
          <cell r="D916"/>
          <cell r="E916"/>
          <cell r="F916" t="str">
            <v>Tarifa/Hora</v>
          </cell>
          <cell r="G916" t="str">
            <v>Rendimiento</v>
          </cell>
          <cell r="H916" t="str">
            <v>Valor-Unit.</v>
          </cell>
          <cell r="I916"/>
        </row>
        <row r="917">
          <cell r="B917" t="str">
            <v>E026</v>
          </cell>
          <cell r="C917" t="str">
            <v>tanque de almacenamiento de agua</v>
          </cell>
          <cell r="D917"/>
          <cell r="E917"/>
          <cell r="F917">
            <v>1000</v>
          </cell>
          <cell r="G917">
            <v>0.2</v>
          </cell>
          <cell r="H917">
            <v>200</v>
          </cell>
          <cell r="I917"/>
        </row>
        <row r="918">
          <cell r="B918" t="str">
            <v>E002</v>
          </cell>
          <cell r="C918" t="str">
            <v>Compactador tipo rana</v>
          </cell>
          <cell r="D918"/>
          <cell r="E918"/>
          <cell r="F918">
            <v>5000</v>
          </cell>
          <cell r="G918">
            <v>1</v>
          </cell>
          <cell r="H918">
            <v>5000</v>
          </cell>
          <cell r="I918"/>
        </row>
        <row r="919">
          <cell r="C919"/>
          <cell r="D919"/>
          <cell r="E919"/>
          <cell r="F919" t="str">
            <v>Sub-Total</v>
          </cell>
          <cell r="G919" t="str">
            <v>4.2</v>
          </cell>
          <cell r="H919" t="str">
            <v>EQUI-4.2</v>
          </cell>
          <cell r="I919">
            <v>5200</v>
          </cell>
        </row>
        <row r="920">
          <cell r="B920"/>
          <cell r="C920"/>
          <cell r="D920"/>
          <cell r="E920"/>
          <cell r="F920"/>
          <cell r="G920"/>
          <cell r="H920"/>
          <cell r="I920"/>
        </row>
        <row r="921">
          <cell r="B921"/>
          <cell r="C921"/>
          <cell r="D921"/>
          <cell r="E921" t="str">
            <v>UNIDAD</v>
          </cell>
          <cell r="F921" t="str">
            <v>V.UNIT</v>
          </cell>
          <cell r="G921" t="str">
            <v>CANT</v>
          </cell>
          <cell r="H921" t="str">
            <v>V.TOTAL</v>
          </cell>
          <cell r="I921"/>
        </row>
        <row r="922">
          <cell r="B922" t="str">
            <v>M002</v>
          </cell>
          <cell r="C922" t="str">
            <v>agua</v>
          </cell>
          <cell r="D922"/>
          <cell r="E922" t="str">
            <v>M3</v>
          </cell>
          <cell r="F922">
            <v>2750</v>
          </cell>
          <cell r="G922">
            <v>0.2</v>
          </cell>
          <cell r="H922">
            <v>550</v>
          </cell>
          <cell r="I922"/>
        </row>
        <row r="923">
          <cell r="B923" t="str">
            <v>M014</v>
          </cell>
          <cell r="C923" t="str">
            <v xml:space="preserve">Subbase granular </v>
          </cell>
          <cell r="D923"/>
          <cell r="E923" t="str">
            <v>M3</v>
          </cell>
          <cell r="F923">
            <v>39000</v>
          </cell>
          <cell r="G923">
            <v>0.52</v>
          </cell>
          <cell r="H923">
            <v>20280</v>
          </cell>
          <cell r="I923"/>
        </row>
        <row r="924">
          <cell r="C924"/>
          <cell r="D924"/>
          <cell r="E924"/>
          <cell r="F924" t="str">
            <v>Sub-Total</v>
          </cell>
          <cell r="G924" t="str">
            <v>4.2</v>
          </cell>
          <cell r="H924" t="str">
            <v>MAT-4.2</v>
          </cell>
          <cell r="I924">
            <v>20830</v>
          </cell>
        </row>
        <row r="925">
          <cell r="B925"/>
          <cell r="C925"/>
          <cell r="D925"/>
          <cell r="E925"/>
          <cell r="F925"/>
          <cell r="G925"/>
          <cell r="H925"/>
          <cell r="I925"/>
        </row>
        <row r="926">
          <cell r="B926"/>
          <cell r="C926"/>
          <cell r="D926" t="str">
            <v xml:space="preserve">CAN </v>
          </cell>
          <cell r="E926" t="str">
            <v>DISTANCIA</v>
          </cell>
          <cell r="F926" t="str">
            <v>M3-Km / UN-KM</v>
          </cell>
          <cell r="G926" t="str">
            <v>TARIFA</v>
          </cell>
          <cell r="H926" t="str">
            <v>Valor-Unit.</v>
          </cell>
          <cell r="I926"/>
        </row>
        <row r="927">
          <cell r="B927" t="str">
            <v>T003</v>
          </cell>
          <cell r="C927" t="str">
            <v>trans agua 0-5km</v>
          </cell>
          <cell r="D927">
            <v>0.2</v>
          </cell>
          <cell r="E927">
            <v>5</v>
          </cell>
          <cell r="F927">
            <v>1</v>
          </cell>
          <cell r="G927">
            <v>1095</v>
          </cell>
          <cell r="H927">
            <v>1095</v>
          </cell>
          <cell r="I927"/>
        </row>
        <row r="928">
          <cell r="B928" t="str">
            <v>T012</v>
          </cell>
          <cell r="C928" t="str">
            <v>trans material necocli &gt; 10 km</v>
          </cell>
          <cell r="D928">
            <v>0.52</v>
          </cell>
          <cell r="E928">
            <v>50</v>
          </cell>
          <cell r="F928">
            <v>26</v>
          </cell>
          <cell r="G928">
            <v>650</v>
          </cell>
          <cell r="H928">
            <v>16900</v>
          </cell>
          <cell r="I928"/>
        </row>
        <row r="929">
          <cell r="C929"/>
          <cell r="D929"/>
          <cell r="E929"/>
          <cell r="F929" t="str">
            <v>Sub-Total</v>
          </cell>
          <cell r="G929" t="str">
            <v>4.2</v>
          </cell>
          <cell r="H929" t="str">
            <v>TRAN-4.2</v>
          </cell>
          <cell r="I929">
            <v>17995</v>
          </cell>
        </row>
        <row r="930">
          <cell r="B930"/>
          <cell r="C930"/>
          <cell r="D930"/>
          <cell r="E930"/>
          <cell r="F930"/>
          <cell r="G930"/>
          <cell r="H930"/>
          <cell r="I930"/>
        </row>
        <row r="931">
          <cell r="B931"/>
          <cell r="C931"/>
          <cell r="D931" t="str">
            <v>JORNAL-HORA</v>
          </cell>
          <cell r="E931" t="str">
            <v>PRES</v>
          </cell>
          <cell r="F931" t="str">
            <v>JORNAL TOTAL</v>
          </cell>
          <cell r="G931" t="str">
            <v>RENDIEMIENTO</v>
          </cell>
          <cell r="H931" t="str">
            <v>VALOR-UNIT</v>
          </cell>
          <cell r="I931"/>
        </row>
        <row r="932">
          <cell r="B932" t="str">
            <v>MO004</v>
          </cell>
          <cell r="C932" t="str">
            <v xml:space="preserve">oficial </v>
          </cell>
          <cell r="D932">
            <v>12336.644836388892</v>
          </cell>
          <cell r="E932"/>
          <cell r="F932">
            <v>12336.644836388892</v>
          </cell>
          <cell r="G932">
            <v>1</v>
          </cell>
          <cell r="H932">
            <v>12336.644836388892</v>
          </cell>
          <cell r="I932"/>
        </row>
        <row r="933">
          <cell r="B933" t="str">
            <v>MO006</v>
          </cell>
          <cell r="C933" t="str">
            <v xml:space="preserve">ayudante </v>
          </cell>
          <cell r="D933">
            <v>10336.644836388892</v>
          </cell>
          <cell r="E933"/>
          <cell r="F933">
            <v>10336.644836388892</v>
          </cell>
          <cell r="G933">
            <v>2</v>
          </cell>
          <cell r="H933">
            <v>20673.289672777784</v>
          </cell>
          <cell r="I933"/>
        </row>
        <row r="934">
          <cell r="B934" t="str">
            <v>MO007</v>
          </cell>
          <cell r="C934" t="str">
            <v>contra maestro</v>
          </cell>
          <cell r="D934">
            <v>12974.601086388891</v>
          </cell>
          <cell r="E934"/>
          <cell r="F934">
            <v>12974.601086388891</v>
          </cell>
          <cell r="G934">
            <v>0.1</v>
          </cell>
          <cell r="H934">
            <v>1297.4601086388893</v>
          </cell>
          <cell r="I934"/>
        </row>
        <row r="935">
          <cell r="B935"/>
          <cell r="C935"/>
          <cell r="D935"/>
          <cell r="E935"/>
          <cell r="F935"/>
          <cell r="G935"/>
          <cell r="H935"/>
          <cell r="I935"/>
        </row>
        <row r="936">
          <cell r="C936"/>
          <cell r="D936"/>
          <cell r="E936"/>
          <cell r="F936" t="str">
            <v>Sub-Total</v>
          </cell>
          <cell r="G936" t="str">
            <v>4.2</v>
          </cell>
          <cell r="H936" t="str">
            <v>MDEO-4.2</v>
          </cell>
          <cell r="I936">
            <v>34307.394617805563</v>
          </cell>
        </row>
        <row r="937">
          <cell r="C937"/>
          <cell r="D937"/>
          <cell r="E937"/>
          <cell r="F937"/>
          <cell r="G937"/>
          <cell r="H937"/>
          <cell r="I937">
            <v>1715.3697308902783</v>
          </cell>
        </row>
        <row r="938">
          <cell r="C938"/>
          <cell r="D938"/>
          <cell r="E938"/>
          <cell r="F938" t="str">
            <v>Total Costo Directo</v>
          </cell>
          <cell r="G938"/>
          <cell r="H938"/>
          <cell r="I938">
            <v>80048</v>
          </cell>
        </row>
        <row r="939">
          <cell r="B939"/>
          <cell r="C939"/>
          <cell r="D939"/>
          <cell r="E939"/>
          <cell r="F939"/>
          <cell r="G939"/>
          <cell r="H939"/>
          <cell r="I939"/>
        </row>
        <row r="940">
          <cell r="B940"/>
          <cell r="C940"/>
          <cell r="D940"/>
          <cell r="E940"/>
          <cell r="F940" t="str">
            <v>REVISA</v>
          </cell>
          <cell r="G940"/>
          <cell r="H940"/>
          <cell r="I940"/>
        </row>
        <row r="941">
          <cell r="B941"/>
          <cell r="C941"/>
          <cell r="D941"/>
          <cell r="E941"/>
          <cell r="F941" t="str">
            <v>FIRMA:</v>
          </cell>
          <cell r="G941"/>
          <cell r="H941"/>
          <cell r="I941"/>
        </row>
        <row r="942">
          <cell r="B942" t="str">
            <v>RAI ANDRE ESCOBAR FERIA</v>
          </cell>
          <cell r="C942"/>
          <cell r="F942" t="str">
            <v>NOMBRE</v>
          </cell>
          <cell r="G942"/>
          <cell r="H942"/>
          <cell r="I942"/>
        </row>
        <row r="943">
          <cell r="B943" t="str">
            <v>M.P. 031037-0642230 BLV</v>
          </cell>
          <cell r="C943"/>
          <cell r="F943" t="str">
            <v>MAT:</v>
          </cell>
          <cell r="G943"/>
          <cell r="H943"/>
          <cell r="I943"/>
        </row>
        <row r="944">
          <cell r="B944"/>
          <cell r="C944"/>
          <cell r="F944"/>
          <cell r="G944"/>
          <cell r="H944"/>
          <cell r="I944"/>
        </row>
        <row r="945">
          <cell r="B945"/>
          <cell r="C945"/>
          <cell r="D945"/>
          <cell r="E945"/>
          <cell r="F945"/>
          <cell r="G945"/>
          <cell r="H945"/>
          <cell r="I945"/>
        </row>
        <row r="946">
          <cell r="B946"/>
          <cell r="C946"/>
          <cell r="D946"/>
          <cell r="E946"/>
          <cell r="F946"/>
          <cell r="G946"/>
          <cell r="H946"/>
          <cell r="I946"/>
        </row>
        <row r="947">
          <cell r="B947"/>
          <cell r="C947"/>
          <cell r="D947"/>
          <cell r="E947"/>
          <cell r="F947"/>
          <cell r="G947"/>
          <cell r="H947"/>
          <cell r="I947"/>
        </row>
        <row r="948">
          <cell r="I948"/>
        </row>
        <row r="949">
          <cell r="B949"/>
          <cell r="C949"/>
          <cell r="D949"/>
          <cell r="E949"/>
          <cell r="F949"/>
          <cell r="G949"/>
          <cell r="H949"/>
          <cell r="I949"/>
        </row>
        <row r="950">
          <cell r="B950" t="str">
            <v>4.3</v>
          </cell>
          <cell r="C950" t="str">
            <v>DESCRIPCION:</v>
          </cell>
          <cell r="D950" t="str">
            <v xml:space="preserve">construcción de anden e: 0,1m en concreto texturizado con tableta 20*20 táctil y 10*20 señalizado </v>
          </cell>
          <cell r="E950"/>
          <cell r="F950"/>
          <cell r="G950"/>
          <cell r="H950"/>
          <cell r="I950"/>
        </row>
        <row r="951">
          <cell r="B951" t="str">
            <v>PAR-07</v>
          </cell>
          <cell r="C951"/>
          <cell r="D951" t="str">
            <v>UNIDAD</v>
          </cell>
          <cell r="E951" t="str">
            <v>M2</v>
          </cell>
          <cell r="F951" t="str">
            <v>CANTIDAD</v>
          </cell>
          <cell r="G951">
            <v>18157</v>
          </cell>
          <cell r="H951" t="str">
            <v>V. UNITARIO:</v>
          </cell>
          <cell r="I951">
            <v>138136</v>
          </cell>
        </row>
        <row r="952">
          <cell r="B952"/>
          <cell r="C952"/>
          <cell r="D952"/>
          <cell r="E952"/>
          <cell r="F952"/>
          <cell r="G952"/>
          <cell r="H952"/>
          <cell r="I952"/>
        </row>
        <row r="953">
          <cell r="B953"/>
          <cell r="C953"/>
          <cell r="D953"/>
          <cell r="E953"/>
          <cell r="F953" t="str">
            <v>Tarifa/Hora</v>
          </cell>
          <cell r="G953" t="str">
            <v>Rendimiento</v>
          </cell>
          <cell r="H953" t="str">
            <v>Valor-Unit.</v>
          </cell>
          <cell r="I953"/>
        </row>
        <row r="954">
          <cell r="B954" t="str">
            <v>E012</v>
          </cell>
          <cell r="C954" t="str">
            <v>formaleta para bordillo/cuneta</v>
          </cell>
          <cell r="D954"/>
          <cell r="E954"/>
          <cell r="F954">
            <v>2150</v>
          </cell>
          <cell r="G954">
            <v>1</v>
          </cell>
          <cell r="H954">
            <v>2150</v>
          </cell>
          <cell r="I954"/>
        </row>
        <row r="955">
          <cell r="C955"/>
          <cell r="D955"/>
          <cell r="E955"/>
          <cell r="F955" t="str">
            <v>Sub-Total</v>
          </cell>
          <cell r="G955" t="str">
            <v>4.3</v>
          </cell>
          <cell r="H955" t="str">
            <v>EQUI-4.3</v>
          </cell>
          <cell r="I955">
            <v>2150</v>
          </cell>
        </row>
        <row r="956">
          <cell r="B956"/>
          <cell r="C956"/>
          <cell r="D956"/>
          <cell r="E956"/>
          <cell r="F956"/>
          <cell r="G956"/>
          <cell r="H956"/>
          <cell r="I956"/>
        </row>
        <row r="957">
          <cell r="B957"/>
          <cell r="C957"/>
          <cell r="D957"/>
          <cell r="E957" t="str">
            <v>UNIDAD</v>
          </cell>
          <cell r="F957" t="str">
            <v>V.UNIT</v>
          </cell>
          <cell r="G957" t="str">
            <v>CANT</v>
          </cell>
          <cell r="H957" t="str">
            <v>V.TOTAL</v>
          </cell>
          <cell r="I957"/>
        </row>
        <row r="958">
          <cell r="B958" t="str">
            <v>M007</v>
          </cell>
          <cell r="C958" t="str">
            <v>Concreto 3000psi en obra</v>
          </cell>
          <cell r="D958"/>
          <cell r="E958" t="str">
            <v>M3</v>
          </cell>
          <cell r="F958">
            <v>498450</v>
          </cell>
          <cell r="G958">
            <v>0.1</v>
          </cell>
          <cell r="H958">
            <v>49845</v>
          </cell>
          <cell r="I958"/>
        </row>
        <row r="959">
          <cell r="B959" t="str">
            <v>M034</v>
          </cell>
          <cell r="C959" t="str">
            <v>tableta señalización 0,1*20 m gris</v>
          </cell>
          <cell r="D959"/>
          <cell r="E959" t="str">
            <v>UN</v>
          </cell>
          <cell r="F959">
            <v>1300</v>
          </cell>
          <cell r="G959">
            <v>5</v>
          </cell>
          <cell r="H959">
            <v>6500</v>
          </cell>
          <cell r="I959"/>
        </row>
        <row r="960">
          <cell r="B960" t="str">
            <v>M035</v>
          </cell>
          <cell r="C960" t="str">
            <v>tableta táctil  guía 0,2*,2 m color gris</v>
          </cell>
          <cell r="D960"/>
          <cell r="E960" t="str">
            <v>UN</v>
          </cell>
          <cell r="F960">
            <v>2100</v>
          </cell>
          <cell r="G960">
            <v>5</v>
          </cell>
          <cell r="H960">
            <v>10500</v>
          </cell>
          <cell r="I960"/>
        </row>
        <row r="961">
          <cell r="B961" t="str">
            <v>M009</v>
          </cell>
          <cell r="C961" t="str">
            <v>Malla electrosoldada</v>
          </cell>
          <cell r="D961"/>
          <cell r="E961" t="str">
            <v>KG</v>
          </cell>
          <cell r="F961">
            <v>6200</v>
          </cell>
          <cell r="G961">
            <v>0.82</v>
          </cell>
          <cell r="H961">
            <v>5084</v>
          </cell>
          <cell r="I961"/>
        </row>
        <row r="962">
          <cell r="B962" t="str">
            <v>M013</v>
          </cell>
          <cell r="C962" t="str">
            <v>Mortero 1:6 para pega y rebitada</v>
          </cell>
          <cell r="D962"/>
          <cell r="E962" t="str">
            <v>M3</v>
          </cell>
          <cell r="F962">
            <v>403352</v>
          </cell>
          <cell r="G962">
            <v>6.0000000000000001E-3</v>
          </cell>
          <cell r="H962">
            <v>2420.1120000000001</v>
          </cell>
          <cell r="I962"/>
        </row>
        <row r="963">
          <cell r="C963"/>
          <cell r="D963"/>
          <cell r="E963"/>
          <cell r="F963" t="str">
            <v>Sub-Total</v>
          </cell>
          <cell r="G963" t="str">
            <v>4.3</v>
          </cell>
          <cell r="H963" t="str">
            <v>MAT-4.3</v>
          </cell>
          <cell r="I963">
            <v>74349.111999999994</v>
          </cell>
        </row>
        <row r="964">
          <cell r="B964"/>
          <cell r="C964"/>
          <cell r="D964"/>
          <cell r="E964"/>
          <cell r="F964"/>
          <cell r="G964"/>
          <cell r="H964"/>
          <cell r="I964"/>
        </row>
        <row r="965">
          <cell r="B965"/>
          <cell r="C965"/>
          <cell r="D965" t="str">
            <v xml:space="preserve">CAN </v>
          </cell>
          <cell r="E965" t="str">
            <v>DISTANCIA</v>
          </cell>
          <cell r="F965" t="str">
            <v>M3-Km / UN-KM</v>
          </cell>
          <cell r="G965" t="str">
            <v>TARIFA</v>
          </cell>
          <cell r="H965" t="str">
            <v>Valor-Unit.</v>
          </cell>
          <cell r="I965"/>
        </row>
        <row r="966">
          <cell r="B966" t="str">
            <v>T007</v>
          </cell>
          <cell r="C966" t="str">
            <v>trans int tableta-adoquin un</v>
          </cell>
          <cell r="D966">
            <v>10</v>
          </cell>
          <cell r="E966">
            <v>1</v>
          </cell>
          <cell r="F966">
            <v>20</v>
          </cell>
          <cell r="G966">
            <v>200</v>
          </cell>
          <cell r="H966">
            <v>4000</v>
          </cell>
          <cell r="I966"/>
        </row>
        <row r="967">
          <cell r="C967"/>
          <cell r="D967"/>
          <cell r="E967"/>
          <cell r="F967" t="str">
            <v>Sub-Total</v>
          </cell>
          <cell r="G967" t="str">
            <v>4.3</v>
          </cell>
          <cell r="H967" t="str">
            <v>TRAN-4.3</v>
          </cell>
          <cell r="I967">
            <v>4000</v>
          </cell>
        </row>
        <row r="968">
          <cell r="B968"/>
          <cell r="C968"/>
          <cell r="D968"/>
          <cell r="E968"/>
          <cell r="F968"/>
          <cell r="G968"/>
          <cell r="H968"/>
          <cell r="I968"/>
        </row>
        <row r="969">
          <cell r="B969"/>
          <cell r="C969"/>
          <cell r="D969" t="str">
            <v>JORNAL-HORA</v>
          </cell>
          <cell r="E969" t="str">
            <v>PRES</v>
          </cell>
          <cell r="F969" t="str">
            <v>JORNAL TOTAL</v>
          </cell>
          <cell r="G969" t="str">
            <v>RENDIEMIENTO</v>
          </cell>
          <cell r="H969" t="str">
            <v>VALOR-UNIT</v>
          </cell>
          <cell r="I969"/>
        </row>
        <row r="970">
          <cell r="B970" t="str">
            <v>MO004</v>
          </cell>
          <cell r="C970" t="str">
            <v xml:space="preserve">oficial </v>
          </cell>
          <cell r="D970">
            <v>12336.644836388892</v>
          </cell>
          <cell r="E970"/>
          <cell r="F970">
            <v>12336.644836388892</v>
          </cell>
          <cell r="G970">
            <v>1.6</v>
          </cell>
          <cell r="H970">
            <v>19738.63173822223</v>
          </cell>
          <cell r="I970"/>
        </row>
        <row r="971">
          <cell r="B971" t="str">
            <v>MO006</v>
          </cell>
          <cell r="C971" t="str">
            <v xml:space="preserve">ayudante </v>
          </cell>
          <cell r="D971">
            <v>10336.644836388892</v>
          </cell>
          <cell r="E971"/>
          <cell r="F971">
            <v>10336.644836388892</v>
          </cell>
          <cell r="G971">
            <v>3.2</v>
          </cell>
          <cell r="H971">
            <v>33077.263476444459</v>
          </cell>
          <cell r="I971"/>
        </row>
        <row r="972">
          <cell r="B972" t="str">
            <v>MO007</v>
          </cell>
          <cell r="C972" t="str">
            <v>contra maestro</v>
          </cell>
          <cell r="D972">
            <v>12974.601086388891</v>
          </cell>
          <cell r="E972"/>
          <cell r="F972">
            <v>12974.601086388891</v>
          </cell>
          <cell r="G972">
            <v>0.16000000000000003</v>
          </cell>
          <cell r="H972">
            <v>2075.9361738222228</v>
          </cell>
          <cell r="I972"/>
        </row>
        <row r="973">
          <cell r="B973"/>
          <cell r="C973"/>
          <cell r="D973"/>
          <cell r="E973"/>
          <cell r="F973"/>
          <cell r="G973"/>
          <cell r="H973"/>
          <cell r="I973"/>
        </row>
        <row r="974">
          <cell r="B974"/>
          <cell r="C974"/>
          <cell r="D974"/>
          <cell r="E974"/>
          <cell r="F974"/>
          <cell r="G974"/>
          <cell r="H974"/>
          <cell r="I974"/>
        </row>
        <row r="975">
          <cell r="C975"/>
          <cell r="D975"/>
          <cell r="E975"/>
          <cell r="F975" t="str">
            <v>Sub-Total</v>
          </cell>
          <cell r="G975" t="str">
            <v>4.3</v>
          </cell>
          <cell r="H975" t="str">
            <v>MDEO-4.3</v>
          </cell>
          <cell r="I975">
            <v>54891.831388488907</v>
          </cell>
        </row>
        <row r="976">
          <cell r="C976"/>
          <cell r="D976"/>
          <cell r="E976"/>
          <cell r="F976"/>
          <cell r="G976"/>
          <cell r="H976"/>
          <cell r="I976">
            <v>2744.5915694244454</v>
          </cell>
        </row>
        <row r="977">
          <cell r="C977"/>
          <cell r="D977"/>
          <cell r="E977"/>
          <cell r="F977" t="str">
            <v>Total Costo Directo</v>
          </cell>
          <cell r="G977"/>
          <cell r="H977"/>
          <cell r="I977">
            <v>138136</v>
          </cell>
        </row>
        <row r="978">
          <cell r="B978"/>
          <cell r="C978"/>
          <cell r="D978"/>
          <cell r="E978"/>
          <cell r="F978" t="str">
            <v>REVISA</v>
          </cell>
          <cell r="G978"/>
          <cell r="H978"/>
          <cell r="I978"/>
        </row>
        <row r="979">
          <cell r="B979"/>
          <cell r="C979"/>
          <cell r="D979"/>
          <cell r="E979"/>
          <cell r="F979" t="str">
            <v>FIRMA:</v>
          </cell>
          <cell r="G979"/>
          <cell r="H979"/>
          <cell r="I979"/>
        </row>
        <row r="980">
          <cell r="B980" t="str">
            <v>RAI ANDRE ESCOBAR FERIA</v>
          </cell>
          <cell r="C980"/>
          <cell r="F980" t="str">
            <v>NOMBRE</v>
          </cell>
          <cell r="G980"/>
          <cell r="H980"/>
          <cell r="I980"/>
        </row>
        <row r="981">
          <cell r="B981" t="str">
            <v>M.P. 031037-0642230 BLV</v>
          </cell>
          <cell r="C981"/>
          <cell r="F981" t="str">
            <v>MAT:</v>
          </cell>
          <cell r="G981"/>
          <cell r="H981"/>
          <cell r="I981"/>
        </row>
        <row r="982">
          <cell r="B982"/>
          <cell r="C982"/>
          <cell r="F982"/>
          <cell r="G982"/>
          <cell r="H982"/>
          <cell r="I982"/>
        </row>
        <row r="983">
          <cell r="B983"/>
          <cell r="C983"/>
          <cell r="D983"/>
          <cell r="E983"/>
          <cell r="F983"/>
          <cell r="G983"/>
          <cell r="H983"/>
          <cell r="I983"/>
        </row>
        <row r="984">
          <cell r="B984"/>
          <cell r="C984"/>
          <cell r="D984"/>
          <cell r="E984"/>
          <cell r="F984"/>
          <cell r="G984"/>
          <cell r="H984"/>
          <cell r="I984"/>
        </row>
        <row r="985">
          <cell r="B985"/>
          <cell r="C985"/>
          <cell r="D985"/>
          <cell r="E985"/>
          <cell r="F985"/>
          <cell r="G985"/>
          <cell r="H985"/>
          <cell r="I985"/>
        </row>
        <row r="986">
          <cell r="I986"/>
        </row>
        <row r="987">
          <cell r="B987"/>
          <cell r="C987"/>
          <cell r="D987"/>
          <cell r="E987"/>
          <cell r="F987"/>
          <cell r="G987"/>
          <cell r="H987"/>
          <cell r="I987"/>
        </row>
        <row r="988">
          <cell r="B988" t="str">
            <v>4.4</v>
          </cell>
          <cell r="C988" t="str">
            <v>DESCRIPCION:</v>
          </cell>
          <cell r="D988" t="str">
            <v xml:space="preserve">pintura tipo trafico, para resaltos y cruces peaonales tipo cebra </v>
          </cell>
          <cell r="E988"/>
          <cell r="F988"/>
          <cell r="G988"/>
          <cell r="H988"/>
          <cell r="I988"/>
        </row>
        <row r="989">
          <cell r="B989" t="str">
            <v>710-13</v>
          </cell>
          <cell r="C989"/>
          <cell r="D989" t="str">
            <v>UNIDAD</v>
          </cell>
          <cell r="E989" t="str">
            <v>M2</v>
          </cell>
          <cell r="F989" t="str">
            <v>CANTIDAD</v>
          </cell>
          <cell r="G989">
            <v>540</v>
          </cell>
          <cell r="H989" t="str">
            <v>V. UNITARIO:</v>
          </cell>
          <cell r="I989">
            <v>28333</v>
          </cell>
        </row>
        <row r="990">
          <cell r="B990"/>
          <cell r="C990"/>
          <cell r="D990"/>
          <cell r="E990"/>
          <cell r="F990"/>
          <cell r="G990"/>
          <cell r="H990"/>
          <cell r="I990"/>
        </row>
        <row r="991">
          <cell r="B991"/>
          <cell r="C991"/>
          <cell r="D991"/>
          <cell r="E991"/>
          <cell r="F991" t="str">
            <v>Tarifa/Hora</v>
          </cell>
          <cell r="G991" t="str">
            <v>Rendimiento</v>
          </cell>
          <cell r="H991" t="str">
            <v>Valor-Unit.</v>
          </cell>
          <cell r="I991"/>
        </row>
        <row r="992">
          <cell r="B992" t="str">
            <v>E007</v>
          </cell>
          <cell r="C992" t="str">
            <v>Equipo de compresor para pintura</v>
          </cell>
          <cell r="D992"/>
          <cell r="E992"/>
          <cell r="F992">
            <v>6500</v>
          </cell>
          <cell r="G992">
            <v>0.44</v>
          </cell>
          <cell r="H992">
            <v>2860</v>
          </cell>
          <cell r="I992"/>
        </row>
        <row r="993">
          <cell r="B993" t="str">
            <v>E020</v>
          </cell>
          <cell r="C993" t="str">
            <v>plantilla acrílica</v>
          </cell>
          <cell r="D993"/>
          <cell r="E993"/>
          <cell r="F993">
            <v>10000</v>
          </cell>
          <cell r="G993">
            <v>0.44</v>
          </cell>
          <cell r="H993">
            <v>4400</v>
          </cell>
          <cell r="I993"/>
        </row>
        <row r="994">
          <cell r="B994"/>
          <cell r="C994"/>
          <cell r="D994"/>
          <cell r="E994"/>
          <cell r="F994"/>
          <cell r="G994"/>
          <cell r="H994"/>
          <cell r="I994"/>
        </row>
        <row r="995">
          <cell r="C995"/>
          <cell r="D995"/>
          <cell r="E995"/>
          <cell r="F995" t="str">
            <v>Sub-Total</v>
          </cell>
          <cell r="G995" t="str">
            <v>4.4</v>
          </cell>
          <cell r="H995" t="str">
            <v>EQUI-4.4</v>
          </cell>
          <cell r="I995">
            <v>7260</v>
          </cell>
        </row>
        <row r="996">
          <cell r="B996"/>
          <cell r="C996"/>
          <cell r="D996"/>
          <cell r="E996"/>
          <cell r="F996"/>
          <cell r="G996"/>
          <cell r="H996"/>
          <cell r="I996"/>
        </row>
        <row r="997">
          <cell r="B997"/>
          <cell r="C997"/>
          <cell r="D997"/>
          <cell r="E997" t="str">
            <v>UNIDAD</v>
          </cell>
          <cell r="F997" t="str">
            <v>V.UNIT</v>
          </cell>
          <cell r="G997" t="str">
            <v>CANT</v>
          </cell>
          <cell r="H997" t="str">
            <v>V.TOTAL</v>
          </cell>
          <cell r="I997"/>
        </row>
        <row r="998">
          <cell r="B998" t="str">
            <v>M023</v>
          </cell>
          <cell r="C998" t="str">
            <v>pintura trafico</v>
          </cell>
          <cell r="D998"/>
          <cell r="E998" t="str">
            <v>GL</v>
          </cell>
          <cell r="F998">
            <v>145000</v>
          </cell>
          <cell r="G998">
            <v>0.06</v>
          </cell>
          <cell r="H998">
            <v>8700</v>
          </cell>
          <cell r="I998"/>
        </row>
        <row r="999">
          <cell r="B999" t="str">
            <v>M011</v>
          </cell>
          <cell r="C999" t="str">
            <v>disolvente</v>
          </cell>
          <cell r="D999"/>
          <cell r="E999" t="str">
            <v>GL</v>
          </cell>
          <cell r="F999">
            <v>21650</v>
          </cell>
          <cell r="G999">
            <v>0.06</v>
          </cell>
          <cell r="H999">
            <v>1299</v>
          </cell>
          <cell r="I999"/>
        </row>
        <row r="1000">
          <cell r="C1000"/>
          <cell r="D1000"/>
          <cell r="E1000"/>
          <cell r="F1000" t="str">
            <v>Sub-Total</v>
          </cell>
          <cell r="G1000" t="str">
            <v>4.4</v>
          </cell>
          <cell r="H1000" t="str">
            <v>MAT-4.4</v>
          </cell>
          <cell r="I1000">
            <v>9999</v>
          </cell>
        </row>
        <row r="1001">
          <cell r="B1001"/>
          <cell r="C1001"/>
          <cell r="D1001"/>
          <cell r="E1001"/>
          <cell r="F1001"/>
          <cell r="G1001"/>
          <cell r="H1001"/>
          <cell r="I1001"/>
        </row>
        <row r="1002">
          <cell r="B1002"/>
          <cell r="C1002"/>
          <cell r="D1002" t="str">
            <v xml:space="preserve">CAN </v>
          </cell>
          <cell r="E1002" t="str">
            <v>DISTANCIA</v>
          </cell>
          <cell r="F1002" t="str">
            <v>M3-Km / UN-KM</v>
          </cell>
          <cell r="G1002" t="str">
            <v>TARIFA</v>
          </cell>
          <cell r="H1002" t="str">
            <v>Valor-Unit.</v>
          </cell>
          <cell r="I1002"/>
        </row>
        <row r="1003">
          <cell r="B1003"/>
          <cell r="C1003"/>
          <cell r="D1003"/>
          <cell r="E1003"/>
          <cell r="F1003"/>
          <cell r="G1003"/>
          <cell r="H1003"/>
          <cell r="I1003"/>
        </row>
        <row r="1004">
          <cell r="C1004"/>
          <cell r="D1004"/>
          <cell r="E1004"/>
          <cell r="F1004" t="str">
            <v>Sub-Total</v>
          </cell>
          <cell r="G1004" t="str">
            <v>4.4</v>
          </cell>
          <cell r="H1004" t="str">
            <v>TRAN-4.4</v>
          </cell>
          <cell r="I1004">
            <v>0</v>
          </cell>
        </row>
        <row r="1005">
          <cell r="B1005"/>
          <cell r="C1005"/>
          <cell r="D1005"/>
          <cell r="E1005"/>
          <cell r="F1005"/>
          <cell r="G1005"/>
          <cell r="H1005"/>
          <cell r="I1005"/>
        </row>
        <row r="1006">
          <cell r="B1006"/>
          <cell r="C1006"/>
          <cell r="D1006" t="str">
            <v>JORNAL-HORA</v>
          </cell>
          <cell r="E1006" t="str">
            <v>PRES</v>
          </cell>
          <cell r="F1006" t="str">
            <v>JORNAL TOTAL</v>
          </cell>
          <cell r="G1006" t="str">
            <v>RENDIEMIENTO</v>
          </cell>
          <cell r="H1006" t="str">
            <v>VALOR-UNIT</v>
          </cell>
          <cell r="I1006"/>
        </row>
        <row r="1007">
          <cell r="B1007" t="str">
            <v>MO004</v>
          </cell>
          <cell r="C1007" t="str">
            <v xml:space="preserve">oficial </v>
          </cell>
          <cell r="D1007">
            <v>12336.644836388892</v>
          </cell>
          <cell r="E1007"/>
          <cell r="F1007">
            <v>12336.644836388892</v>
          </cell>
          <cell r="G1007">
            <v>0.44</v>
          </cell>
          <cell r="H1007">
            <v>5428.1237280111127</v>
          </cell>
          <cell r="I1007"/>
        </row>
        <row r="1008">
          <cell r="B1008" t="str">
            <v>MO006</v>
          </cell>
          <cell r="C1008" t="str">
            <v xml:space="preserve">ayudante </v>
          </cell>
          <cell r="D1008">
            <v>10336.644836388892</v>
          </cell>
          <cell r="E1008"/>
          <cell r="F1008">
            <v>10336.644836388892</v>
          </cell>
          <cell r="G1008">
            <v>0.44</v>
          </cell>
          <cell r="H1008">
            <v>4548.1237280111127</v>
          </cell>
          <cell r="I1008"/>
        </row>
        <row r="1009">
          <cell r="B1009" t="str">
            <v>MO007</v>
          </cell>
          <cell r="C1009" t="str">
            <v>contra maestro</v>
          </cell>
          <cell r="D1009">
            <v>12974.601086388891</v>
          </cell>
          <cell r="E1009"/>
          <cell r="F1009">
            <v>12974.601086388891</v>
          </cell>
          <cell r="G1009">
            <v>4.4000000000000004E-2</v>
          </cell>
          <cell r="H1009">
            <v>570.88244780111131</v>
          </cell>
          <cell r="I1009"/>
        </row>
        <row r="1010">
          <cell r="C1010"/>
          <cell r="D1010"/>
          <cell r="E1010"/>
          <cell r="F1010" t="str">
            <v>Sub-Total</v>
          </cell>
          <cell r="G1010" t="str">
            <v>4.4</v>
          </cell>
          <cell r="H1010" t="str">
            <v>MDEO-4.4</v>
          </cell>
          <cell r="I1010">
            <v>10547.129903823337</v>
          </cell>
        </row>
        <row r="1011">
          <cell r="C1011"/>
          <cell r="D1011"/>
          <cell r="E1011"/>
          <cell r="F1011"/>
          <cell r="G1011"/>
          <cell r="H1011"/>
          <cell r="I1011">
            <v>527.35649519116691</v>
          </cell>
        </row>
        <row r="1012">
          <cell r="C1012"/>
          <cell r="D1012"/>
          <cell r="E1012"/>
          <cell r="F1012" t="str">
            <v>Total Costo Directo</v>
          </cell>
          <cell r="G1012"/>
          <cell r="H1012"/>
          <cell r="I1012">
            <v>28333</v>
          </cell>
        </row>
        <row r="1013">
          <cell r="B1013"/>
          <cell r="C1013"/>
          <cell r="D1013"/>
          <cell r="E1013"/>
          <cell r="F1013"/>
          <cell r="G1013"/>
          <cell r="H1013"/>
          <cell r="I1013"/>
        </row>
        <row r="1014">
          <cell r="B1014"/>
          <cell r="C1014"/>
          <cell r="D1014"/>
          <cell r="E1014"/>
          <cell r="F1014" t="str">
            <v>REVISA</v>
          </cell>
          <cell r="G1014"/>
          <cell r="H1014"/>
          <cell r="I1014"/>
        </row>
        <row r="1015">
          <cell r="B1015"/>
          <cell r="C1015"/>
          <cell r="D1015"/>
          <cell r="E1015"/>
          <cell r="F1015" t="str">
            <v>FIRMA:</v>
          </cell>
          <cell r="G1015"/>
          <cell r="H1015"/>
          <cell r="I1015"/>
        </row>
        <row r="1016">
          <cell r="B1016" t="str">
            <v>RAI ANDRE ESCOBAR FERIA</v>
          </cell>
          <cell r="C1016"/>
          <cell r="F1016" t="str">
            <v>NOMBRE</v>
          </cell>
          <cell r="G1016"/>
          <cell r="H1016"/>
          <cell r="I1016"/>
        </row>
        <row r="1017">
          <cell r="B1017" t="str">
            <v>M.P. 031037-0642230 BLV</v>
          </cell>
          <cell r="C1017"/>
          <cell r="F1017" t="str">
            <v>MAT:</v>
          </cell>
          <cell r="G1017"/>
          <cell r="H1017"/>
          <cell r="I1017"/>
        </row>
        <row r="1018">
          <cell r="B1018"/>
          <cell r="C1018"/>
          <cell r="F1018"/>
          <cell r="G1018"/>
          <cell r="H1018"/>
          <cell r="I1018"/>
        </row>
        <row r="1019">
          <cell r="B1019"/>
          <cell r="C1019"/>
          <cell r="D1019"/>
          <cell r="E1019"/>
          <cell r="F1019"/>
          <cell r="G1019"/>
          <cell r="H1019"/>
          <cell r="I1019"/>
        </row>
        <row r="1020">
          <cell r="B1020"/>
          <cell r="C1020"/>
          <cell r="D1020"/>
          <cell r="E1020"/>
          <cell r="F1020"/>
          <cell r="G1020"/>
          <cell r="H1020"/>
          <cell r="I1020"/>
        </row>
        <row r="1021">
          <cell r="B1021"/>
          <cell r="C1021"/>
          <cell r="D1021"/>
          <cell r="E1021"/>
          <cell r="F1021"/>
          <cell r="G1021"/>
          <cell r="H1021"/>
          <cell r="I1021"/>
        </row>
        <row r="1022">
          <cell r="B1022"/>
          <cell r="C1022"/>
          <cell r="D1022"/>
          <cell r="E1022"/>
          <cell r="F1022"/>
          <cell r="G1022"/>
          <cell r="H1022"/>
          <cell r="I1022"/>
        </row>
        <row r="1023">
          <cell r="B1023" t="str">
            <v>4.5</v>
          </cell>
          <cell r="C1023" t="str">
            <v>DESCRIPCION:</v>
          </cell>
          <cell r="D1023" t="str">
            <v>piso en loseta cuadrática prefabricada táctil alerta, 20*20 e=60 mm-se instalará sobre una capa de mortero 1:4 de 4cm.</v>
          </cell>
          <cell r="E1023"/>
          <cell r="F1023"/>
          <cell r="G1023"/>
          <cell r="H1023"/>
          <cell r="I1023"/>
        </row>
        <row r="1024">
          <cell r="B1024" t="str">
            <v>PAR-10</v>
          </cell>
          <cell r="C1024"/>
          <cell r="D1024" t="str">
            <v>UNIDAD</v>
          </cell>
          <cell r="E1024" t="str">
            <v>m2</v>
          </cell>
          <cell r="F1024" t="str">
            <v>CANTIDAD</v>
          </cell>
          <cell r="G1024">
            <v>124</v>
          </cell>
          <cell r="H1024" t="str">
            <v>V. UNITARIO:</v>
          </cell>
          <cell r="I1024">
            <v>109657</v>
          </cell>
        </row>
        <row r="1025">
          <cell r="B1025"/>
          <cell r="C1025"/>
          <cell r="D1025"/>
          <cell r="E1025"/>
          <cell r="F1025"/>
          <cell r="G1025"/>
          <cell r="H1025"/>
          <cell r="I1025"/>
        </row>
        <row r="1026">
          <cell r="B1026"/>
          <cell r="C1026"/>
          <cell r="D1026"/>
          <cell r="E1026"/>
          <cell r="F1026" t="str">
            <v>Tarifa/Hora</v>
          </cell>
          <cell r="G1026" t="str">
            <v>Rendimiento</v>
          </cell>
          <cell r="H1026" t="str">
            <v>Valor-Unit.</v>
          </cell>
          <cell r="I1026"/>
        </row>
        <row r="1027">
          <cell r="B1027" t="str">
            <v>E007</v>
          </cell>
          <cell r="C1027"/>
          <cell r="D1027"/>
          <cell r="E1027"/>
          <cell r="F1027"/>
          <cell r="G1027"/>
          <cell r="H1027">
            <v>0</v>
          </cell>
          <cell r="I1027"/>
        </row>
        <row r="1028">
          <cell r="C1028"/>
          <cell r="D1028"/>
          <cell r="E1028"/>
          <cell r="F1028" t="str">
            <v>Sub-Total</v>
          </cell>
          <cell r="G1028" t="str">
            <v>4.5</v>
          </cell>
          <cell r="H1028" t="str">
            <v>EQUI-4.5</v>
          </cell>
          <cell r="I1028">
            <v>0</v>
          </cell>
        </row>
        <row r="1029">
          <cell r="B1029"/>
          <cell r="C1029"/>
          <cell r="D1029"/>
          <cell r="E1029"/>
          <cell r="F1029"/>
          <cell r="G1029"/>
          <cell r="H1029"/>
          <cell r="I1029"/>
        </row>
        <row r="1030">
          <cell r="B1030"/>
          <cell r="C1030"/>
          <cell r="D1030"/>
          <cell r="E1030" t="str">
            <v>UNIDAD</v>
          </cell>
          <cell r="F1030" t="str">
            <v>V.UNIT</v>
          </cell>
          <cell r="G1030" t="str">
            <v>CANT</v>
          </cell>
          <cell r="H1030" t="str">
            <v>V.TOTAL</v>
          </cell>
          <cell r="I1030"/>
        </row>
        <row r="1031">
          <cell r="B1031" t="str">
            <v>M036</v>
          </cell>
          <cell r="C1031" t="str">
            <v>tableta táctil alerta 20*20</v>
          </cell>
          <cell r="D1031"/>
          <cell r="E1031" t="str">
            <v>UN</v>
          </cell>
          <cell r="F1031">
            <v>2100</v>
          </cell>
          <cell r="G1031">
            <v>25</v>
          </cell>
          <cell r="H1031">
            <v>52500</v>
          </cell>
          <cell r="I1031"/>
        </row>
        <row r="1032">
          <cell r="B1032" t="str">
            <v>M013</v>
          </cell>
          <cell r="C1032" t="str">
            <v>Mortero 1:6 para pega y rebitada</v>
          </cell>
          <cell r="D1032"/>
          <cell r="E1032" t="str">
            <v>M3</v>
          </cell>
          <cell r="F1032">
            <v>403352</v>
          </cell>
          <cell r="G1032">
            <v>0.04</v>
          </cell>
          <cell r="H1032">
            <v>16134.08</v>
          </cell>
          <cell r="I1032"/>
        </row>
        <row r="1033">
          <cell r="C1033"/>
          <cell r="D1033"/>
          <cell r="E1033"/>
          <cell r="F1033" t="str">
            <v>Sub-Total</v>
          </cell>
          <cell r="G1033" t="str">
            <v>4.5</v>
          </cell>
          <cell r="H1033" t="str">
            <v>MAT-4.5</v>
          </cell>
          <cell r="I1033">
            <v>68634.080000000002</v>
          </cell>
        </row>
        <row r="1034">
          <cell r="B1034"/>
          <cell r="C1034"/>
          <cell r="D1034"/>
          <cell r="E1034"/>
          <cell r="F1034"/>
          <cell r="G1034"/>
          <cell r="H1034"/>
          <cell r="I1034"/>
        </row>
        <row r="1035">
          <cell r="B1035"/>
          <cell r="C1035"/>
          <cell r="D1035" t="str">
            <v xml:space="preserve">CAN </v>
          </cell>
          <cell r="E1035" t="str">
            <v>DISTANCIA</v>
          </cell>
          <cell r="F1035" t="str">
            <v>M3-Km / UN-KM</v>
          </cell>
          <cell r="G1035" t="str">
            <v>TARIFA</v>
          </cell>
          <cell r="H1035" t="str">
            <v>Valor-Unit.</v>
          </cell>
          <cell r="I1035"/>
        </row>
        <row r="1036">
          <cell r="B1036" t="str">
            <v>T007</v>
          </cell>
          <cell r="C1036" t="str">
            <v>trans int tableta-adoquin un</v>
          </cell>
          <cell r="D1036">
            <v>25</v>
          </cell>
          <cell r="E1036">
            <v>1</v>
          </cell>
          <cell r="F1036">
            <v>25</v>
          </cell>
          <cell r="G1036">
            <v>200</v>
          </cell>
          <cell r="H1036">
            <v>5000</v>
          </cell>
          <cell r="I1036"/>
        </row>
        <row r="1037">
          <cell r="C1037"/>
          <cell r="D1037"/>
          <cell r="E1037"/>
          <cell r="F1037" t="str">
            <v>Sub-Total</v>
          </cell>
          <cell r="G1037" t="str">
            <v>4.5</v>
          </cell>
          <cell r="H1037" t="str">
            <v>TRAN-4.5</v>
          </cell>
          <cell r="I1037">
            <v>5000</v>
          </cell>
        </row>
        <row r="1038">
          <cell r="B1038"/>
          <cell r="C1038"/>
          <cell r="D1038"/>
          <cell r="E1038"/>
          <cell r="F1038"/>
          <cell r="G1038"/>
          <cell r="H1038"/>
          <cell r="I1038"/>
        </row>
        <row r="1039">
          <cell r="B1039"/>
          <cell r="C1039"/>
          <cell r="D1039" t="str">
            <v>JORNAL-HORA</v>
          </cell>
          <cell r="E1039" t="str">
            <v>PRES</v>
          </cell>
          <cell r="F1039" t="str">
            <v>JORNAL TOTAL</v>
          </cell>
          <cell r="G1039" t="str">
            <v>RENDIEMIENTO</v>
          </cell>
          <cell r="H1039" t="str">
            <v>VALOR-UNIT</v>
          </cell>
          <cell r="I1039"/>
        </row>
        <row r="1040">
          <cell r="B1040" t="str">
            <v>MO004</v>
          </cell>
          <cell r="C1040" t="str">
            <v xml:space="preserve">oficial </v>
          </cell>
          <cell r="D1040">
            <v>12336.644836388892</v>
          </cell>
          <cell r="E1040"/>
          <cell r="F1040">
            <v>12336.644836388892</v>
          </cell>
          <cell r="G1040">
            <v>1</v>
          </cell>
          <cell r="H1040">
            <v>12336.644836388892</v>
          </cell>
          <cell r="I1040"/>
        </row>
        <row r="1041">
          <cell r="B1041" t="str">
            <v>MO006</v>
          </cell>
          <cell r="C1041" t="str">
            <v xml:space="preserve">ayudante </v>
          </cell>
          <cell r="D1041">
            <v>10336.644836388892</v>
          </cell>
          <cell r="E1041"/>
          <cell r="F1041">
            <v>10336.644836388892</v>
          </cell>
          <cell r="G1041">
            <v>2</v>
          </cell>
          <cell r="H1041">
            <v>20673.289672777784</v>
          </cell>
          <cell r="I1041"/>
        </row>
        <row r="1042">
          <cell r="B1042" t="str">
            <v>MO007</v>
          </cell>
          <cell r="C1042" t="str">
            <v>contra maestro</v>
          </cell>
          <cell r="D1042">
            <v>12974.601086388891</v>
          </cell>
          <cell r="E1042"/>
          <cell r="F1042">
            <v>12974.601086388891</v>
          </cell>
          <cell r="G1042">
            <v>0.1</v>
          </cell>
          <cell r="H1042">
            <v>1297.4601086388893</v>
          </cell>
          <cell r="I1042"/>
        </row>
        <row r="1043">
          <cell r="C1043"/>
          <cell r="D1043"/>
          <cell r="E1043"/>
          <cell r="F1043" t="str">
            <v>Sub-Total</v>
          </cell>
          <cell r="G1043" t="str">
            <v>4.5</v>
          </cell>
          <cell r="H1043" t="str">
            <v>MDEO-4.5</v>
          </cell>
          <cell r="I1043">
            <v>34307.394617805563</v>
          </cell>
        </row>
        <row r="1044">
          <cell r="C1044"/>
          <cell r="D1044"/>
          <cell r="E1044"/>
          <cell r="F1044"/>
          <cell r="G1044"/>
          <cell r="H1044"/>
          <cell r="I1044">
            <v>1715.3697308902783</v>
          </cell>
        </row>
        <row r="1045">
          <cell r="C1045"/>
          <cell r="D1045"/>
          <cell r="E1045"/>
          <cell r="F1045" t="str">
            <v>Total Costo Directo</v>
          </cell>
          <cell r="G1045"/>
          <cell r="H1045"/>
          <cell r="I1045">
            <v>109657</v>
          </cell>
        </row>
        <row r="1046">
          <cell r="B1046"/>
          <cell r="C1046"/>
          <cell r="D1046"/>
          <cell r="E1046"/>
          <cell r="F1046"/>
          <cell r="G1046"/>
          <cell r="H1046"/>
          <cell r="I1046"/>
        </row>
        <row r="1047">
          <cell r="B1047"/>
          <cell r="C1047"/>
          <cell r="D1047"/>
          <cell r="E1047"/>
          <cell r="F1047" t="str">
            <v>REVISA</v>
          </cell>
          <cell r="G1047"/>
          <cell r="H1047"/>
          <cell r="I1047"/>
        </row>
        <row r="1048">
          <cell r="B1048"/>
          <cell r="C1048"/>
          <cell r="D1048"/>
          <cell r="E1048"/>
          <cell r="F1048" t="str">
            <v>FIRMA:</v>
          </cell>
          <cell r="G1048"/>
          <cell r="H1048"/>
          <cell r="I1048"/>
        </row>
        <row r="1049">
          <cell r="B1049" t="str">
            <v>RAI ANDRE ESCOBAR FERIA</v>
          </cell>
          <cell r="C1049"/>
          <cell r="F1049" t="str">
            <v>NOMBRE</v>
          </cell>
          <cell r="G1049"/>
          <cell r="H1049"/>
          <cell r="I1049"/>
        </row>
        <row r="1050">
          <cell r="B1050" t="str">
            <v>M.P. 031037-0642230 BLV</v>
          </cell>
          <cell r="C1050"/>
          <cell r="F1050" t="str">
            <v>MAT:</v>
          </cell>
          <cell r="G1050"/>
          <cell r="H1050"/>
          <cell r="I1050"/>
        </row>
        <row r="1051">
          <cell r="B1051"/>
          <cell r="C1051"/>
          <cell r="F1051"/>
          <cell r="G1051"/>
          <cell r="H1051"/>
          <cell r="I1051"/>
        </row>
        <row r="1052">
          <cell r="B1052"/>
          <cell r="C1052"/>
          <cell r="D1052"/>
          <cell r="E1052"/>
          <cell r="F1052"/>
          <cell r="G1052"/>
          <cell r="H1052"/>
          <cell r="I1052"/>
        </row>
        <row r="1053">
          <cell r="B1053"/>
          <cell r="C1053"/>
          <cell r="D1053"/>
          <cell r="E1053"/>
          <cell r="F1053"/>
          <cell r="G1053"/>
          <cell r="H1053"/>
          <cell r="I1053"/>
        </row>
        <row r="1054">
          <cell r="B1054"/>
          <cell r="C1054"/>
          <cell r="D1054"/>
          <cell r="E1054"/>
          <cell r="F1054"/>
          <cell r="G1054"/>
          <cell r="H1054"/>
          <cell r="I1054"/>
        </row>
        <row r="1055">
          <cell r="I1055"/>
        </row>
        <row r="1056">
          <cell r="B1056"/>
          <cell r="C1056"/>
          <cell r="D1056"/>
          <cell r="E1056"/>
          <cell r="F1056"/>
          <cell r="G1056"/>
          <cell r="H1056"/>
          <cell r="I1056"/>
        </row>
        <row r="1057">
          <cell r="B1057" t="str">
            <v>4.6</v>
          </cell>
          <cell r="C1057" t="str">
            <v>DESCRIPCION:</v>
          </cell>
          <cell r="D1057" t="str">
            <v>construcción de concreto reforzado 21mpa para viga de cierre andenes, zonas verdes</v>
          </cell>
          <cell r="E1057"/>
          <cell r="F1057"/>
          <cell r="G1057"/>
          <cell r="H1057"/>
          <cell r="I1057"/>
        </row>
        <row r="1058">
          <cell r="B1058" t="str">
            <v>630-13A</v>
          </cell>
          <cell r="C1058"/>
          <cell r="D1058" t="str">
            <v>UNIDAD</v>
          </cell>
          <cell r="E1058" t="str">
            <v>M3</v>
          </cell>
          <cell r="F1058" t="str">
            <v>CANTIDAD</v>
          </cell>
          <cell r="G1058">
            <v>454</v>
          </cell>
          <cell r="H1058" t="str">
            <v>V. UNITARIO:</v>
          </cell>
          <cell r="I1058">
            <v>603900</v>
          </cell>
        </row>
        <row r="1059">
          <cell r="B1059"/>
          <cell r="C1059"/>
          <cell r="D1059"/>
          <cell r="E1059"/>
          <cell r="F1059"/>
          <cell r="G1059"/>
          <cell r="H1059"/>
          <cell r="I1059"/>
        </row>
        <row r="1060">
          <cell r="B1060"/>
          <cell r="C1060"/>
          <cell r="D1060"/>
          <cell r="E1060"/>
          <cell r="F1060" t="str">
            <v>Tarifa/Hora</v>
          </cell>
          <cell r="G1060" t="str">
            <v>Rendimiento</v>
          </cell>
          <cell r="H1060" t="str">
            <v>Valor-Unit.</v>
          </cell>
          <cell r="I1060"/>
        </row>
        <row r="1061">
          <cell r="B1061" t="str">
            <v>E027</v>
          </cell>
          <cell r="C1061" t="str">
            <v>vibrador de aguja</v>
          </cell>
          <cell r="D1061"/>
          <cell r="E1061"/>
          <cell r="F1061">
            <v>4375</v>
          </cell>
          <cell r="G1061">
            <v>1</v>
          </cell>
          <cell r="H1061">
            <v>4375</v>
          </cell>
          <cell r="I1061"/>
        </row>
        <row r="1062">
          <cell r="B1062" t="str">
            <v>E012</v>
          </cell>
          <cell r="C1062" t="str">
            <v>formaleta para bordillo/cuneta</v>
          </cell>
          <cell r="D1062"/>
          <cell r="E1062"/>
          <cell r="F1062">
            <v>2150</v>
          </cell>
          <cell r="G1062">
            <v>1</v>
          </cell>
          <cell r="H1062">
            <v>2150</v>
          </cell>
          <cell r="I1062"/>
        </row>
        <row r="1063">
          <cell r="C1063"/>
          <cell r="D1063"/>
          <cell r="E1063"/>
          <cell r="F1063" t="str">
            <v>Sub-Total</v>
          </cell>
          <cell r="G1063" t="str">
            <v>4.6</v>
          </cell>
          <cell r="H1063" t="str">
            <v>EQUI-4.6</v>
          </cell>
          <cell r="I1063">
            <v>6525</v>
          </cell>
        </row>
        <row r="1064">
          <cell r="B1064"/>
          <cell r="C1064"/>
          <cell r="D1064"/>
          <cell r="E1064"/>
          <cell r="F1064"/>
          <cell r="G1064"/>
          <cell r="H1064"/>
          <cell r="I1064"/>
        </row>
        <row r="1065">
          <cell r="B1065"/>
          <cell r="C1065"/>
          <cell r="D1065"/>
          <cell r="E1065" t="str">
            <v>UNIDAD</v>
          </cell>
          <cell r="F1065" t="str">
            <v>V.UNIT</v>
          </cell>
          <cell r="G1065" t="str">
            <v>CANT</v>
          </cell>
          <cell r="H1065" t="str">
            <v>V.TOTAL</v>
          </cell>
          <cell r="I1065"/>
        </row>
        <row r="1066">
          <cell r="B1066" t="str">
            <v>M007</v>
          </cell>
          <cell r="C1066" t="str">
            <v>Concreto 3000psi en obra</v>
          </cell>
          <cell r="D1066"/>
          <cell r="E1066" t="str">
            <v>M3</v>
          </cell>
          <cell r="F1066">
            <v>498450</v>
          </cell>
          <cell r="G1066">
            <v>1</v>
          </cell>
          <cell r="H1066">
            <v>498450</v>
          </cell>
          <cell r="I1066"/>
        </row>
        <row r="1067">
          <cell r="B1067" t="str">
            <v>M002</v>
          </cell>
          <cell r="C1067" t="str">
            <v>Acero  60000 psi</v>
          </cell>
          <cell r="D1067"/>
          <cell r="E1067" t="str">
            <v>KG</v>
          </cell>
          <cell r="F1067">
            <v>6913</v>
          </cell>
          <cell r="G1067">
            <v>45</v>
          </cell>
          <cell r="H1067"/>
          <cell r="I1067"/>
        </row>
        <row r="1068">
          <cell r="B1068" t="str">
            <v>M001</v>
          </cell>
          <cell r="C1068" t="str">
            <v>Alambre quemado</v>
          </cell>
          <cell r="D1068"/>
          <cell r="E1068" t="str">
            <v>KG</v>
          </cell>
          <cell r="F1068">
            <v>8321</v>
          </cell>
          <cell r="G1068">
            <v>0.04</v>
          </cell>
          <cell r="H1068">
            <v>332.84000000000003</v>
          </cell>
          <cell r="I1068"/>
        </row>
        <row r="1069">
          <cell r="C1069"/>
          <cell r="D1069"/>
          <cell r="E1069"/>
          <cell r="F1069" t="str">
            <v>Sub-Total</v>
          </cell>
          <cell r="G1069" t="str">
            <v>4.6</v>
          </cell>
          <cell r="H1069" t="str">
            <v>MAT-4.6</v>
          </cell>
          <cell r="I1069">
            <v>498782.84</v>
          </cell>
        </row>
        <row r="1070">
          <cell r="B1070"/>
          <cell r="C1070"/>
          <cell r="D1070"/>
          <cell r="E1070"/>
          <cell r="F1070"/>
          <cell r="G1070"/>
          <cell r="H1070"/>
          <cell r="I1070"/>
        </row>
        <row r="1071">
          <cell r="B1071"/>
          <cell r="C1071"/>
          <cell r="D1071" t="str">
            <v xml:space="preserve">CAN </v>
          </cell>
          <cell r="E1071" t="str">
            <v>DISTANCIA</v>
          </cell>
          <cell r="F1071" t="str">
            <v>M3-Km / UN-KM</v>
          </cell>
          <cell r="G1071" t="str">
            <v>TARIFA</v>
          </cell>
          <cell r="H1071" t="str">
            <v>Valor-Unit.</v>
          </cell>
          <cell r="I1071"/>
        </row>
        <row r="1072">
          <cell r="B1072" t="str">
            <v>T001</v>
          </cell>
          <cell r="C1072" t="str">
            <v>trans. Int. concreto m3</v>
          </cell>
          <cell r="D1072">
            <v>1</v>
          </cell>
          <cell r="E1072">
            <v>1</v>
          </cell>
          <cell r="F1072">
            <v>1</v>
          </cell>
          <cell r="G1072">
            <v>4000</v>
          </cell>
          <cell r="H1072">
            <v>4000</v>
          </cell>
          <cell r="I1072"/>
        </row>
        <row r="1073">
          <cell r="C1073"/>
          <cell r="D1073"/>
          <cell r="E1073"/>
          <cell r="F1073" t="str">
            <v>Sub-Total</v>
          </cell>
          <cell r="G1073" t="str">
            <v>4.6</v>
          </cell>
          <cell r="H1073" t="str">
            <v>TRAN-4.6</v>
          </cell>
          <cell r="I1073">
            <v>4000</v>
          </cell>
        </row>
        <row r="1074">
          <cell r="B1074"/>
          <cell r="C1074"/>
          <cell r="D1074"/>
          <cell r="E1074"/>
          <cell r="F1074"/>
          <cell r="G1074"/>
          <cell r="H1074"/>
          <cell r="I1074"/>
        </row>
        <row r="1075">
          <cell r="B1075"/>
          <cell r="C1075"/>
          <cell r="D1075" t="str">
            <v>JORNAL-HORA</v>
          </cell>
          <cell r="E1075" t="str">
            <v>PRES</v>
          </cell>
          <cell r="F1075" t="str">
            <v>JORNAL TOTAL</v>
          </cell>
          <cell r="G1075" t="str">
            <v>RENDIEMIENTO</v>
          </cell>
          <cell r="H1075" t="str">
            <v>VALOR-UNIT</v>
          </cell>
          <cell r="I1075"/>
        </row>
        <row r="1076">
          <cell r="B1076" t="str">
            <v>MO004</v>
          </cell>
          <cell r="C1076" t="str">
            <v xml:space="preserve">oficial </v>
          </cell>
          <cell r="D1076">
            <v>12336.644836388892</v>
          </cell>
          <cell r="E1076"/>
          <cell r="F1076">
            <v>12336.644836388892</v>
          </cell>
          <cell r="G1076">
            <v>2</v>
          </cell>
          <cell r="H1076">
            <v>24673.289672777784</v>
          </cell>
          <cell r="I1076"/>
        </row>
        <row r="1077">
          <cell r="B1077" t="str">
            <v>MO005</v>
          </cell>
          <cell r="C1077" t="str">
            <v xml:space="preserve">ayudante entendido </v>
          </cell>
          <cell r="D1077">
            <v>11136.644836388892</v>
          </cell>
          <cell r="E1077"/>
          <cell r="F1077">
            <v>11136.644836388892</v>
          </cell>
          <cell r="G1077">
            <v>1</v>
          </cell>
          <cell r="H1077">
            <v>11136.644836388892</v>
          </cell>
          <cell r="I1077"/>
        </row>
        <row r="1078">
          <cell r="B1078" t="str">
            <v>MO006</v>
          </cell>
          <cell r="C1078" t="str">
            <v xml:space="preserve">ayudante </v>
          </cell>
          <cell r="D1078">
            <v>10336.644836388892</v>
          </cell>
          <cell r="E1078"/>
          <cell r="F1078">
            <v>10336.644836388892</v>
          </cell>
          <cell r="G1078">
            <v>5</v>
          </cell>
          <cell r="H1078">
            <v>51683.224181944461</v>
          </cell>
          <cell r="I1078"/>
        </row>
        <row r="1079">
          <cell r="B1079" t="str">
            <v>MO007</v>
          </cell>
          <cell r="C1079" t="str">
            <v>contra maestro</v>
          </cell>
          <cell r="D1079">
            <v>12974.601086388891</v>
          </cell>
          <cell r="E1079"/>
          <cell r="F1079">
            <v>12974.601086388891</v>
          </cell>
          <cell r="G1079">
            <v>0.2</v>
          </cell>
          <cell r="H1079">
            <v>2594.9202172777786</v>
          </cell>
          <cell r="I1079"/>
        </row>
        <row r="1080">
          <cell r="C1080"/>
          <cell r="D1080"/>
          <cell r="E1080"/>
          <cell r="F1080" t="str">
            <v>Sub-Total</v>
          </cell>
          <cell r="G1080" t="str">
            <v>4.6</v>
          </cell>
          <cell r="H1080" t="str">
            <v>MDEO-4.6</v>
          </cell>
          <cell r="I1080">
            <v>90088.07890838891</v>
          </cell>
        </row>
        <row r="1081">
          <cell r="C1081"/>
          <cell r="D1081"/>
          <cell r="E1081"/>
          <cell r="F1081"/>
          <cell r="G1081"/>
          <cell r="H1081"/>
          <cell r="I1081">
            <v>4504.4039454194453</v>
          </cell>
        </row>
        <row r="1082">
          <cell r="C1082"/>
          <cell r="D1082"/>
          <cell r="E1082"/>
          <cell r="F1082" t="str">
            <v>Total Costo Directo</v>
          </cell>
          <cell r="G1082"/>
          <cell r="H1082"/>
          <cell r="I1082">
            <v>603900</v>
          </cell>
        </row>
        <row r="1083">
          <cell r="B1083"/>
          <cell r="C1083"/>
          <cell r="D1083"/>
          <cell r="E1083"/>
          <cell r="F1083"/>
          <cell r="G1083"/>
          <cell r="H1083"/>
          <cell r="I1083"/>
        </row>
        <row r="1084">
          <cell r="B1084"/>
          <cell r="C1084"/>
          <cell r="D1084"/>
          <cell r="E1084"/>
          <cell r="F1084" t="str">
            <v>REVISA</v>
          </cell>
          <cell r="G1084"/>
          <cell r="H1084"/>
          <cell r="I1084"/>
        </row>
        <row r="1085">
          <cell r="B1085"/>
          <cell r="C1085"/>
          <cell r="D1085"/>
          <cell r="E1085"/>
          <cell r="F1085" t="str">
            <v>FIRMA:</v>
          </cell>
          <cell r="G1085"/>
          <cell r="H1085"/>
          <cell r="I1085"/>
        </row>
        <row r="1086">
          <cell r="B1086" t="str">
            <v>RAI ANDRE ESCOBAR FERIA</v>
          </cell>
          <cell r="C1086"/>
          <cell r="F1086" t="str">
            <v>NOMBRE</v>
          </cell>
          <cell r="G1086"/>
          <cell r="H1086"/>
          <cell r="I1086"/>
        </row>
        <row r="1087">
          <cell r="B1087" t="str">
            <v>M.P. 031037-0642230 BLV</v>
          </cell>
          <cell r="C1087"/>
          <cell r="F1087" t="str">
            <v>MAT:</v>
          </cell>
          <cell r="G1087"/>
          <cell r="H1087"/>
          <cell r="I1087"/>
        </row>
        <row r="1088">
          <cell r="B1088"/>
          <cell r="C1088"/>
          <cell r="F1088"/>
          <cell r="G1088"/>
          <cell r="H1088"/>
          <cell r="I1088"/>
        </row>
        <row r="1089">
          <cell r="B1089"/>
          <cell r="C1089"/>
          <cell r="D1089"/>
          <cell r="E1089"/>
          <cell r="F1089"/>
          <cell r="G1089"/>
          <cell r="H1089"/>
          <cell r="I1089"/>
        </row>
        <row r="1090">
          <cell r="B1090"/>
          <cell r="C1090"/>
          <cell r="D1090"/>
          <cell r="E1090"/>
          <cell r="F1090"/>
          <cell r="G1090"/>
          <cell r="H1090"/>
          <cell r="I1090"/>
        </row>
        <row r="1091">
          <cell r="B1091"/>
          <cell r="C1091"/>
          <cell r="D1091"/>
          <cell r="E1091"/>
          <cell r="F1091"/>
          <cell r="G1091"/>
          <cell r="H1091"/>
          <cell r="I1091"/>
        </row>
        <row r="1092">
          <cell r="B1092"/>
          <cell r="C1092"/>
          <cell r="D1092"/>
          <cell r="E1092"/>
          <cell r="F1092"/>
          <cell r="G1092"/>
          <cell r="H1092"/>
          <cell r="I1092"/>
        </row>
        <row r="1093">
          <cell r="B1093" t="str">
            <v>4.7</v>
          </cell>
          <cell r="C1093" t="str">
            <v>DESCRIPCION:</v>
          </cell>
          <cell r="D1093" t="str">
            <v>suministro e instalación y transporte de señal vertical lamina galvanizada en Angulo, reflectivo norma invias</v>
          </cell>
          <cell r="E1093"/>
          <cell r="F1093"/>
          <cell r="G1093"/>
          <cell r="H1093"/>
          <cell r="I1093"/>
        </row>
        <row r="1094">
          <cell r="B1094" t="str">
            <v>PAR-22</v>
          </cell>
          <cell r="C1094"/>
          <cell r="D1094" t="str">
            <v>UNIDAD</v>
          </cell>
          <cell r="E1094" t="str">
            <v>UNIDAD</v>
          </cell>
          <cell r="F1094" t="str">
            <v>CANTIDAD</v>
          </cell>
          <cell r="G1094">
            <v>422</v>
          </cell>
          <cell r="H1094" t="str">
            <v>V. UNITARIO:</v>
          </cell>
          <cell r="I1094">
            <v>508860</v>
          </cell>
        </row>
        <row r="1095">
          <cell r="B1095"/>
          <cell r="C1095"/>
          <cell r="D1095"/>
          <cell r="E1095"/>
          <cell r="F1095"/>
          <cell r="G1095"/>
          <cell r="H1095"/>
          <cell r="I1095"/>
        </row>
        <row r="1096">
          <cell r="B1096"/>
          <cell r="C1096"/>
          <cell r="D1096"/>
          <cell r="E1096"/>
          <cell r="F1096" t="str">
            <v>Tarifa/Hora</v>
          </cell>
          <cell r="G1096" t="str">
            <v>Rendimiento</v>
          </cell>
          <cell r="H1096" t="str">
            <v>Valor-Unit.</v>
          </cell>
          <cell r="I1096"/>
        </row>
        <row r="1097">
          <cell r="B1097" t="str">
            <v>E018</v>
          </cell>
          <cell r="C1097"/>
          <cell r="D1097"/>
          <cell r="E1097"/>
          <cell r="F1097"/>
          <cell r="G1097"/>
          <cell r="H1097"/>
          <cell r="I1097"/>
        </row>
        <row r="1098">
          <cell r="C1098"/>
          <cell r="D1098"/>
          <cell r="E1098"/>
          <cell r="F1098" t="str">
            <v>Sub-Total</v>
          </cell>
          <cell r="G1098" t="str">
            <v>4.7</v>
          </cell>
          <cell r="H1098" t="str">
            <v>EQUI-4.7</v>
          </cell>
          <cell r="I1098">
            <v>0</v>
          </cell>
        </row>
        <row r="1099">
          <cell r="B1099"/>
          <cell r="C1099"/>
          <cell r="D1099"/>
          <cell r="E1099"/>
          <cell r="F1099"/>
          <cell r="G1099"/>
          <cell r="H1099"/>
          <cell r="I1099"/>
        </row>
        <row r="1100">
          <cell r="B1100"/>
          <cell r="C1100"/>
          <cell r="D1100"/>
          <cell r="E1100" t="str">
            <v>UNIDAD</v>
          </cell>
          <cell r="F1100" t="str">
            <v>V.UNIT</v>
          </cell>
          <cell r="G1100" t="str">
            <v>CANT</v>
          </cell>
          <cell r="H1100" t="str">
            <v>V.TOTAL</v>
          </cell>
          <cell r="I1100"/>
        </row>
        <row r="1101">
          <cell r="B1101" t="str">
            <v>M007</v>
          </cell>
          <cell r="C1101" t="str">
            <v>Concreto 3000psi en obra</v>
          </cell>
          <cell r="D1101"/>
          <cell r="E1101" t="str">
            <v>M3</v>
          </cell>
          <cell r="F1101">
            <v>498450</v>
          </cell>
          <cell r="G1101">
            <v>5.3999999999999999E-2</v>
          </cell>
          <cell r="H1101">
            <v>26916.3</v>
          </cell>
          <cell r="I1101"/>
        </row>
        <row r="1102">
          <cell r="B1102" t="str">
            <v>M029</v>
          </cell>
          <cell r="C1102" t="str">
            <v>señal vertical</v>
          </cell>
          <cell r="D1102"/>
          <cell r="E1102" t="str">
            <v>un</v>
          </cell>
          <cell r="F1102">
            <v>410000</v>
          </cell>
          <cell r="G1102">
            <v>1</v>
          </cell>
          <cell r="H1102">
            <v>410000</v>
          </cell>
          <cell r="I1102"/>
        </row>
        <row r="1103">
          <cell r="C1103"/>
          <cell r="D1103"/>
          <cell r="E1103"/>
          <cell r="F1103" t="str">
            <v>Sub-Total</v>
          </cell>
          <cell r="G1103" t="str">
            <v>4.7</v>
          </cell>
          <cell r="H1103" t="str">
            <v>MAT-4.7</v>
          </cell>
          <cell r="I1103">
            <v>436916.3</v>
          </cell>
        </row>
        <row r="1104">
          <cell r="B1104"/>
          <cell r="C1104"/>
          <cell r="D1104"/>
          <cell r="E1104"/>
          <cell r="F1104"/>
          <cell r="G1104"/>
          <cell r="H1104"/>
          <cell r="I1104"/>
        </row>
        <row r="1105">
          <cell r="B1105"/>
          <cell r="C1105"/>
          <cell r="D1105" t="str">
            <v xml:space="preserve">CAN </v>
          </cell>
          <cell r="E1105" t="str">
            <v>DISTANCIA</v>
          </cell>
          <cell r="F1105" t="str">
            <v>M3-Km / UN-KM</v>
          </cell>
          <cell r="G1105" t="str">
            <v>TARIFA</v>
          </cell>
          <cell r="H1105" t="str">
            <v>Valor-Unit.</v>
          </cell>
          <cell r="I1105"/>
        </row>
        <row r="1106">
          <cell r="B1106" t="str">
            <v>T001</v>
          </cell>
          <cell r="C1106" t="str">
            <v>trans. Int. concreto m3</v>
          </cell>
          <cell r="D1106">
            <v>5.3999999999999999E-2</v>
          </cell>
          <cell r="E1106">
            <v>1</v>
          </cell>
          <cell r="F1106">
            <v>5.3999999999999999E-2</v>
          </cell>
          <cell r="G1106">
            <v>4000</v>
          </cell>
          <cell r="H1106">
            <v>216</v>
          </cell>
          <cell r="I1106"/>
        </row>
        <row r="1107">
          <cell r="B1107"/>
          <cell r="C1107"/>
          <cell r="D1107"/>
          <cell r="E1107"/>
          <cell r="F1107"/>
          <cell r="G1107"/>
          <cell r="H1107"/>
          <cell r="I1107"/>
        </row>
        <row r="1108">
          <cell r="C1108"/>
          <cell r="D1108"/>
          <cell r="E1108"/>
          <cell r="F1108" t="str">
            <v>Sub-Total</v>
          </cell>
          <cell r="G1108" t="str">
            <v>4.7</v>
          </cell>
          <cell r="H1108" t="str">
            <v>TRAN-4.7</v>
          </cell>
          <cell r="I1108">
            <v>216</v>
          </cell>
        </row>
        <row r="1109">
          <cell r="B1109"/>
          <cell r="C1109"/>
          <cell r="D1109"/>
          <cell r="E1109"/>
          <cell r="F1109"/>
          <cell r="G1109"/>
          <cell r="H1109"/>
          <cell r="I1109"/>
        </row>
        <row r="1110">
          <cell r="B1110"/>
          <cell r="C1110"/>
          <cell r="D1110" t="str">
            <v>JORNAL-HORA</v>
          </cell>
          <cell r="E1110" t="str">
            <v>PRES</v>
          </cell>
          <cell r="F1110" t="str">
            <v>JORNAL TOTAL</v>
          </cell>
          <cell r="G1110" t="str">
            <v>RENDIEMIENTO</v>
          </cell>
          <cell r="H1110" t="str">
            <v>VALOR-UNIT</v>
          </cell>
          <cell r="I1110"/>
        </row>
        <row r="1111">
          <cell r="B1111" t="str">
            <v>MO005</v>
          </cell>
          <cell r="C1111" t="str">
            <v xml:space="preserve">ayudante entendido </v>
          </cell>
          <cell r="D1111">
            <v>11136.644836388892</v>
          </cell>
          <cell r="E1111"/>
          <cell r="F1111">
            <v>11136.644836388892</v>
          </cell>
          <cell r="G1111">
            <v>3</v>
          </cell>
          <cell r="H1111">
            <v>33409.934509166676</v>
          </cell>
          <cell r="I1111"/>
        </row>
        <row r="1112">
          <cell r="B1112" t="str">
            <v>MO006</v>
          </cell>
          <cell r="C1112" t="str">
            <v xml:space="preserve">ayudante </v>
          </cell>
          <cell r="D1112">
            <v>10336.644836388892</v>
          </cell>
          <cell r="E1112"/>
          <cell r="F1112">
            <v>10336.644836388892</v>
          </cell>
          <cell r="G1112">
            <v>3</v>
          </cell>
          <cell r="H1112">
            <v>31009.934509166676</v>
          </cell>
          <cell r="I1112"/>
        </row>
        <row r="1113">
          <cell r="B1113" t="str">
            <v>MO007</v>
          </cell>
          <cell r="C1113" t="str">
            <v>contra maestro</v>
          </cell>
          <cell r="D1113">
            <v>12974.601086388891</v>
          </cell>
          <cell r="E1113"/>
          <cell r="F1113">
            <v>12974.601086388891</v>
          </cell>
          <cell r="G1113">
            <v>0.30000000000000004</v>
          </cell>
          <cell r="H1113">
            <v>3892.380325916668</v>
          </cell>
          <cell r="I1113"/>
        </row>
        <row r="1114">
          <cell r="B1114"/>
          <cell r="C1114"/>
          <cell r="D1114"/>
          <cell r="E1114"/>
          <cell r="F1114"/>
          <cell r="G1114"/>
          <cell r="H1114"/>
          <cell r="I1114"/>
        </row>
        <row r="1115">
          <cell r="B1115"/>
          <cell r="C1115"/>
          <cell r="D1115"/>
          <cell r="E1115"/>
          <cell r="F1115"/>
          <cell r="G1115"/>
          <cell r="H1115"/>
          <cell r="I1115"/>
        </row>
        <row r="1116">
          <cell r="B1116"/>
          <cell r="C1116"/>
          <cell r="D1116"/>
          <cell r="E1116"/>
          <cell r="F1116"/>
          <cell r="G1116"/>
          <cell r="H1116"/>
          <cell r="I1116"/>
        </row>
        <row r="1117">
          <cell r="C1117"/>
          <cell r="D1117"/>
          <cell r="E1117"/>
          <cell r="F1117" t="str">
            <v>Sub-Total</v>
          </cell>
          <cell r="G1117" t="str">
            <v>4.7</v>
          </cell>
          <cell r="H1117" t="str">
            <v>MDEO-4.7</v>
          </cell>
          <cell r="I1117">
            <v>68312.249344250027</v>
          </cell>
        </row>
        <row r="1118">
          <cell r="C1118"/>
          <cell r="D1118"/>
          <cell r="E1118"/>
          <cell r="F1118"/>
          <cell r="G1118"/>
          <cell r="H1118"/>
          <cell r="I1118">
            <v>3415.6124672125015</v>
          </cell>
        </row>
        <row r="1119">
          <cell r="C1119"/>
          <cell r="D1119"/>
          <cell r="E1119"/>
          <cell r="F1119" t="str">
            <v>Total Costo Directo</v>
          </cell>
          <cell r="G1119"/>
          <cell r="H1119"/>
          <cell r="I1119">
            <v>508860</v>
          </cell>
        </row>
        <row r="1120">
          <cell r="B1120"/>
          <cell r="C1120"/>
          <cell r="D1120"/>
          <cell r="E1120"/>
          <cell r="F1120"/>
          <cell r="G1120"/>
          <cell r="H1120"/>
          <cell r="I1120"/>
        </row>
        <row r="1121">
          <cell r="B1121"/>
          <cell r="C1121"/>
          <cell r="D1121"/>
          <cell r="E1121"/>
          <cell r="F1121" t="str">
            <v>REVISA</v>
          </cell>
          <cell r="G1121"/>
          <cell r="H1121"/>
          <cell r="I1121"/>
        </row>
        <row r="1122">
          <cell r="B1122"/>
          <cell r="C1122"/>
          <cell r="D1122"/>
          <cell r="E1122"/>
          <cell r="F1122" t="str">
            <v>FIRMA:</v>
          </cell>
          <cell r="G1122"/>
          <cell r="H1122"/>
          <cell r="I1122"/>
        </row>
        <row r="1123">
          <cell r="B1123" t="str">
            <v>RAI ANDRE ESCOBAR FERIA</v>
          </cell>
          <cell r="C1123"/>
          <cell r="F1123" t="str">
            <v>NOMBRE</v>
          </cell>
          <cell r="G1123"/>
          <cell r="H1123"/>
          <cell r="I1123"/>
        </row>
        <row r="1124">
          <cell r="B1124" t="str">
            <v>M.P. 031037-0642230 BLV</v>
          </cell>
          <cell r="C1124"/>
          <cell r="F1124" t="str">
            <v>MAT:</v>
          </cell>
          <cell r="G1124"/>
          <cell r="H1124"/>
          <cell r="I1124"/>
        </row>
        <row r="1125">
          <cell r="B1125"/>
          <cell r="C1125"/>
          <cell r="F1125"/>
          <cell r="G1125"/>
          <cell r="H1125"/>
          <cell r="I1125"/>
        </row>
        <row r="1126">
          <cell r="B1126"/>
          <cell r="C1126"/>
          <cell r="D1126"/>
          <cell r="E1126"/>
          <cell r="F1126"/>
          <cell r="G1126"/>
          <cell r="H1126"/>
          <cell r="I1126"/>
        </row>
        <row r="1127">
          <cell r="B1127"/>
          <cell r="C1127"/>
          <cell r="D1127"/>
          <cell r="E1127"/>
          <cell r="F1127"/>
          <cell r="G1127"/>
          <cell r="H1127"/>
          <cell r="I1127"/>
        </row>
        <row r="1128"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B1129" t="str">
            <v>aux-1</v>
          </cell>
          <cell r="C1129" t="str">
            <v>DESCRIPCION:</v>
          </cell>
          <cell r="D1129" t="str">
            <v>Concreto 3000 Psi</v>
          </cell>
          <cell r="E1129"/>
          <cell r="F1129"/>
          <cell r="G1129"/>
          <cell r="H1129"/>
          <cell r="I1129"/>
        </row>
        <row r="1130">
          <cell r="B1130" t="e">
            <v>#N/A</v>
          </cell>
          <cell r="C1130"/>
          <cell r="D1130" t="str">
            <v>UNIDAD</v>
          </cell>
          <cell r="E1130" t="str">
            <v>m3</v>
          </cell>
          <cell r="F1130" t="str">
            <v>CANTIDAD</v>
          </cell>
          <cell r="G1130">
            <v>1</v>
          </cell>
          <cell r="H1130" t="str">
            <v>V. UNITARIO:</v>
          </cell>
          <cell r="I1130">
            <v>498450</v>
          </cell>
        </row>
        <row r="1131">
          <cell r="B1131"/>
          <cell r="C1131"/>
          <cell r="D1131"/>
          <cell r="E1131"/>
          <cell r="F1131"/>
          <cell r="G1131"/>
          <cell r="H1131"/>
          <cell r="I1131"/>
        </row>
        <row r="1132">
          <cell r="B1132"/>
          <cell r="C1132"/>
          <cell r="D1132"/>
          <cell r="E1132"/>
          <cell r="F1132" t="str">
            <v>Tarifa/Hora</v>
          </cell>
          <cell r="G1132" t="str">
            <v>Rendimiento</v>
          </cell>
          <cell r="H1132" t="str">
            <v>Valor-Unit.</v>
          </cell>
          <cell r="I1132"/>
        </row>
        <row r="1133">
          <cell r="B1133" t="str">
            <v>E015</v>
          </cell>
          <cell r="C1133" t="str">
            <v>Concretadora 2 sacos ACPM</v>
          </cell>
          <cell r="D1133"/>
          <cell r="E1133"/>
          <cell r="F1133">
            <v>6875</v>
          </cell>
          <cell r="G1133">
            <v>1.33</v>
          </cell>
          <cell r="H1133">
            <v>9143.75</v>
          </cell>
          <cell r="I1133"/>
        </row>
        <row r="1134">
          <cell r="C1134"/>
          <cell r="D1134"/>
          <cell r="E1134"/>
          <cell r="F1134" t="str">
            <v>Sub-Total</v>
          </cell>
          <cell r="G1134" t="str">
            <v>aux-1</v>
          </cell>
          <cell r="H1134" t="str">
            <v>EQUI-4.7</v>
          </cell>
          <cell r="I1134">
            <v>9143.75</v>
          </cell>
        </row>
        <row r="1135">
          <cell r="B1135"/>
          <cell r="C1135"/>
          <cell r="D1135"/>
          <cell r="E1135"/>
          <cell r="F1135"/>
          <cell r="G1135"/>
          <cell r="H1135"/>
          <cell r="I1135"/>
        </row>
        <row r="1136">
          <cell r="B1136"/>
          <cell r="C1136"/>
          <cell r="D1136"/>
          <cell r="E1136" t="str">
            <v>UNIDAD</v>
          </cell>
          <cell r="F1136" t="str">
            <v>V.UNIT</v>
          </cell>
          <cell r="G1136" t="str">
            <v>CANT</v>
          </cell>
          <cell r="H1136" t="str">
            <v>V.TOTAL</v>
          </cell>
          <cell r="I1136"/>
        </row>
        <row r="1137">
          <cell r="B1137" t="str">
            <v>M005</v>
          </cell>
          <cell r="C1137" t="str">
            <v>Cemento gris</v>
          </cell>
          <cell r="D1137"/>
          <cell r="E1137" t="str">
            <v>SACO</v>
          </cell>
          <cell r="F1137">
            <v>32700</v>
          </cell>
          <cell r="G1137">
            <v>7.7000000000000011</v>
          </cell>
          <cell r="H1137">
            <v>251790.00000000003</v>
          </cell>
          <cell r="I1137"/>
        </row>
        <row r="1138">
          <cell r="B1138" t="str">
            <v>M004</v>
          </cell>
          <cell r="C1138" t="str">
            <v>Arena para concreto</v>
          </cell>
          <cell r="D1138"/>
          <cell r="E1138" t="str">
            <v>M3</v>
          </cell>
          <cell r="F1138">
            <v>40460</v>
          </cell>
          <cell r="G1138">
            <v>0.60500000000000009</v>
          </cell>
          <cell r="H1138">
            <v>24478.300000000003</v>
          </cell>
          <cell r="I1138"/>
        </row>
        <row r="1139">
          <cell r="B1139" t="str">
            <v>M015</v>
          </cell>
          <cell r="C1139" t="str">
            <v>Triturado 3/4"</v>
          </cell>
          <cell r="D1139"/>
          <cell r="E1139" t="str">
            <v>M3</v>
          </cell>
          <cell r="F1139">
            <v>42800</v>
          </cell>
          <cell r="G1139">
            <v>0.92400000000000004</v>
          </cell>
          <cell r="H1139">
            <v>39547.200000000004</v>
          </cell>
          <cell r="I1139"/>
        </row>
        <row r="1140">
          <cell r="B1140" t="str">
            <v>M002</v>
          </cell>
          <cell r="C1140" t="str">
            <v>agua</v>
          </cell>
          <cell r="D1140"/>
          <cell r="E1140" t="str">
            <v>M3</v>
          </cell>
          <cell r="F1140">
            <v>2750</v>
          </cell>
          <cell r="G1140">
            <v>0.18700000000000003</v>
          </cell>
          <cell r="H1140">
            <v>514.25000000000011</v>
          </cell>
          <cell r="I1140"/>
        </row>
        <row r="1141">
          <cell r="C1141"/>
          <cell r="D1141"/>
          <cell r="E1141"/>
          <cell r="F1141" t="str">
            <v>Sub-Total</v>
          </cell>
          <cell r="G1141" t="str">
            <v>aux-1</v>
          </cell>
          <cell r="H1141" t="str">
            <v>MAT-4.7</v>
          </cell>
          <cell r="I1141">
            <v>316329.75000000006</v>
          </cell>
        </row>
        <row r="1142">
          <cell r="B1142"/>
          <cell r="C1142"/>
          <cell r="D1142"/>
          <cell r="E1142"/>
          <cell r="F1142"/>
          <cell r="G1142"/>
          <cell r="H1142"/>
          <cell r="I1142"/>
        </row>
        <row r="1143">
          <cell r="B1143"/>
          <cell r="C1143"/>
          <cell r="D1143" t="str">
            <v xml:space="preserve">CAN </v>
          </cell>
          <cell r="E1143" t="str">
            <v>DISTANCIA</v>
          </cell>
          <cell r="F1143" t="str">
            <v>M3-Km / UN-KM</v>
          </cell>
          <cell r="G1143" t="str">
            <v>TARIFA</v>
          </cell>
          <cell r="H1143" t="str">
            <v>Valor-Unit.</v>
          </cell>
          <cell r="I1143"/>
        </row>
        <row r="1144">
          <cell r="B1144" t="str">
            <v>T008</v>
          </cell>
          <cell r="C1144" t="str">
            <v>trans material &gt; 10 km</v>
          </cell>
          <cell r="D1144">
            <v>1.5290000000000001</v>
          </cell>
          <cell r="E1144">
            <v>55</v>
          </cell>
          <cell r="F1144">
            <v>84.095000000000013</v>
          </cell>
          <cell r="G1144">
            <v>980</v>
          </cell>
          <cell r="H1144">
            <v>82413.100000000006</v>
          </cell>
          <cell r="I1144"/>
        </row>
        <row r="1145">
          <cell r="B1145" t="str">
            <v>T003</v>
          </cell>
          <cell r="C1145" t="str">
            <v>trans agua 0-5km</v>
          </cell>
          <cell r="D1145">
            <v>0.18700000000000003</v>
          </cell>
          <cell r="E1145">
            <v>5</v>
          </cell>
          <cell r="F1145">
            <v>0.93500000000000016</v>
          </cell>
          <cell r="G1145">
            <v>1095</v>
          </cell>
          <cell r="H1145">
            <v>1023.8250000000002</v>
          </cell>
          <cell r="I1145"/>
        </row>
        <row r="1146">
          <cell r="C1146"/>
          <cell r="D1146"/>
          <cell r="E1146"/>
          <cell r="F1146" t="str">
            <v>Sub-Total</v>
          </cell>
          <cell r="G1146" t="str">
            <v>aux-1</v>
          </cell>
          <cell r="H1146" t="str">
            <v>TRAN-4.7</v>
          </cell>
          <cell r="I1146">
            <v>83436.925000000003</v>
          </cell>
        </row>
        <row r="1147">
          <cell r="B1147"/>
          <cell r="C1147"/>
          <cell r="D1147"/>
          <cell r="E1147"/>
          <cell r="F1147"/>
          <cell r="G1147"/>
          <cell r="H1147"/>
          <cell r="I1147"/>
        </row>
        <row r="1148">
          <cell r="B1148"/>
          <cell r="C1148"/>
          <cell r="D1148" t="str">
            <v>JORNAL-HORA</v>
          </cell>
          <cell r="E1148" t="str">
            <v>PRES</v>
          </cell>
          <cell r="F1148" t="str">
            <v>JORNAL TOTAL</v>
          </cell>
          <cell r="G1148" t="str">
            <v>RENDIEMIENTO</v>
          </cell>
          <cell r="H1148" t="str">
            <v>VALOR-UNIT</v>
          </cell>
          <cell r="I1148"/>
        </row>
        <row r="1149">
          <cell r="B1149" t="str">
            <v>MO005</v>
          </cell>
          <cell r="C1149" t="str">
            <v xml:space="preserve">ayudante entendido </v>
          </cell>
          <cell r="D1149">
            <v>11136.644836388892</v>
          </cell>
          <cell r="E1149"/>
          <cell r="F1149">
            <v>11136.644836388892</v>
          </cell>
          <cell r="G1149">
            <v>1.33</v>
          </cell>
          <cell r="H1149">
            <v>14811.737632397228</v>
          </cell>
          <cell r="I1149"/>
        </row>
        <row r="1150">
          <cell r="B1150" t="str">
            <v>MO006</v>
          </cell>
          <cell r="C1150" t="str">
            <v xml:space="preserve">ayudante </v>
          </cell>
          <cell r="D1150">
            <v>10336.644836388892</v>
          </cell>
          <cell r="E1150"/>
          <cell r="F1150">
            <v>10336.644836388892</v>
          </cell>
          <cell r="G1150">
            <v>6.65</v>
          </cell>
          <cell r="H1150">
            <v>68738.688161986138</v>
          </cell>
          <cell r="I1150"/>
        </row>
        <row r="1151">
          <cell r="B1151" t="str">
            <v>MO007</v>
          </cell>
          <cell r="C1151" t="str">
            <v>contra maestro</v>
          </cell>
          <cell r="D1151">
            <v>12974.601086388891</v>
          </cell>
          <cell r="E1151"/>
          <cell r="F1151">
            <v>12974.601086388891</v>
          </cell>
          <cell r="G1151">
            <v>0.13300000000000001</v>
          </cell>
          <cell r="H1151">
            <v>1725.6219444897226</v>
          </cell>
          <cell r="I1151"/>
        </row>
        <row r="1152">
          <cell r="B1152"/>
          <cell r="C1152"/>
          <cell r="D1152"/>
          <cell r="E1152"/>
          <cell r="F1152"/>
          <cell r="G1152"/>
          <cell r="H1152"/>
          <cell r="I1152"/>
        </row>
        <row r="1153">
          <cell r="B1153"/>
          <cell r="C1153"/>
          <cell r="D1153"/>
          <cell r="E1153"/>
          <cell r="F1153"/>
          <cell r="G1153"/>
          <cell r="H1153"/>
          <cell r="I1153"/>
        </row>
        <row r="1154">
          <cell r="B1154"/>
          <cell r="C1154"/>
          <cell r="D1154"/>
          <cell r="E1154"/>
          <cell r="F1154"/>
          <cell r="G1154"/>
          <cell r="H1154"/>
          <cell r="I1154"/>
        </row>
        <row r="1155">
          <cell r="C1155"/>
          <cell r="D1155"/>
          <cell r="E1155"/>
          <cell r="F1155" t="str">
            <v>Sub-Total</v>
          </cell>
          <cell r="G1155" t="str">
            <v>aux-1</v>
          </cell>
          <cell r="H1155" t="str">
            <v>MDEO-4.7</v>
          </cell>
          <cell r="I1155">
            <v>85276.047738873094</v>
          </cell>
        </row>
        <row r="1156">
          <cell r="C1156"/>
          <cell r="D1156"/>
          <cell r="E1156"/>
          <cell r="F1156"/>
          <cell r="G1156"/>
          <cell r="H1156"/>
          <cell r="I1156">
            <v>4263.8023869436547</v>
          </cell>
        </row>
        <row r="1157">
          <cell r="C1157"/>
          <cell r="D1157"/>
          <cell r="E1157"/>
          <cell r="F1157" t="str">
            <v>Total Costo Directo</v>
          </cell>
          <cell r="G1157"/>
          <cell r="H1157"/>
          <cell r="I1157">
            <v>498450</v>
          </cell>
        </row>
        <row r="1158">
          <cell r="B1158"/>
          <cell r="C1158"/>
          <cell r="D1158"/>
          <cell r="E1158"/>
          <cell r="F1158"/>
          <cell r="G1158"/>
          <cell r="H1158"/>
          <cell r="I1158"/>
        </row>
        <row r="1159">
          <cell r="B1159"/>
          <cell r="C1159"/>
          <cell r="D1159"/>
          <cell r="E1159"/>
          <cell r="F1159" t="str">
            <v>REVISA</v>
          </cell>
          <cell r="G1159"/>
          <cell r="H1159"/>
          <cell r="I1159"/>
        </row>
        <row r="1160">
          <cell r="B1160"/>
          <cell r="C1160"/>
          <cell r="D1160"/>
          <cell r="E1160"/>
          <cell r="F1160" t="str">
            <v>FIRMA:</v>
          </cell>
          <cell r="G1160"/>
          <cell r="H1160"/>
          <cell r="I1160"/>
        </row>
        <row r="1161">
          <cell r="B1161" t="str">
            <v>RAI ANDRE ESCOBAR FERIA</v>
          </cell>
          <cell r="C1161"/>
          <cell r="F1161" t="str">
            <v>NOMBRE</v>
          </cell>
          <cell r="G1161"/>
          <cell r="H1161"/>
          <cell r="I1161"/>
        </row>
        <row r="1162">
          <cell r="B1162" t="str">
            <v>M.P. 031037-0642230 BLV</v>
          </cell>
          <cell r="C1162"/>
          <cell r="F1162" t="str">
            <v>MAT:</v>
          </cell>
          <cell r="G1162"/>
          <cell r="H1162"/>
          <cell r="I1162"/>
        </row>
        <row r="1163">
          <cell r="B1163"/>
          <cell r="C1163"/>
          <cell r="F1163"/>
          <cell r="G1163"/>
          <cell r="H1163"/>
          <cell r="I1163"/>
        </row>
        <row r="1164">
          <cell r="B1164"/>
          <cell r="C1164"/>
          <cell r="D1164"/>
          <cell r="E1164"/>
          <cell r="F1164"/>
          <cell r="G1164"/>
          <cell r="H1164"/>
          <cell r="I1164"/>
        </row>
        <row r="1165">
          <cell r="B1165"/>
          <cell r="C1165"/>
          <cell r="D1165"/>
          <cell r="E1165"/>
          <cell r="F1165"/>
          <cell r="G1165"/>
          <cell r="H1165"/>
          <cell r="I1165"/>
        </row>
        <row r="1166">
          <cell r="B1166"/>
          <cell r="C1166"/>
          <cell r="D1166"/>
          <cell r="E1166"/>
          <cell r="F1166"/>
          <cell r="G1166"/>
          <cell r="H1166"/>
          <cell r="I1166"/>
        </row>
        <row r="1167">
          <cell r="B1167" t="str">
            <v>aux-2</v>
          </cell>
          <cell r="C1167" t="str">
            <v>DESCRIPCION:</v>
          </cell>
          <cell r="D1167" t="str">
            <v>Concreto 2500 Psi</v>
          </cell>
          <cell r="E1167"/>
          <cell r="F1167"/>
          <cell r="G1167"/>
          <cell r="H1167"/>
          <cell r="I1167"/>
        </row>
        <row r="1168">
          <cell r="B1168"/>
          <cell r="C1168"/>
          <cell r="D1168" t="str">
            <v>UNIDAD</v>
          </cell>
          <cell r="E1168" t="str">
            <v>m3</v>
          </cell>
          <cell r="F1168" t="str">
            <v>CANTIDAD</v>
          </cell>
          <cell r="G1168">
            <v>1</v>
          </cell>
          <cell r="H1168" t="str">
            <v>V. UNITARIO:</v>
          </cell>
          <cell r="I1168">
            <v>439313</v>
          </cell>
        </row>
        <row r="1169">
          <cell r="B1169"/>
          <cell r="C1169"/>
          <cell r="D1169"/>
          <cell r="E1169"/>
          <cell r="F1169"/>
          <cell r="G1169"/>
          <cell r="H1169"/>
          <cell r="I1169"/>
        </row>
        <row r="1170">
          <cell r="B1170"/>
          <cell r="C1170"/>
          <cell r="D1170"/>
          <cell r="E1170"/>
          <cell r="F1170" t="str">
            <v>Tarifa/Hora</v>
          </cell>
          <cell r="G1170" t="str">
            <v>Rendimiento</v>
          </cell>
          <cell r="H1170" t="str">
            <v>Valor-Unit.</v>
          </cell>
          <cell r="I1170"/>
        </row>
        <row r="1171">
          <cell r="B1171" t="str">
            <v>E015</v>
          </cell>
          <cell r="C1171" t="str">
            <v>Concretadora 2 sacos ACPM</v>
          </cell>
          <cell r="D1171"/>
          <cell r="E1171"/>
          <cell r="F1171">
            <v>6875</v>
          </cell>
          <cell r="G1171">
            <v>1.1399999999999999</v>
          </cell>
          <cell r="H1171">
            <v>7837.4999999999991</v>
          </cell>
          <cell r="I1171"/>
        </row>
        <row r="1172">
          <cell r="C1172"/>
          <cell r="D1172"/>
          <cell r="E1172"/>
          <cell r="F1172" t="str">
            <v>Sub-Total</v>
          </cell>
          <cell r="G1172" t="str">
            <v>aux-2</v>
          </cell>
          <cell r="H1172" t="str">
            <v>EQUI-4.7</v>
          </cell>
          <cell r="I1172">
            <v>7837.4999999999991</v>
          </cell>
        </row>
        <row r="1173">
          <cell r="B1173"/>
          <cell r="C1173"/>
          <cell r="D1173"/>
          <cell r="E1173"/>
          <cell r="F1173"/>
          <cell r="G1173"/>
          <cell r="H1173"/>
          <cell r="I1173"/>
        </row>
        <row r="1174">
          <cell r="B1174"/>
          <cell r="C1174"/>
          <cell r="D1174"/>
          <cell r="E1174" t="str">
            <v>UNIDAD</v>
          </cell>
          <cell r="F1174" t="str">
            <v>V.UNIT</v>
          </cell>
          <cell r="G1174" t="str">
            <v>CANT</v>
          </cell>
          <cell r="H1174" t="str">
            <v>V.TOTAL</v>
          </cell>
          <cell r="I1174"/>
        </row>
        <row r="1175">
          <cell r="B1175" t="str">
            <v>M005</v>
          </cell>
          <cell r="C1175" t="str">
            <v>Cemento gris</v>
          </cell>
          <cell r="D1175"/>
          <cell r="E1175" t="str">
            <v>SACO</v>
          </cell>
          <cell r="F1175">
            <v>32700</v>
          </cell>
          <cell r="G1175">
            <v>6.16</v>
          </cell>
          <cell r="H1175">
            <v>201432</v>
          </cell>
          <cell r="I1175"/>
        </row>
        <row r="1176">
          <cell r="B1176" t="str">
            <v>M004</v>
          </cell>
          <cell r="C1176" t="str">
            <v>Arena para concreto</v>
          </cell>
          <cell r="D1176"/>
          <cell r="E1176" t="str">
            <v>M3</v>
          </cell>
          <cell r="F1176">
            <v>40460</v>
          </cell>
          <cell r="G1176">
            <v>0.60500000000000009</v>
          </cell>
          <cell r="H1176">
            <v>24478.300000000003</v>
          </cell>
          <cell r="I1176"/>
        </row>
        <row r="1177">
          <cell r="B1177" t="str">
            <v>M015</v>
          </cell>
          <cell r="C1177" t="str">
            <v>Triturado 3/4"</v>
          </cell>
          <cell r="D1177"/>
          <cell r="E1177" t="str">
            <v>M3</v>
          </cell>
          <cell r="F1177">
            <v>42800</v>
          </cell>
          <cell r="G1177">
            <v>0.97900000000000009</v>
          </cell>
          <cell r="H1177">
            <v>41901.200000000004</v>
          </cell>
          <cell r="I1177"/>
        </row>
        <row r="1178">
          <cell r="B1178" t="str">
            <v>M002</v>
          </cell>
          <cell r="C1178" t="str">
            <v>agua</v>
          </cell>
          <cell r="D1178"/>
          <cell r="E1178" t="str">
            <v>M3</v>
          </cell>
          <cell r="F1178">
            <v>2750</v>
          </cell>
          <cell r="G1178">
            <v>0.18700000000000003</v>
          </cell>
          <cell r="H1178">
            <v>514.25000000000011</v>
          </cell>
          <cell r="I1178"/>
        </row>
        <row r="1179">
          <cell r="C1179"/>
          <cell r="D1179"/>
          <cell r="E1179"/>
          <cell r="F1179" t="str">
            <v>Sub-Total</v>
          </cell>
          <cell r="G1179" t="str">
            <v>aux-2</v>
          </cell>
          <cell r="H1179" t="str">
            <v>MAT-4.7</v>
          </cell>
          <cell r="I1179">
            <v>268325.75</v>
          </cell>
        </row>
        <row r="1180">
          <cell r="B1180"/>
          <cell r="C1180"/>
          <cell r="D1180"/>
          <cell r="E1180"/>
          <cell r="F1180"/>
          <cell r="G1180"/>
          <cell r="H1180"/>
          <cell r="I1180"/>
        </row>
        <row r="1181">
          <cell r="B1181"/>
          <cell r="C1181"/>
          <cell r="D1181" t="str">
            <v xml:space="preserve">CAN </v>
          </cell>
          <cell r="E1181" t="str">
            <v>DISTANCIA</v>
          </cell>
          <cell r="F1181" t="str">
            <v>M3-Km / UN-KM</v>
          </cell>
          <cell r="G1181" t="str">
            <v>TARIFA</v>
          </cell>
          <cell r="H1181" t="str">
            <v>Valor-Unit.</v>
          </cell>
          <cell r="I1181"/>
        </row>
        <row r="1182">
          <cell r="B1182" t="str">
            <v>T008</v>
          </cell>
          <cell r="C1182" t="str">
            <v>trans material &gt; 10 km</v>
          </cell>
          <cell r="D1182">
            <v>1.5840000000000001</v>
          </cell>
          <cell r="E1182">
            <v>55</v>
          </cell>
          <cell r="F1182">
            <v>87.12</v>
          </cell>
          <cell r="G1182">
            <v>980</v>
          </cell>
          <cell r="H1182">
            <v>85377.600000000006</v>
          </cell>
          <cell r="I1182"/>
        </row>
        <row r="1183">
          <cell r="B1183" t="str">
            <v>T003</v>
          </cell>
          <cell r="C1183" t="str">
            <v>trans agua 0-5km</v>
          </cell>
          <cell r="D1183">
            <v>0.18700000000000003</v>
          </cell>
          <cell r="E1183">
            <v>5</v>
          </cell>
          <cell r="F1183">
            <v>0.93500000000000016</v>
          </cell>
          <cell r="G1183">
            <v>1095</v>
          </cell>
          <cell r="H1183">
            <v>1023.8250000000002</v>
          </cell>
          <cell r="I1183"/>
        </row>
        <row r="1184">
          <cell r="C1184"/>
          <cell r="D1184"/>
          <cell r="E1184"/>
          <cell r="F1184" t="str">
            <v>Sub-Total</v>
          </cell>
          <cell r="G1184" t="str">
            <v>aux-2</v>
          </cell>
          <cell r="H1184" t="str">
            <v>TRAN-4.7</v>
          </cell>
          <cell r="I1184">
            <v>86401.425000000003</v>
          </cell>
        </row>
        <row r="1185">
          <cell r="B1185"/>
          <cell r="C1185"/>
          <cell r="D1185"/>
          <cell r="E1185"/>
          <cell r="F1185"/>
          <cell r="G1185"/>
          <cell r="H1185"/>
          <cell r="I1185"/>
        </row>
        <row r="1186">
          <cell r="B1186"/>
          <cell r="C1186"/>
          <cell r="D1186" t="str">
            <v>JORNAL-HORA</v>
          </cell>
          <cell r="E1186" t="str">
            <v>PRES</v>
          </cell>
          <cell r="F1186" t="str">
            <v>JORNAL TOTAL</v>
          </cell>
          <cell r="G1186" t="str">
            <v>RENDIEMIENTO</v>
          </cell>
          <cell r="H1186" t="str">
            <v>VALOR-UNIT</v>
          </cell>
          <cell r="I1186"/>
        </row>
        <row r="1187">
          <cell r="B1187" t="str">
            <v>MO005</v>
          </cell>
          <cell r="C1187" t="str">
            <v xml:space="preserve">ayudante entendido </v>
          </cell>
          <cell r="D1187">
            <v>11136.644836388892</v>
          </cell>
          <cell r="E1187"/>
          <cell r="F1187">
            <v>11136.644836388892</v>
          </cell>
          <cell r="G1187">
            <v>1.1399999999999999</v>
          </cell>
          <cell r="H1187">
            <v>12695.775113483336</v>
          </cell>
          <cell r="I1187"/>
        </row>
        <row r="1188">
          <cell r="B1188" t="str">
            <v>MO006</v>
          </cell>
          <cell r="C1188" t="str">
            <v xml:space="preserve">ayudante </v>
          </cell>
          <cell r="D1188">
            <v>10336.644836388892</v>
          </cell>
          <cell r="E1188"/>
          <cell r="F1188">
            <v>10336.644836388892</v>
          </cell>
          <cell r="G1188">
            <v>5.6999999999999993</v>
          </cell>
          <cell r="H1188">
            <v>58918.875567416675</v>
          </cell>
          <cell r="I1188"/>
        </row>
        <row r="1189">
          <cell r="B1189" t="str">
            <v>MO007</v>
          </cell>
          <cell r="C1189" t="str">
            <v>contra maestro</v>
          </cell>
          <cell r="D1189">
            <v>12974.601086388891</v>
          </cell>
          <cell r="E1189"/>
          <cell r="F1189">
            <v>12974.601086388891</v>
          </cell>
          <cell r="G1189">
            <v>0.11399999999999999</v>
          </cell>
          <cell r="H1189">
            <v>1479.1045238483334</v>
          </cell>
          <cell r="I1189"/>
        </row>
        <row r="1190">
          <cell r="B1190"/>
          <cell r="C1190"/>
          <cell r="D1190"/>
          <cell r="E1190"/>
          <cell r="F1190"/>
          <cell r="G1190"/>
          <cell r="H1190"/>
          <cell r="I1190"/>
        </row>
        <row r="1191">
          <cell r="B1191"/>
          <cell r="C1191"/>
          <cell r="D1191"/>
          <cell r="E1191"/>
          <cell r="F1191"/>
          <cell r="G1191"/>
          <cell r="H1191"/>
          <cell r="I1191"/>
        </row>
        <row r="1192">
          <cell r="B1192"/>
          <cell r="C1192"/>
          <cell r="D1192"/>
          <cell r="E1192"/>
          <cell r="F1192"/>
          <cell r="G1192"/>
          <cell r="H1192"/>
          <cell r="I1192"/>
        </row>
        <row r="1193">
          <cell r="C1193"/>
          <cell r="D1193"/>
          <cell r="E1193"/>
          <cell r="F1193" t="str">
            <v>Sub-Total</v>
          </cell>
          <cell r="G1193" t="str">
            <v>aux-2</v>
          </cell>
          <cell r="H1193" t="str">
            <v>MDEO-4.7</v>
          </cell>
          <cell r="I1193">
            <v>73093.755204748348</v>
          </cell>
        </row>
        <row r="1194">
          <cell r="C1194"/>
          <cell r="D1194"/>
          <cell r="E1194"/>
          <cell r="F1194"/>
          <cell r="G1194"/>
          <cell r="H1194"/>
          <cell r="I1194">
            <v>3654.6877602374175</v>
          </cell>
        </row>
        <row r="1195">
          <cell r="C1195"/>
          <cell r="D1195"/>
          <cell r="E1195"/>
          <cell r="F1195" t="str">
            <v>Total Costo Directo</v>
          </cell>
          <cell r="G1195"/>
          <cell r="H1195"/>
          <cell r="I1195">
            <v>439313</v>
          </cell>
        </row>
        <row r="1196">
          <cell r="B1196"/>
          <cell r="C1196"/>
          <cell r="D1196"/>
          <cell r="E1196"/>
          <cell r="F1196"/>
          <cell r="G1196"/>
          <cell r="H1196"/>
          <cell r="I1196"/>
        </row>
        <row r="1197">
          <cell r="B1197"/>
          <cell r="C1197"/>
          <cell r="D1197"/>
          <cell r="E1197"/>
          <cell r="F1197" t="str">
            <v>REVISA</v>
          </cell>
          <cell r="G1197"/>
          <cell r="H1197"/>
          <cell r="I1197"/>
        </row>
        <row r="1198">
          <cell r="B1198"/>
          <cell r="C1198"/>
          <cell r="D1198"/>
          <cell r="E1198"/>
          <cell r="F1198" t="str">
            <v>FIRMA:</v>
          </cell>
          <cell r="G1198"/>
          <cell r="H1198"/>
          <cell r="I1198"/>
        </row>
        <row r="1199">
          <cell r="B1199" t="str">
            <v>RAI ANDRE ESCOBAR FERIA</v>
          </cell>
          <cell r="C1199"/>
          <cell r="F1199" t="str">
            <v>NOMBRE</v>
          </cell>
          <cell r="G1199"/>
          <cell r="H1199"/>
          <cell r="I1199"/>
        </row>
        <row r="1200">
          <cell r="B1200" t="str">
            <v>M.P. 031037-0642230 BLV</v>
          </cell>
          <cell r="C1200"/>
          <cell r="F1200" t="str">
            <v>MAT:</v>
          </cell>
          <cell r="G1200"/>
          <cell r="H1200"/>
          <cell r="I1200"/>
        </row>
        <row r="1201">
          <cell r="B1201"/>
          <cell r="C1201"/>
          <cell r="F1201"/>
          <cell r="G1201"/>
          <cell r="H1201"/>
          <cell r="I1201"/>
        </row>
        <row r="1202">
          <cell r="B1202"/>
          <cell r="C1202"/>
          <cell r="D1202"/>
          <cell r="E1202"/>
          <cell r="F1202"/>
          <cell r="G1202"/>
          <cell r="H1202"/>
          <cell r="I1202"/>
        </row>
        <row r="1203">
          <cell r="B1203"/>
          <cell r="C1203"/>
          <cell r="D1203"/>
          <cell r="E1203"/>
          <cell r="F1203"/>
          <cell r="G1203"/>
          <cell r="H1203"/>
          <cell r="I1203"/>
        </row>
        <row r="1204">
          <cell r="B1204"/>
          <cell r="C1204"/>
          <cell r="D1204"/>
          <cell r="E1204"/>
          <cell r="F1204"/>
          <cell r="G1204"/>
          <cell r="H1204"/>
          <cell r="I1204"/>
        </row>
        <row r="1205">
          <cell r="B1205" t="str">
            <v>aux-2</v>
          </cell>
          <cell r="C1205" t="str">
            <v>DESCRIPCION:</v>
          </cell>
          <cell r="D1205" t="str">
            <v>Mortero 1:6</v>
          </cell>
          <cell r="E1205"/>
          <cell r="F1205"/>
          <cell r="G1205"/>
          <cell r="H1205"/>
          <cell r="I1205"/>
        </row>
        <row r="1206">
          <cell r="B1206"/>
          <cell r="C1206"/>
          <cell r="D1206" t="str">
            <v>UNIDAD</v>
          </cell>
          <cell r="E1206" t="str">
            <v>m3</v>
          </cell>
          <cell r="F1206" t="str">
            <v>CANTIDAD</v>
          </cell>
          <cell r="G1206">
            <v>1</v>
          </cell>
          <cell r="H1206" t="str">
            <v>V. UNITARIO:</v>
          </cell>
          <cell r="I1206">
            <v>403352</v>
          </cell>
        </row>
        <row r="1207">
          <cell r="B1207"/>
          <cell r="C1207"/>
          <cell r="D1207"/>
          <cell r="E1207"/>
          <cell r="F1207"/>
          <cell r="G1207"/>
          <cell r="H1207"/>
          <cell r="I1207"/>
        </row>
        <row r="1208">
          <cell r="B1208"/>
          <cell r="C1208"/>
          <cell r="D1208"/>
          <cell r="E1208"/>
          <cell r="F1208" t="str">
            <v>Tarifa/Hora</v>
          </cell>
          <cell r="G1208" t="str">
            <v>Rendimiento</v>
          </cell>
          <cell r="H1208" t="str">
            <v>Valor-Unit.</v>
          </cell>
          <cell r="I1208"/>
        </row>
        <row r="1209">
          <cell r="B1209" t="str">
            <v>E015</v>
          </cell>
          <cell r="C1209" t="str">
            <v>Concretadora 2 sacos ACPM</v>
          </cell>
          <cell r="D1209"/>
          <cell r="E1209"/>
          <cell r="F1209">
            <v>6875</v>
          </cell>
          <cell r="G1209">
            <v>1</v>
          </cell>
          <cell r="H1209">
            <v>6875</v>
          </cell>
          <cell r="I1209"/>
        </row>
        <row r="1210">
          <cell r="C1210"/>
          <cell r="D1210"/>
          <cell r="E1210"/>
          <cell r="F1210" t="str">
            <v>Sub-Total</v>
          </cell>
          <cell r="G1210" t="str">
            <v>aux-2</v>
          </cell>
          <cell r="H1210" t="str">
            <v>EQUI-4.7</v>
          </cell>
          <cell r="I1210">
            <v>6875</v>
          </cell>
        </row>
        <row r="1211"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B1212"/>
          <cell r="C1212"/>
          <cell r="D1212"/>
          <cell r="E1212" t="str">
            <v>UNIDAD</v>
          </cell>
          <cell r="F1212" t="str">
            <v>V.UNIT</v>
          </cell>
          <cell r="G1212" t="str">
            <v>CANT</v>
          </cell>
          <cell r="H1212" t="str">
            <v>V.TOTAL</v>
          </cell>
          <cell r="I1212"/>
        </row>
        <row r="1213">
          <cell r="B1213" t="str">
            <v>M005</v>
          </cell>
          <cell r="C1213" t="str">
            <v>Cemento gris</v>
          </cell>
          <cell r="D1213"/>
          <cell r="E1213" t="str">
            <v>SACO</v>
          </cell>
          <cell r="F1213">
            <v>32700</v>
          </cell>
          <cell r="G1213">
            <v>6.16</v>
          </cell>
          <cell r="H1213">
            <v>201432</v>
          </cell>
          <cell r="I1213"/>
        </row>
        <row r="1214">
          <cell r="B1214" t="str">
            <v>M004</v>
          </cell>
          <cell r="C1214" t="str">
            <v>Arena para concreto</v>
          </cell>
          <cell r="D1214"/>
          <cell r="E1214" t="str">
            <v>M3</v>
          </cell>
          <cell r="F1214">
            <v>40460</v>
          </cell>
          <cell r="G1214">
            <v>1.32</v>
          </cell>
          <cell r="H1214">
            <v>53407.200000000004</v>
          </cell>
          <cell r="I1214"/>
        </row>
        <row r="1215">
          <cell r="B1215" t="str">
            <v>M002</v>
          </cell>
          <cell r="C1215" t="str">
            <v>agua</v>
          </cell>
          <cell r="D1215"/>
          <cell r="E1215" t="str">
            <v>M3</v>
          </cell>
          <cell r="F1215">
            <v>2750</v>
          </cell>
          <cell r="G1215">
            <v>0.38500000000000001</v>
          </cell>
          <cell r="H1215">
            <v>1058.75</v>
          </cell>
          <cell r="I1215"/>
        </row>
        <row r="1216">
          <cell r="C1216"/>
          <cell r="D1216"/>
          <cell r="E1216"/>
          <cell r="F1216" t="str">
            <v>Sub-Total</v>
          </cell>
          <cell r="G1216" t="str">
            <v>aux-2</v>
          </cell>
          <cell r="H1216" t="str">
            <v>MAT-4.7</v>
          </cell>
          <cell r="I1216">
            <v>255897.95</v>
          </cell>
        </row>
        <row r="1217">
          <cell r="B1217"/>
          <cell r="C1217"/>
          <cell r="D1217"/>
          <cell r="E1217"/>
          <cell r="F1217"/>
          <cell r="G1217"/>
          <cell r="H1217"/>
          <cell r="I1217"/>
        </row>
        <row r="1218">
          <cell r="B1218"/>
          <cell r="C1218"/>
          <cell r="D1218" t="str">
            <v xml:space="preserve">CAN </v>
          </cell>
          <cell r="E1218" t="str">
            <v>DISTANCIA</v>
          </cell>
          <cell r="F1218" t="str">
            <v>M3-Km / UN-KM</v>
          </cell>
          <cell r="G1218" t="str">
            <v>TARIFA</v>
          </cell>
          <cell r="H1218" t="str">
            <v>Valor-Unit.</v>
          </cell>
          <cell r="I1218"/>
        </row>
        <row r="1219">
          <cell r="B1219" t="str">
            <v>T008</v>
          </cell>
          <cell r="C1219" t="str">
            <v>trans material &gt; 10 km</v>
          </cell>
          <cell r="D1219">
            <v>1.32</v>
          </cell>
          <cell r="E1219">
            <v>55</v>
          </cell>
          <cell r="F1219">
            <v>72.600000000000009</v>
          </cell>
          <cell r="G1219">
            <v>980</v>
          </cell>
          <cell r="H1219">
            <v>71148.000000000015</v>
          </cell>
          <cell r="I1219"/>
        </row>
        <row r="1220">
          <cell r="B1220" t="str">
            <v>T003</v>
          </cell>
          <cell r="C1220" t="str">
            <v>trans agua 0-5km</v>
          </cell>
          <cell r="D1220">
            <v>0.38500000000000001</v>
          </cell>
          <cell r="E1220">
            <v>5</v>
          </cell>
          <cell r="F1220">
            <v>1.925</v>
          </cell>
          <cell r="G1220">
            <v>1095</v>
          </cell>
          <cell r="H1220">
            <v>2107.875</v>
          </cell>
          <cell r="I1220"/>
        </row>
        <row r="1221">
          <cell r="C1221"/>
          <cell r="D1221"/>
          <cell r="E1221"/>
          <cell r="F1221" t="str">
            <v>Sub-Total</v>
          </cell>
          <cell r="G1221" t="str">
            <v>aux-2</v>
          </cell>
          <cell r="H1221" t="str">
            <v>TRAN-4.7</v>
          </cell>
          <cell r="I1221">
            <v>73255.875000000015</v>
          </cell>
        </row>
        <row r="1222">
          <cell r="B1222"/>
          <cell r="C1222"/>
          <cell r="D1222"/>
          <cell r="E1222"/>
          <cell r="F1222"/>
          <cell r="G1222"/>
          <cell r="H1222"/>
          <cell r="I1222"/>
        </row>
        <row r="1223">
          <cell r="B1223"/>
          <cell r="C1223"/>
          <cell r="D1223" t="str">
            <v>JORNAL-HORA</v>
          </cell>
          <cell r="E1223" t="str">
            <v>PRES</v>
          </cell>
          <cell r="F1223" t="str">
            <v>JORNAL TOTAL</v>
          </cell>
          <cell r="G1223" t="str">
            <v>RENDIEMIENTO</v>
          </cell>
          <cell r="H1223" t="str">
            <v>VALOR-UNIT</v>
          </cell>
          <cell r="I1223"/>
        </row>
        <row r="1224">
          <cell r="B1224" t="str">
            <v>MO005</v>
          </cell>
          <cell r="C1224" t="str">
            <v xml:space="preserve">ayudante entendido </v>
          </cell>
          <cell r="D1224">
            <v>11136.644836388892</v>
          </cell>
          <cell r="E1224"/>
          <cell r="F1224">
            <v>11136.644836388892</v>
          </cell>
          <cell r="G1224">
            <v>1</v>
          </cell>
          <cell r="H1224">
            <v>11136.644836388892</v>
          </cell>
          <cell r="I1224"/>
        </row>
        <row r="1225">
          <cell r="B1225" t="str">
            <v>MO006</v>
          </cell>
          <cell r="C1225" t="str">
            <v xml:space="preserve">ayudante </v>
          </cell>
          <cell r="D1225">
            <v>10336.644836388892</v>
          </cell>
          <cell r="E1225"/>
          <cell r="F1225">
            <v>10336.644836388892</v>
          </cell>
          <cell r="G1225">
            <v>5</v>
          </cell>
          <cell r="H1225">
            <v>51683.224181944461</v>
          </cell>
          <cell r="I1225"/>
        </row>
        <row r="1226">
          <cell r="B1226" t="str">
            <v>MO007</v>
          </cell>
          <cell r="C1226" t="str">
            <v>contra maestro</v>
          </cell>
          <cell r="D1226">
            <v>12974.601086388891</v>
          </cell>
          <cell r="E1226"/>
          <cell r="F1226">
            <v>12974.601086388891</v>
          </cell>
          <cell r="G1226">
            <v>0.1</v>
          </cell>
          <cell r="H1226">
            <v>1297.4601086388893</v>
          </cell>
          <cell r="I1226"/>
        </row>
        <row r="1227">
          <cell r="B1227"/>
          <cell r="C1227"/>
          <cell r="D1227"/>
          <cell r="E1227"/>
          <cell r="F1227"/>
          <cell r="G1227"/>
          <cell r="H1227"/>
          <cell r="I1227"/>
        </row>
        <row r="1228">
          <cell r="B1228"/>
          <cell r="C1228"/>
          <cell r="D1228"/>
          <cell r="E1228"/>
          <cell r="F1228"/>
          <cell r="G1228"/>
          <cell r="H1228"/>
          <cell r="I1228"/>
        </row>
        <row r="1229">
          <cell r="B1229"/>
          <cell r="C1229"/>
          <cell r="D1229"/>
          <cell r="E1229"/>
          <cell r="F1229"/>
          <cell r="G1229"/>
          <cell r="H1229"/>
          <cell r="I1229"/>
        </row>
        <row r="1230">
          <cell r="C1230"/>
          <cell r="D1230"/>
          <cell r="E1230"/>
          <cell r="F1230" t="str">
            <v>Sub-Total</v>
          </cell>
          <cell r="G1230" t="str">
            <v>aux-2</v>
          </cell>
          <cell r="H1230" t="str">
            <v>MDEO-4.7</v>
          </cell>
          <cell r="I1230">
            <v>64117.329126972239</v>
          </cell>
        </row>
        <row r="1231">
          <cell r="C1231"/>
          <cell r="D1231"/>
          <cell r="E1231"/>
          <cell r="F1231"/>
          <cell r="G1231"/>
          <cell r="H1231"/>
          <cell r="I1231">
            <v>3205.8664563486122</v>
          </cell>
        </row>
        <row r="1232">
          <cell r="C1232"/>
          <cell r="D1232"/>
          <cell r="E1232"/>
          <cell r="F1232" t="str">
            <v>Total Costo Directo</v>
          </cell>
          <cell r="G1232"/>
          <cell r="H1232"/>
          <cell r="I1232">
            <v>403352</v>
          </cell>
        </row>
        <row r="1233">
          <cell r="B1233"/>
          <cell r="C1233"/>
          <cell r="D1233"/>
          <cell r="E1233"/>
          <cell r="F1233"/>
          <cell r="G1233"/>
          <cell r="H1233"/>
          <cell r="I1233"/>
        </row>
        <row r="1234">
          <cell r="B1234"/>
          <cell r="C1234"/>
          <cell r="D1234"/>
          <cell r="E1234"/>
          <cell r="F1234" t="str">
            <v>REVISA</v>
          </cell>
          <cell r="G1234"/>
          <cell r="H1234"/>
          <cell r="I1234"/>
        </row>
        <row r="1235">
          <cell r="B1235"/>
          <cell r="C1235"/>
          <cell r="D1235"/>
          <cell r="E1235"/>
          <cell r="F1235" t="str">
            <v>FIRMA:</v>
          </cell>
          <cell r="G1235"/>
          <cell r="H1235"/>
          <cell r="I1235"/>
        </row>
        <row r="1236">
          <cell r="B1236" t="str">
            <v>RAI ANDRE ESCOBAR FERIA</v>
          </cell>
          <cell r="C1236"/>
          <cell r="F1236" t="str">
            <v>NOMBRE</v>
          </cell>
          <cell r="G1236"/>
          <cell r="H1236"/>
          <cell r="I1236"/>
        </row>
        <row r="1237">
          <cell r="B1237" t="str">
            <v>M.P. 031037-0642230 BLV</v>
          </cell>
          <cell r="C1237"/>
          <cell r="F1237" t="str">
            <v>MAT:</v>
          </cell>
          <cell r="G1237"/>
          <cell r="H1237"/>
          <cell r="I1237"/>
        </row>
        <row r="1238">
          <cell r="B1238"/>
          <cell r="C1238"/>
          <cell r="F1238"/>
          <cell r="G1238"/>
          <cell r="H1238"/>
          <cell r="I1238"/>
        </row>
        <row r="1239">
          <cell r="B1239"/>
          <cell r="C1239"/>
          <cell r="D1239"/>
          <cell r="E1239"/>
          <cell r="F1239"/>
          <cell r="G1239"/>
          <cell r="H1239"/>
          <cell r="I1239"/>
        </row>
        <row r="1240">
          <cell r="B1240"/>
          <cell r="C1240"/>
          <cell r="D1240"/>
          <cell r="E1240"/>
          <cell r="F1240"/>
          <cell r="G1240"/>
          <cell r="H1240"/>
          <cell r="I1240"/>
        </row>
      </sheetData>
      <sheetData sheetId="7"/>
      <sheetData sheetId="8"/>
      <sheetData sheetId="9">
        <row r="34">
          <cell r="J34"/>
        </row>
      </sheetData>
      <sheetData sheetId="10"/>
      <sheetData sheetId="11">
        <row r="51">
          <cell r="H51">
            <v>14237770402.280001</v>
          </cell>
        </row>
        <row r="52">
          <cell r="H52">
            <v>284755408.0456</v>
          </cell>
        </row>
      </sheetData>
      <sheetData sheetId="12">
        <row r="16">
          <cell r="B16" t="str">
            <v>1.1</v>
          </cell>
          <cell r="C16" t="str">
            <v>DESCRIPCION:</v>
          </cell>
          <cell r="D16" t="str">
            <v>LOCALIZACIÓN Y REPLANTEO</v>
          </cell>
          <cell r="E16"/>
          <cell r="F16"/>
          <cell r="G16"/>
          <cell r="H16"/>
          <cell r="I16"/>
        </row>
        <row r="17">
          <cell r="B17" t="str">
            <v>PAR_01</v>
          </cell>
          <cell r="C17"/>
          <cell r="D17" t="str">
            <v>UNIDAD</v>
          </cell>
          <cell r="E17" t="str">
            <v>ML</v>
          </cell>
          <cell r="F17" t="str">
            <v>CANTIDAD</v>
          </cell>
          <cell r="G17">
            <v>9031</v>
          </cell>
          <cell r="H17" t="str">
            <v>V. UNITARIO:</v>
          </cell>
          <cell r="I17">
            <v>1076</v>
          </cell>
        </row>
        <row r="18">
          <cell r="B18"/>
          <cell r="C18"/>
          <cell r="D18"/>
          <cell r="E18"/>
          <cell r="F18"/>
          <cell r="G18"/>
          <cell r="H18"/>
          <cell r="I18"/>
        </row>
        <row r="19">
          <cell r="B19"/>
          <cell r="C19"/>
          <cell r="D19"/>
          <cell r="E19"/>
          <cell r="F19" t="str">
            <v>Tarifa/Hora</v>
          </cell>
          <cell r="G19" t="str">
            <v>Rendimiento</v>
          </cell>
          <cell r="H19" t="str">
            <v>Valor-Unit.</v>
          </cell>
          <cell r="I19"/>
        </row>
        <row r="20">
          <cell r="B20" t="str">
            <v>E001</v>
          </cell>
          <cell r="C20" t="str">
            <v xml:space="preserve">Estación total localización </v>
          </cell>
          <cell r="D20"/>
          <cell r="E20"/>
          <cell r="F20">
            <v>80000</v>
          </cell>
          <cell r="G20">
            <v>8.3798882681564244E-3</v>
          </cell>
          <cell r="H20">
            <v>670.39106145251401</v>
          </cell>
          <cell r="I20"/>
        </row>
        <row r="21">
          <cell r="B21"/>
          <cell r="C21"/>
          <cell r="D21"/>
          <cell r="E21"/>
          <cell r="F21" t="str">
            <v>Sub-Total</v>
          </cell>
          <cell r="G21" t="str">
            <v>1.1</v>
          </cell>
          <cell r="H21" t="str">
            <v>EQUI-1.1</v>
          </cell>
          <cell r="I21">
            <v>670.39106145251401</v>
          </cell>
        </row>
        <row r="22">
          <cell r="B22"/>
          <cell r="C22"/>
          <cell r="D22"/>
          <cell r="E22"/>
          <cell r="F22"/>
          <cell r="G22"/>
          <cell r="H22"/>
          <cell r="I22"/>
        </row>
        <row r="23">
          <cell r="B23"/>
          <cell r="C23"/>
          <cell r="D23"/>
          <cell r="E23" t="str">
            <v>UNIDAD</v>
          </cell>
          <cell r="F23" t="str">
            <v>V.UNIT</v>
          </cell>
          <cell r="G23" t="str">
            <v>CANT</v>
          </cell>
          <cell r="H23" t="str">
            <v>V.TOTAL</v>
          </cell>
          <cell r="I23"/>
        </row>
        <row r="24">
          <cell r="B24" t="str">
            <v>M001</v>
          </cell>
          <cell r="C24" t="str">
            <v>1/4 de pintura</v>
          </cell>
          <cell r="D24"/>
          <cell r="E24" t="str">
            <v>GL</v>
          </cell>
          <cell r="F24">
            <v>12500</v>
          </cell>
          <cell r="G24">
            <v>8.0000000000000002E-3</v>
          </cell>
          <cell r="H24">
            <v>100</v>
          </cell>
          <cell r="I24"/>
        </row>
        <row r="25">
          <cell r="B25" t="str">
            <v>M008</v>
          </cell>
          <cell r="C25" t="str">
            <v>clavo común 2</v>
          </cell>
          <cell r="D25"/>
          <cell r="E25" t="str">
            <v>LB</v>
          </cell>
          <cell r="F25">
            <v>2300</v>
          </cell>
          <cell r="G25">
            <v>0.01</v>
          </cell>
          <cell r="H25">
            <v>23</v>
          </cell>
          <cell r="I25"/>
        </row>
        <row r="26">
          <cell r="B26" t="str">
            <v>M019</v>
          </cell>
          <cell r="C26" t="str">
            <v>listón 2*2 madera tipo choiba</v>
          </cell>
          <cell r="D26"/>
          <cell r="E26" t="str">
            <v>UNIDAD</v>
          </cell>
          <cell r="F26">
            <v>10000</v>
          </cell>
          <cell r="G26">
            <v>3.0000000000000001E-3</v>
          </cell>
          <cell r="H26">
            <v>30</v>
          </cell>
          <cell r="I26"/>
        </row>
        <row r="27">
          <cell r="B27"/>
          <cell r="C27"/>
          <cell r="D27"/>
          <cell r="E27"/>
          <cell r="F27"/>
          <cell r="G27"/>
          <cell r="H27"/>
          <cell r="I27"/>
        </row>
        <row r="28">
          <cell r="B28"/>
          <cell r="C28"/>
          <cell r="D28"/>
          <cell r="E28"/>
          <cell r="F28" t="str">
            <v>Sub-Total</v>
          </cell>
          <cell r="G28" t="str">
            <v>1.1</v>
          </cell>
          <cell r="H28" t="str">
            <v>MAT-1.1</v>
          </cell>
          <cell r="I28">
            <v>153</v>
          </cell>
        </row>
        <row r="29">
          <cell r="B29"/>
          <cell r="C29"/>
          <cell r="D29"/>
          <cell r="E29"/>
          <cell r="F29"/>
          <cell r="G29"/>
          <cell r="H29"/>
          <cell r="I29"/>
        </row>
        <row r="30">
          <cell r="B30"/>
          <cell r="C30"/>
          <cell r="D30" t="str">
            <v xml:space="preserve">CAN </v>
          </cell>
          <cell r="E30" t="str">
            <v>DISTANCIA</v>
          </cell>
          <cell r="F30" t="str">
            <v>M3-Km / UN-KM</v>
          </cell>
          <cell r="G30" t="str">
            <v>TARIFA</v>
          </cell>
          <cell r="H30" t="str">
            <v>Valor-Unit.</v>
          </cell>
          <cell r="I30"/>
        </row>
        <row r="31">
          <cell r="B31"/>
          <cell r="C31"/>
          <cell r="D31"/>
          <cell r="E31"/>
          <cell r="F31"/>
          <cell r="G31"/>
          <cell r="H31"/>
          <cell r="I31"/>
        </row>
        <row r="32">
          <cell r="B32"/>
          <cell r="C32"/>
          <cell r="D32"/>
          <cell r="E32"/>
          <cell r="F32" t="str">
            <v>Sub-Total</v>
          </cell>
          <cell r="G32" t="str">
            <v>1.1</v>
          </cell>
          <cell r="H32" t="str">
            <v>TRAN-1.1</v>
          </cell>
          <cell r="I32">
            <v>0</v>
          </cell>
        </row>
        <row r="33">
          <cell r="B33"/>
          <cell r="C33"/>
          <cell r="D33"/>
          <cell r="E33"/>
          <cell r="F33"/>
          <cell r="G33"/>
          <cell r="H33"/>
          <cell r="I33"/>
        </row>
        <row r="34">
          <cell r="B34"/>
          <cell r="C34"/>
          <cell r="D34" t="str">
            <v>JORNAL-HORA</v>
          </cell>
          <cell r="E34" t="str">
            <v>PRES</v>
          </cell>
          <cell r="F34" t="str">
            <v>Jornal Total</v>
          </cell>
          <cell r="G34" t="str">
            <v>Rendimiento</v>
          </cell>
          <cell r="H34" t="str">
            <v>Valor-Unit.</v>
          </cell>
          <cell r="I34"/>
        </row>
        <row r="35">
          <cell r="B35" t="str">
            <v>MO001</v>
          </cell>
          <cell r="C35" t="str">
            <v>topógrafo</v>
          </cell>
          <cell r="D35">
            <v>6250</v>
          </cell>
          <cell r="E35"/>
          <cell r="F35">
            <v>6250</v>
          </cell>
          <cell r="G35">
            <v>2.5000000000000001E-2</v>
          </cell>
          <cell r="H35">
            <v>156.25</v>
          </cell>
          <cell r="I35"/>
        </row>
        <row r="36">
          <cell r="B36" t="str">
            <v>MO002</v>
          </cell>
          <cell r="C36" t="str">
            <v>cadenero 1</v>
          </cell>
          <cell r="D36">
            <v>5208.333333333333</v>
          </cell>
          <cell r="E36"/>
          <cell r="F36">
            <v>5208.333333333333</v>
          </cell>
          <cell r="G36">
            <v>8.3798882681564244E-3</v>
          </cell>
          <cell r="H36">
            <v>43.645251396648042</v>
          </cell>
          <cell r="I36"/>
        </row>
        <row r="37">
          <cell r="B37" t="str">
            <v>MO003</v>
          </cell>
          <cell r="C37" t="str">
            <v>cadenero 2</v>
          </cell>
          <cell r="D37">
            <v>4833.333333333333</v>
          </cell>
          <cell r="E37"/>
          <cell r="F37">
            <v>4833.333333333333</v>
          </cell>
          <cell r="G37">
            <v>8.3798882681564244E-3</v>
          </cell>
          <cell r="H37">
            <v>40.502793296089379</v>
          </cell>
          <cell r="I37"/>
        </row>
        <row r="38">
          <cell r="B38" t="str">
            <v>MO007</v>
          </cell>
          <cell r="C38" t="str">
            <v>contra maestro</v>
          </cell>
          <cell r="D38">
            <v>5208.333333333333</v>
          </cell>
          <cell r="E38"/>
          <cell r="F38">
            <v>5208.333333333333</v>
          </cell>
          <cell r="G38">
            <v>2.5000000000000005E-3</v>
          </cell>
          <cell r="H38">
            <v>13.020833333333336</v>
          </cell>
          <cell r="I38"/>
        </row>
        <row r="39">
          <cell r="B39"/>
          <cell r="C39"/>
          <cell r="D39"/>
          <cell r="E39"/>
          <cell r="F39" t="str">
            <v>Sub-Total</v>
          </cell>
          <cell r="G39" t="str">
            <v>1.1</v>
          </cell>
          <cell r="H39" t="str">
            <v>MDEO-1.1</v>
          </cell>
          <cell r="I39">
            <v>240.39804469273741</v>
          </cell>
        </row>
        <row r="40">
          <cell r="B40"/>
          <cell r="C40"/>
          <cell r="D40"/>
          <cell r="E40"/>
          <cell r="F40"/>
          <cell r="G40"/>
          <cell r="H40"/>
          <cell r="I40">
            <v>12.019902234636872</v>
          </cell>
        </row>
        <row r="41">
          <cell r="B41"/>
          <cell r="C41"/>
          <cell r="D41"/>
          <cell r="E41"/>
          <cell r="F41" t="str">
            <v>Total Costo Directo</v>
          </cell>
          <cell r="G41"/>
          <cell r="H41"/>
          <cell r="I41">
            <v>1076</v>
          </cell>
        </row>
        <row r="42">
          <cell r="B42"/>
          <cell r="C42"/>
          <cell r="D42"/>
          <cell r="E42" t="str">
            <v>PORCENTAJE</v>
          </cell>
          <cell r="F42"/>
          <cell r="G42" t="str">
            <v>V. COSTO INDERECTO</v>
          </cell>
          <cell r="H42"/>
          <cell r="I42"/>
        </row>
        <row r="43">
          <cell r="B43"/>
          <cell r="C43"/>
          <cell r="D43"/>
          <cell r="E43">
            <v>0.02</v>
          </cell>
          <cell r="F43"/>
          <cell r="G43">
            <v>21.52</v>
          </cell>
          <cell r="H43"/>
          <cell r="I43"/>
        </row>
        <row r="44">
          <cell r="B44"/>
          <cell r="C44"/>
          <cell r="D44"/>
          <cell r="E44">
            <v>0.23</v>
          </cell>
          <cell r="F44"/>
          <cell r="G44">
            <v>247.48000000000002</v>
          </cell>
          <cell r="H44"/>
          <cell r="I44"/>
        </row>
        <row r="45">
          <cell r="B45"/>
          <cell r="C45"/>
          <cell r="D45"/>
          <cell r="E45">
            <v>0.05</v>
          </cell>
          <cell r="F45"/>
          <cell r="G45">
            <v>53.800000000000004</v>
          </cell>
          <cell r="H45"/>
          <cell r="I45"/>
        </row>
        <row r="46">
          <cell r="B46"/>
          <cell r="C46"/>
          <cell r="D46"/>
          <cell r="E46">
            <v>0.02</v>
          </cell>
          <cell r="F46"/>
          <cell r="G46">
            <v>21.52</v>
          </cell>
          <cell r="H46"/>
          <cell r="I46"/>
        </row>
        <row r="47">
          <cell r="B47"/>
          <cell r="C47"/>
          <cell r="D47"/>
          <cell r="E47"/>
          <cell r="F47"/>
          <cell r="G47"/>
          <cell r="H47"/>
          <cell r="I47">
            <v>344.32</v>
          </cell>
        </row>
        <row r="48">
          <cell r="B48"/>
          <cell r="C48"/>
          <cell r="D48"/>
          <cell r="E48"/>
          <cell r="F48"/>
          <cell r="G48"/>
          <cell r="H48"/>
          <cell r="I48">
            <v>1420.32</v>
          </cell>
        </row>
        <row r="49">
          <cell r="B49"/>
          <cell r="C49"/>
          <cell r="D49"/>
          <cell r="E49"/>
          <cell r="F49"/>
          <cell r="G49"/>
          <cell r="H49"/>
          <cell r="I49"/>
        </row>
        <row r="50">
          <cell r="B50"/>
          <cell r="C50"/>
          <cell r="D50"/>
          <cell r="E50"/>
          <cell r="F50" t="str">
            <v>REVISA</v>
          </cell>
          <cell r="G50"/>
          <cell r="H50"/>
          <cell r="I50"/>
        </row>
        <row r="51">
          <cell r="B51"/>
          <cell r="C51"/>
          <cell r="D51"/>
          <cell r="E51"/>
          <cell r="F51" t="str">
            <v>FIRMA:</v>
          </cell>
          <cell r="G51"/>
          <cell r="H51"/>
          <cell r="I51"/>
        </row>
        <row r="52">
          <cell r="B52" t="str">
            <v>LINA MARCELA</v>
          </cell>
          <cell r="C52"/>
          <cell r="F52" t="str">
            <v>NOMBRE</v>
          </cell>
          <cell r="G52"/>
          <cell r="H52"/>
          <cell r="I52"/>
        </row>
        <row r="53">
          <cell r="B53" t="str">
            <v>05202-316814 ANT</v>
          </cell>
          <cell r="C53"/>
          <cell r="F53" t="str">
            <v>MAT:</v>
          </cell>
          <cell r="G53"/>
          <cell r="H53"/>
          <cell r="I53"/>
        </row>
        <row r="54">
          <cell r="B54"/>
          <cell r="C54"/>
          <cell r="F54"/>
          <cell r="G54"/>
          <cell r="H54"/>
          <cell r="I54"/>
        </row>
        <row r="55">
          <cell r="B55"/>
          <cell r="C55"/>
          <cell r="D55"/>
          <cell r="E55"/>
          <cell r="F55"/>
          <cell r="G55"/>
          <cell r="H55"/>
          <cell r="I55"/>
        </row>
        <row r="56">
          <cell r="B56"/>
          <cell r="C56"/>
          <cell r="D56"/>
          <cell r="E56"/>
          <cell r="F56"/>
          <cell r="G56"/>
          <cell r="H56"/>
          <cell r="I56"/>
        </row>
        <row r="57">
          <cell r="B57"/>
          <cell r="C57"/>
          <cell r="D57"/>
          <cell r="E57"/>
          <cell r="F57"/>
          <cell r="G57"/>
          <cell r="H57"/>
          <cell r="I57"/>
        </row>
        <row r="58">
          <cell r="B58" t="str">
            <v>1.2</v>
          </cell>
          <cell r="C58" t="str">
            <v>DESCRIPCION:</v>
          </cell>
          <cell r="D58" t="str">
            <v>DEMOLICIÓN , ANDENES, BORDILLOS DE CONCRETO CONCRETOS EXISTENTES</v>
          </cell>
          <cell r="E58"/>
          <cell r="F58"/>
          <cell r="G58"/>
          <cell r="H58"/>
          <cell r="I58"/>
        </row>
        <row r="59">
          <cell r="B59" t="str">
            <v>201.3-13</v>
          </cell>
          <cell r="C59"/>
          <cell r="D59" t="str">
            <v>UNIDAD</v>
          </cell>
          <cell r="E59" t="str">
            <v>M2</v>
          </cell>
          <cell r="F59" t="str">
            <v>CANTIDAD</v>
          </cell>
          <cell r="G59">
            <v>4432</v>
          </cell>
          <cell r="H59" t="str">
            <v>V. UNITARIO:</v>
          </cell>
          <cell r="I59">
            <v>19524</v>
          </cell>
        </row>
        <row r="60">
          <cell r="B60"/>
          <cell r="C60"/>
          <cell r="D60"/>
          <cell r="E60"/>
          <cell r="F60"/>
          <cell r="G60"/>
          <cell r="H60"/>
          <cell r="I60"/>
        </row>
        <row r="61">
          <cell r="B61"/>
          <cell r="C61"/>
          <cell r="D61"/>
          <cell r="E61"/>
          <cell r="F61" t="str">
            <v>Tarifa/Hora</v>
          </cell>
          <cell r="G61" t="str">
            <v>Rendimiento</v>
          </cell>
          <cell r="H61" t="str">
            <v>Valor-Unit.</v>
          </cell>
          <cell r="I61"/>
        </row>
        <row r="62">
          <cell r="B62" t="str">
            <v>E024</v>
          </cell>
          <cell r="C62" t="str">
            <v>mini cargador</v>
          </cell>
          <cell r="D62"/>
          <cell r="E62"/>
          <cell r="F62">
            <v>80000</v>
          </cell>
          <cell r="G62">
            <v>0.16</v>
          </cell>
          <cell r="H62">
            <v>12800</v>
          </cell>
          <cell r="I62"/>
        </row>
        <row r="63">
          <cell r="B63" t="str">
            <v>E009</v>
          </cell>
          <cell r="C63" t="str">
            <v>Martillo demoledor mini cargador</v>
          </cell>
          <cell r="D63"/>
          <cell r="E63"/>
          <cell r="F63">
            <v>20000</v>
          </cell>
          <cell r="G63">
            <v>0.16</v>
          </cell>
          <cell r="H63">
            <v>3200</v>
          </cell>
          <cell r="I63"/>
        </row>
        <row r="64">
          <cell r="B64"/>
          <cell r="C64"/>
          <cell r="D64"/>
          <cell r="E64"/>
          <cell r="F64" t="str">
            <v>Sub-Total</v>
          </cell>
          <cell r="G64" t="str">
            <v>1.2</v>
          </cell>
          <cell r="H64" t="str">
            <v>EQUI-1.2</v>
          </cell>
          <cell r="I64">
            <v>16000</v>
          </cell>
        </row>
        <row r="65">
          <cell r="B65"/>
          <cell r="C65"/>
          <cell r="D65"/>
          <cell r="E65"/>
          <cell r="F65"/>
          <cell r="G65"/>
          <cell r="H65"/>
          <cell r="I65"/>
        </row>
        <row r="66">
          <cell r="B66"/>
          <cell r="C66"/>
          <cell r="D66"/>
          <cell r="E66" t="str">
            <v>UNIDAD</v>
          </cell>
          <cell r="F66" t="str">
            <v>V.UNIT</v>
          </cell>
          <cell r="G66" t="str">
            <v>CANT</v>
          </cell>
          <cell r="H66" t="str">
            <v>V.TOTAL</v>
          </cell>
          <cell r="I66"/>
        </row>
        <row r="67">
          <cell r="B67"/>
          <cell r="C67"/>
          <cell r="D67"/>
          <cell r="E67"/>
          <cell r="F67"/>
          <cell r="G67"/>
          <cell r="H67">
            <v>0</v>
          </cell>
          <cell r="I67"/>
        </row>
        <row r="68">
          <cell r="B68"/>
          <cell r="C68"/>
          <cell r="D68"/>
          <cell r="E68"/>
          <cell r="F68" t="str">
            <v>Sub-Total</v>
          </cell>
          <cell r="G68" t="str">
            <v>1.2</v>
          </cell>
          <cell r="H68" t="str">
            <v>MAT-1.2</v>
          </cell>
          <cell r="I68">
            <v>0</v>
          </cell>
        </row>
        <row r="69">
          <cell r="B69"/>
          <cell r="C69"/>
          <cell r="D69"/>
          <cell r="E69"/>
          <cell r="F69"/>
          <cell r="G69"/>
          <cell r="H69"/>
          <cell r="I69"/>
        </row>
        <row r="70">
          <cell r="B70"/>
          <cell r="C70"/>
          <cell r="D70" t="str">
            <v xml:space="preserve">CAN </v>
          </cell>
          <cell r="E70" t="str">
            <v>DISTANCIA</v>
          </cell>
          <cell r="F70" t="str">
            <v>M3-Km / UN-KM</v>
          </cell>
          <cell r="G70" t="str">
            <v>TARIFA</v>
          </cell>
          <cell r="H70" t="str">
            <v>Valor-Unit.</v>
          </cell>
          <cell r="I70"/>
        </row>
        <row r="71">
          <cell r="B71" t="str">
            <v>T004</v>
          </cell>
          <cell r="C71" t="str">
            <v>TRANS MAT SOBRANTE 0-5KM</v>
          </cell>
          <cell r="D71">
            <v>0.1</v>
          </cell>
          <cell r="E71">
            <v>5</v>
          </cell>
          <cell r="F71">
            <v>0.5</v>
          </cell>
          <cell r="G71">
            <v>2000</v>
          </cell>
          <cell r="H71">
            <v>1000</v>
          </cell>
          <cell r="I71"/>
        </row>
        <row r="72">
          <cell r="B72"/>
          <cell r="C72"/>
          <cell r="D72"/>
          <cell r="E72"/>
          <cell r="F72" t="str">
            <v>Sub-Total</v>
          </cell>
          <cell r="G72" t="str">
            <v>1.2</v>
          </cell>
          <cell r="H72" t="str">
            <v>TRAN-1.2</v>
          </cell>
          <cell r="I72">
            <v>1000</v>
          </cell>
        </row>
        <row r="73">
          <cell r="B73"/>
          <cell r="C73"/>
          <cell r="D73"/>
          <cell r="E73"/>
          <cell r="F73"/>
          <cell r="G73"/>
          <cell r="H73"/>
          <cell r="I73"/>
        </row>
        <row r="74">
          <cell r="B74"/>
          <cell r="C74"/>
          <cell r="D74" t="str">
            <v>JORNAL-HORA</v>
          </cell>
          <cell r="E74" t="str">
            <v>PRES</v>
          </cell>
          <cell r="F74" t="str">
            <v>Jornal Total</v>
          </cell>
          <cell r="G74" t="str">
            <v>Rendimiento</v>
          </cell>
          <cell r="H74" t="str">
            <v>Valor-Unit.</v>
          </cell>
          <cell r="I74"/>
        </row>
        <row r="75">
          <cell r="B75" t="str">
            <v>MO004</v>
          </cell>
          <cell r="C75" t="str">
            <v xml:space="preserve">oficial </v>
          </cell>
          <cell r="D75">
            <v>4833.333333333333</v>
          </cell>
          <cell r="E75"/>
          <cell r="F75">
            <v>4833.333333333333</v>
          </cell>
          <cell r="G75">
            <v>0.16</v>
          </cell>
          <cell r="H75">
            <v>773.33333333333326</v>
          </cell>
          <cell r="I75"/>
        </row>
        <row r="76">
          <cell r="B76" t="str">
            <v>MO005</v>
          </cell>
          <cell r="C76" t="str">
            <v xml:space="preserve">ayudante entendido </v>
          </cell>
          <cell r="D76">
            <v>4833.333333333333</v>
          </cell>
          <cell r="E76"/>
          <cell r="F76">
            <v>4833.333333333333</v>
          </cell>
          <cell r="G76">
            <v>0</v>
          </cell>
          <cell r="H76">
            <v>0</v>
          </cell>
          <cell r="I76"/>
        </row>
        <row r="77">
          <cell r="B77" t="str">
            <v>MO006</v>
          </cell>
          <cell r="C77" t="str">
            <v xml:space="preserve">ayudante </v>
          </cell>
          <cell r="D77">
            <v>4833.333333333333</v>
          </cell>
          <cell r="E77"/>
          <cell r="F77">
            <v>4833.333333333333</v>
          </cell>
          <cell r="G77">
            <v>0.32</v>
          </cell>
          <cell r="H77">
            <v>1546.6666666666665</v>
          </cell>
          <cell r="I77"/>
        </row>
        <row r="78">
          <cell r="B78" t="str">
            <v>MO007</v>
          </cell>
          <cell r="C78" t="str">
            <v>contra maestro</v>
          </cell>
          <cell r="D78">
            <v>5208.333333333333</v>
          </cell>
          <cell r="E78"/>
          <cell r="F78">
            <v>5208.333333333333</v>
          </cell>
          <cell r="G78">
            <v>1.6E-2</v>
          </cell>
          <cell r="H78">
            <v>83.333333333333329</v>
          </cell>
          <cell r="I78"/>
        </row>
        <row r="79">
          <cell r="B79"/>
          <cell r="C79"/>
          <cell r="D79"/>
          <cell r="E79"/>
          <cell r="F79" t="str">
            <v>Sub-Total</v>
          </cell>
          <cell r="G79" t="str">
            <v>1.2</v>
          </cell>
          <cell r="H79" t="str">
            <v>MDEO-1.2</v>
          </cell>
          <cell r="I79">
            <v>2403.3333333333335</v>
          </cell>
        </row>
        <row r="80">
          <cell r="B80"/>
          <cell r="C80"/>
          <cell r="D80"/>
          <cell r="E80"/>
          <cell r="F80"/>
          <cell r="G80"/>
          <cell r="H80"/>
          <cell r="I80">
            <v>120.16666666666669</v>
          </cell>
        </row>
        <row r="81">
          <cell r="B81"/>
          <cell r="C81"/>
          <cell r="D81"/>
          <cell r="E81"/>
          <cell r="F81" t="str">
            <v>Total Costo Directo</v>
          </cell>
          <cell r="G81"/>
          <cell r="H81"/>
          <cell r="I81">
            <v>19524</v>
          </cell>
        </row>
        <row r="82">
          <cell r="B82"/>
          <cell r="C82"/>
          <cell r="D82"/>
          <cell r="E82" t="str">
            <v>PORCENTAJE</v>
          </cell>
          <cell r="F82"/>
          <cell r="G82" t="str">
            <v>V. COSTO INDERECTO</v>
          </cell>
          <cell r="H82"/>
          <cell r="I82"/>
        </row>
        <row r="83">
          <cell r="B83"/>
          <cell r="C83"/>
          <cell r="D83"/>
          <cell r="E83">
            <v>0.02</v>
          </cell>
          <cell r="F83"/>
          <cell r="G83">
            <v>390.48</v>
          </cell>
          <cell r="H83"/>
          <cell r="I83"/>
        </row>
        <row r="84">
          <cell r="B84"/>
          <cell r="C84"/>
          <cell r="D84"/>
          <cell r="E84">
            <v>0.23</v>
          </cell>
          <cell r="F84"/>
          <cell r="G84">
            <v>4490.5200000000004</v>
          </cell>
          <cell r="H84"/>
          <cell r="I84"/>
        </row>
        <row r="85">
          <cell r="B85"/>
          <cell r="C85"/>
          <cell r="D85"/>
          <cell r="E85">
            <v>0.05</v>
          </cell>
          <cell r="F85"/>
          <cell r="G85">
            <v>976.2</v>
          </cell>
          <cell r="H85"/>
          <cell r="I85"/>
        </row>
        <row r="86">
          <cell r="B86"/>
          <cell r="C86"/>
          <cell r="D86"/>
          <cell r="E86">
            <v>0.02</v>
          </cell>
          <cell r="F86"/>
          <cell r="G86">
            <v>390.48</v>
          </cell>
          <cell r="H86"/>
          <cell r="I86"/>
        </row>
        <row r="87">
          <cell r="B87"/>
          <cell r="C87"/>
          <cell r="D87"/>
          <cell r="E87"/>
          <cell r="F87"/>
          <cell r="G87"/>
          <cell r="H87"/>
          <cell r="I87">
            <v>6247.68</v>
          </cell>
        </row>
        <row r="88">
          <cell r="B88"/>
          <cell r="C88"/>
          <cell r="D88"/>
          <cell r="E88"/>
          <cell r="F88"/>
          <cell r="G88"/>
          <cell r="H88"/>
          <cell r="I88">
            <v>25771.68</v>
          </cell>
        </row>
        <row r="89">
          <cell r="B89"/>
          <cell r="C89"/>
          <cell r="D89"/>
          <cell r="E89"/>
          <cell r="F89"/>
          <cell r="G89"/>
          <cell r="H89"/>
          <cell r="I89"/>
        </row>
        <row r="90">
          <cell r="B90"/>
          <cell r="C90"/>
          <cell r="D90"/>
          <cell r="E90"/>
          <cell r="F90" t="str">
            <v>REVISA</v>
          </cell>
          <cell r="G90"/>
          <cell r="H90"/>
          <cell r="I90"/>
        </row>
        <row r="91">
          <cell r="B91"/>
          <cell r="C91"/>
          <cell r="D91"/>
          <cell r="E91"/>
          <cell r="F91" t="str">
            <v>FIRMA:</v>
          </cell>
          <cell r="G91"/>
          <cell r="H91"/>
          <cell r="I91"/>
        </row>
        <row r="92">
          <cell r="B92" t="str">
            <v>LINA MARCELA</v>
          </cell>
          <cell r="C92"/>
          <cell r="F92" t="str">
            <v>NOMBRE</v>
          </cell>
          <cell r="G92"/>
          <cell r="H92"/>
          <cell r="I92"/>
        </row>
        <row r="93">
          <cell r="B93" t="str">
            <v>05202-316814 ANT</v>
          </cell>
          <cell r="C93"/>
          <cell r="F93" t="str">
            <v>MAT:</v>
          </cell>
          <cell r="G93"/>
          <cell r="H93"/>
          <cell r="I93"/>
        </row>
        <row r="94">
          <cell r="B94"/>
          <cell r="C94"/>
          <cell r="F94"/>
          <cell r="G94"/>
          <cell r="H94"/>
          <cell r="I94"/>
        </row>
        <row r="95">
          <cell r="B95"/>
          <cell r="C95"/>
          <cell r="D95"/>
          <cell r="E95"/>
          <cell r="F95"/>
          <cell r="G95"/>
          <cell r="H95"/>
          <cell r="I95"/>
        </row>
        <row r="96">
          <cell r="B96"/>
          <cell r="C96"/>
          <cell r="D96"/>
          <cell r="E96"/>
          <cell r="F96"/>
          <cell r="G96"/>
          <cell r="H96"/>
          <cell r="I96"/>
        </row>
        <row r="97">
          <cell r="B97"/>
          <cell r="C97"/>
          <cell r="D97"/>
          <cell r="E97"/>
          <cell r="F97"/>
          <cell r="G97"/>
          <cell r="H97"/>
          <cell r="I97"/>
        </row>
        <row r="98">
          <cell r="B98"/>
          <cell r="C98"/>
          <cell r="D98"/>
          <cell r="E98"/>
          <cell r="F98"/>
          <cell r="G98"/>
          <cell r="H98"/>
          <cell r="I98"/>
        </row>
        <row r="99">
          <cell r="B99" t="str">
            <v>2.1</v>
          </cell>
          <cell r="C99" t="str">
            <v>DESCRIPCION:</v>
          </cell>
          <cell r="D99" t="str">
            <v xml:space="preserve">EXCAVACIONES VARIAS EN MATERIAL COMUN </v>
          </cell>
          <cell r="E99"/>
          <cell r="F99"/>
          <cell r="G99"/>
          <cell r="H99"/>
          <cell r="I99"/>
        </row>
        <row r="100">
          <cell r="B100" t="str">
            <v>600.2.3-13</v>
          </cell>
          <cell r="C100"/>
          <cell r="D100" t="str">
            <v>UNIDAD</v>
          </cell>
          <cell r="E100" t="str">
            <v>M3</v>
          </cell>
          <cell r="F100" t="str">
            <v>CANTIDAD</v>
          </cell>
          <cell r="G100">
            <v>3180</v>
          </cell>
          <cell r="H100" t="str">
            <v>V. UNITARIO:</v>
          </cell>
          <cell r="I100">
            <v>24857</v>
          </cell>
        </row>
        <row r="101">
          <cell r="B101"/>
          <cell r="C101"/>
          <cell r="D101"/>
          <cell r="E101"/>
          <cell r="F101"/>
          <cell r="G101"/>
          <cell r="H101"/>
          <cell r="I101"/>
        </row>
        <row r="102">
          <cell r="B102"/>
          <cell r="C102"/>
          <cell r="D102"/>
          <cell r="E102"/>
          <cell r="F102" t="str">
            <v>Tarifa/Hora</v>
          </cell>
          <cell r="G102" t="str">
            <v>Rendimiento</v>
          </cell>
          <cell r="H102" t="str">
            <v>Valor-Unit.</v>
          </cell>
          <cell r="I102"/>
        </row>
        <row r="103">
          <cell r="B103" t="str">
            <v>E003</v>
          </cell>
          <cell r="C103" t="str">
            <v>Retrocargador</v>
          </cell>
          <cell r="D103"/>
          <cell r="E103"/>
          <cell r="F103">
            <v>120000</v>
          </cell>
          <cell r="G103">
            <v>0.18</v>
          </cell>
          <cell r="H103">
            <v>21600</v>
          </cell>
          <cell r="I103"/>
        </row>
        <row r="104">
          <cell r="B104" t="str">
            <v>E031</v>
          </cell>
          <cell r="C104" t="str">
            <v>motobomba</v>
          </cell>
          <cell r="D104"/>
          <cell r="E104"/>
          <cell r="F104">
            <v>7400</v>
          </cell>
          <cell r="G104">
            <v>0.18</v>
          </cell>
          <cell r="H104">
            <v>1332</v>
          </cell>
          <cell r="I104"/>
        </row>
        <row r="105">
          <cell r="B105"/>
          <cell r="C105"/>
          <cell r="D105"/>
          <cell r="E105"/>
          <cell r="F105" t="str">
            <v>Sub-Total</v>
          </cell>
          <cell r="G105" t="str">
            <v>2.1</v>
          </cell>
          <cell r="H105" t="str">
            <v>EQUI-2.1</v>
          </cell>
          <cell r="I105">
            <v>22932</v>
          </cell>
        </row>
        <row r="106">
          <cell r="B106"/>
          <cell r="C106"/>
          <cell r="D106"/>
          <cell r="E106"/>
          <cell r="F106"/>
          <cell r="G106"/>
          <cell r="H106"/>
          <cell r="I106"/>
        </row>
        <row r="107">
          <cell r="B107"/>
          <cell r="C107"/>
          <cell r="D107"/>
          <cell r="E107" t="str">
            <v>UNIDAD</v>
          </cell>
          <cell r="F107" t="str">
            <v>V.UNIT</v>
          </cell>
          <cell r="G107" t="str">
            <v>CANT</v>
          </cell>
          <cell r="H107" t="str">
            <v>V.TOTAL</v>
          </cell>
          <cell r="I107"/>
        </row>
        <row r="108">
          <cell r="B108"/>
          <cell r="C108"/>
          <cell r="D108"/>
          <cell r="E108"/>
          <cell r="F108"/>
          <cell r="G108"/>
          <cell r="H108">
            <v>0</v>
          </cell>
          <cell r="I108"/>
        </row>
        <row r="109">
          <cell r="B109"/>
          <cell r="C109"/>
          <cell r="D109"/>
          <cell r="E109"/>
          <cell r="F109" t="str">
            <v>Sub-Total</v>
          </cell>
          <cell r="G109" t="str">
            <v>2.1</v>
          </cell>
          <cell r="H109" t="str">
            <v>MAT-2.1</v>
          </cell>
          <cell r="I109">
            <v>0</v>
          </cell>
        </row>
        <row r="110">
          <cell r="B110"/>
          <cell r="C110"/>
          <cell r="D110"/>
          <cell r="E110"/>
          <cell r="F110"/>
          <cell r="G110"/>
          <cell r="H110"/>
          <cell r="I110"/>
        </row>
        <row r="111">
          <cell r="B111"/>
          <cell r="C111"/>
          <cell r="D111" t="str">
            <v xml:space="preserve">CAN </v>
          </cell>
          <cell r="E111" t="str">
            <v>DISTANCIA</v>
          </cell>
          <cell r="F111" t="str">
            <v>M3-Km / UN-KM</v>
          </cell>
          <cell r="G111" t="str">
            <v>TARIFA</v>
          </cell>
          <cell r="H111" t="str">
            <v>Valor-Unit.</v>
          </cell>
          <cell r="I111"/>
        </row>
        <row r="112">
          <cell r="B112"/>
          <cell r="C112"/>
          <cell r="D112"/>
          <cell r="E112"/>
          <cell r="F112"/>
          <cell r="G112"/>
          <cell r="H112"/>
          <cell r="I112"/>
        </row>
        <row r="113">
          <cell r="B113"/>
          <cell r="C113"/>
          <cell r="D113"/>
          <cell r="E113"/>
          <cell r="F113" t="str">
            <v>Sub-Total</v>
          </cell>
          <cell r="G113" t="str">
            <v>2.1</v>
          </cell>
          <cell r="H113" t="str">
            <v>TRAN-2.1</v>
          </cell>
          <cell r="I113">
            <v>0</v>
          </cell>
        </row>
        <row r="114">
          <cell r="B114"/>
          <cell r="C114"/>
          <cell r="D114"/>
          <cell r="E114"/>
          <cell r="F114"/>
          <cell r="G114"/>
          <cell r="H114"/>
          <cell r="I114"/>
        </row>
        <row r="115">
          <cell r="B115"/>
          <cell r="C115"/>
          <cell r="D115" t="str">
            <v>JORNAL-HORA</v>
          </cell>
          <cell r="E115" t="str">
            <v>PRES</v>
          </cell>
          <cell r="F115" t="str">
            <v>Jornal Total</v>
          </cell>
          <cell r="G115" t="str">
            <v>Rendimiento</v>
          </cell>
          <cell r="H115" t="str">
            <v>Valor-Unit.</v>
          </cell>
          <cell r="I115"/>
        </row>
        <row r="116">
          <cell r="B116" t="str">
            <v>MO004</v>
          </cell>
          <cell r="C116" t="str">
            <v xml:space="preserve">oficial </v>
          </cell>
          <cell r="D116">
            <v>4833.333333333333</v>
          </cell>
          <cell r="E116"/>
          <cell r="F116">
            <v>4833.333333333333</v>
          </cell>
          <cell r="G116">
            <v>0.18</v>
          </cell>
          <cell r="H116">
            <v>869.99999999999989</v>
          </cell>
          <cell r="I116"/>
        </row>
        <row r="117">
          <cell r="B117" t="str">
            <v>MO005</v>
          </cell>
          <cell r="C117" t="str">
            <v xml:space="preserve">ayudante entendido </v>
          </cell>
          <cell r="D117">
            <v>4833.333333333333</v>
          </cell>
          <cell r="E117"/>
          <cell r="F117">
            <v>4833.333333333333</v>
          </cell>
          <cell r="G117">
            <v>0</v>
          </cell>
          <cell r="H117">
            <v>0</v>
          </cell>
          <cell r="I117"/>
        </row>
        <row r="118">
          <cell r="B118" t="str">
            <v>MO006</v>
          </cell>
          <cell r="C118" t="str">
            <v xml:space="preserve">ayudante </v>
          </cell>
          <cell r="D118">
            <v>4833.333333333333</v>
          </cell>
          <cell r="E118"/>
          <cell r="F118">
            <v>4833.333333333333</v>
          </cell>
          <cell r="G118">
            <v>0.18</v>
          </cell>
          <cell r="H118">
            <v>869.99999999999989</v>
          </cell>
          <cell r="I118"/>
        </row>
        <row r="119">
          <cell r="B119" t="str">
            <v>MO007</v>
          </cell>
          <cell r="C119" t="str">
            <v>contra maestro</v>
          </cell>
          <cell r="D119">
            <v>5208.333333333333</v>
          </cell>
          <cell r="E119"/>
          <cell r="F119">
            <v>5208.333333333333</v>
          </cell>
          <cell r="G119">
            <v>1.7999999999999999E-2</v>
          </cell>
          <cell r="H119">
            <v>93.749999999999986</v>
          </cell>
          <cell r="I119"/>
        </row>
        <row r="120">
          <cell r="B120"/>
          <cell r="C120"/>
          <cell r="D120"/>
          <cell r="E120"/>
          <cell r="F120"/>
          <cell r="G120"/>
          <cell r="H120"/>
          <cell r="I120"/>
        </row>
        <row r="121">
          <cell r="B121"/>
          <cell r="C121"/>
          <cell r="D121"/>
          <cell r="E121"/>
          <cell r="F121" t="str">
            <v>Sub-Total</v>
          </cell>
          <cell r="G121" t="str">
            <v>2.1</v>
          </cell>
          <cell r="H121" t="str">
            <v>MDEO-2.1</v>
          </cell>
          <cell r="I121">
            <v>1833.7499999999998</v>
          </cell>
        </row>
        <row r="122">
          <cell r="B122"/>
          <cell r="C122"/>
          <cell r="D122"/>
          <cell r="E122"/>
          <cell r="F122"/>
          <cell r="G122"/>
          <cell r="H122"/>
          <cell r="I122">
            <v>91.6875</v>
          </cell>
        </row>
        <row r="123">
          <cell r="B123"/>
          <cell r="C123"/>
          <cell r="D123"/>
          <cell r="E123"/>
          <cell r="F123" t="str">
            <v>Total Costo Directo</v>
          </cell>
          <cell r="G123"/>
          <cell r="H123"/>
          <cell r="I123">
            <v>24857</v>
          </cell>
        </row>
        <row r="124">
          <cell r="B124"/>
          <cell r="C124"/>
          <cell r="D124"/>
          <cell r="E124" t="str">
            <v>PORCENTAJE</v>
          </cell>
          <cell r="F124"/>
          <cell r="G124" t="str">
            <v>V. COSTO INDERECTO</v>
          </cell>
          <cell r="H124"/>
          <cell r="I124"/>
        </row>
        <row r="125">
          <cell r="B125"/>
          <cell r="C125"/>
          <cell r="D125"/>
          <cell r="E125">
            <v>0.02</v>
          </cell>
          <cell r="F125"/>
          <cell r="G125">
            <v>497.14</v>
          </cell>
          <cell r="H125"/>
          <cell r="I125"/>
        </row>
        <row r="126">
          <cell r="B126"/>
          <cell r="C126"/>
          <cell r="D126"/>
          <cell r="E126">
            <v>0.23</v>
          </cell>
          <cell r="F126"/>
          <cell r="G126">
            <v>5717.1100000000006</v>
          </cell>
          <cell r="H126"/>
          <cell r="I126"/>
        </row>
        <row r="127">
          <cell r="B127"/>
          <cell r="C127"/>
          <cell r="D127"/>
          <cell r="E127">
            <v>0.05</v>
          </cell>
          <cell r="F127"/>
          <cell r="G127">
            <v>1242.8500000000001</v>
          </cell>
          <cell r="H127"/>
          <cell r="I127"/>
        </row>
        <row r="128">
          <cell r="B128"/>
          <cell r="C128"/>
          <cell r="D128"/>
          <cell r="E128">
            <v>0.02</v>
          </cell>
          <cell r="F128"/>
          <cell r="G128">
            <v>497.14</v>
          </cell>
          <cell r="H128"/>
          <cell r="I128"/>
        </row>
        <row r="129">
          <cell r="B129"/>
          <cell r="C129"/>
          <cell r="D129"/>
          <cell r="E129"/>
          <cell r="F129"/>
          <cell r="G129"/>
          <cell r="H129"/>
          <cell r="I129">
            <v>7954.2400000000016</v>
          </cell>
        </row>
        <row r="130">
          <cell r="B130"/>
          <cell r="C130"/>
          <cell r="D130"/>
          <cell r="E130"/>
          <cell r="F130"/>
          <cell r="G130"/>
          <cell r="H130"/>
          <cell r="I130">
            <v>32811.240000000005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</row>
        <row r="132">
          <cell r="B132"/>
          <cell r="C132"/>
          <cell r="D132"/>
          <cell r="E132"/>
          <cell r="F132" t="str">
            <v>REVISA</v>
          </cell>
          <cell r="G132"/>
          <cell r="H132"/>
          <cell r="I132"/>
        </row>
        <row r="133">
          <cell r="B133"/>
          <cell r="C133"/>
          <cell r="D133"/>
          <cell r="E133"/>
          <cell r="F133" t="str">
            <v>FIRMA:</v>
          </cell>
          <cell r="G133"/>
          <cell r="H133"/>
          <cell r="I133"/>
        </row>
        <row r="134">
          <cell r="B134" t="str">
            <v>LINA MARCELA</v>
          </cell>
          <cell r="C134"/>
          <cell r="F134" t="str">
            <v>NOMBRE</v>
          </cell>
          <cell r="G134"/>
          <cell r="H134"/>
          <cell r="I134"/>
        </row>
        <row r="135">
          <cell r="B135" t="str">
            <v>05202-316814 ANT</v>
          </cell>
          <cell r="C135"/>
          <cell r="F135" t="str">
            <v>MAT:</v>
          </cell>
          <cell r="G135"/>
          <cell r="H135"/>
          <cell r="I135"/>
        </row>
        <row r="136">
          <cell r="B136"/>
          <cell r="C136"/>
          <cell r="F136"/>
          <cell r="G136"/>
          <cell r="H136"/>
          <cell r="I136"/>
        </row>
        <row r="137">
          <cell r="B137"/>
          <cell r="C137"/>
          <cell r="D137"/>
          <cell r="E137"/>
          <cell r="F137"/>
          <cell r="G137"/>
          <cell r="H137"/>
          <cell r="I137"/>
        </row>
        <row r="138">
          <cell r="B138"/>
          <cell r="C138"/>
          <cell r="D138"/>
          <cell r="E138"/>
          <cell r="F138"/>
          <cell r="G138"/>
          <cell r="H138"/>
          <cell r="I138"/>
        </row>
        <row r="139">
          <cell r="B139"/>
          <cell r="C139"/>
          <cell r="D139"/>
          <cell r="E139"/>
          <cell r="F139"/>
          <cell r="G139"/>
          <cell r="H139"/>
          <cell r="I139"/>
        </row>
        <row r="140">
          <cell r="I140"/>
        </row>
        <row r="141">
          <cell r="B141"/>
          <cell r="C141"/>
          <cell r="D141"/>
          <cell r="E141"/>
          <cell r="F141"/>
          <cell r="G141"/>
          <cell r="H141"/>
          <cell r="I141"/>
        </row>
        <row r="142">
          <cell r="B142" t="str">
            <v>2.2</v>
          </cell>
          <cell r="C142" t="str">
            <v>DESCRIPCION:</v>
          </cell>
          <cell r="D142" t="str">
            <v>TRANSPORTE DE MATERIAL PROVENIENTE DE EXCAVACION HASTA 10 KM</v>
          </cell>
          <cell r="E142"/>
          <cell r="F142"/>
          <cell r="G142"/>
          <cell r="H142"/>
          <cell r="I142"/>
        </row>
        <row r="143">
          <cell r="B143" t="str">
            <v>900.2-13</v>
          </cell>
          <cell r="C143"/>
          <cell r="D143" t="str">
            <v>UNIDAD</v>
          </cell>
          <cell r="E143" t="str">
            <v>m3</v>
          </cell>
          <cell r="F143" t="str">
            <v>CANTIDAD</v>
          </cell>
          <cell r="G143">
            <v>5385</v>
          </cell>
          <cell r="H143" t="str">
            <v>V. UNITARIO:</v>
          </cell>
          <cell r="I143">
            <v>13084</v>
          </cell>
        </row>
        <row r="144">
          <cell r="B144"/>
          <cell r="C144"/>
          <cell r="D144"/>
          <cell r="E144"/>
          <cell r="F144"/>
          <cell r="G144"/>
          <cell r="H144"/>
          <cell r="I144"/>
        </row>
        <row r="145">
          <cell r="B145"/>
          <cell r="C145"/>
          <cell r="D145"/>
          <cell r="E145"/>
          <cell r="F145" t="str">
            <v>Tarifa/Hora</v>
          </cell>
          <cell r="G145" t="str">
            <v>Rendimiento</v>
          </cell>
          <cell r="H145" t="str">
            <v>Valor-Unit.</v>
          </cell>
          <cell r="I145"/>
        </row>
        <row r="146">
          <cell r="B146"/>
          <cell r="C146"/>
          <cell r="D146"/>
          <cell r="E146"/>
          <cell r="F146"/>
          <cell r="G146"/>
          <cell r="H146"/>
          <cell r="I146"/>
        </row>
        <row r="147">
          <cell r="B147"/>
          <cell r="C147"/>
          <cell r="D147"/>
          <cell r="E147"/>
          <cell r="F147" t="str">
            <v>Sub-Total</v>
          </cell>
          <cell r="G147" t="str">
            <v>2.2</v>
          </cell>
          <cell r="H147" t="str">
            <v>EQUI-2.2</v>
          </cell>
          <cell r="I147">
            <v>0</v>
          </cell>
        </row>
        <row r="148">
          <cell r="B148"/>
          <cell r="C148"/>
          <cell r="D148"/>
          <cell r="E148"/>
          <cell r="F148"/>
          <cell r="G148"/>
          <cell r="H148"/>
          <cell r="I148"/>
        </row>
        <row r="149">
          <cell r="B149"/>
          <cell r="C149"/>
          <cell r="D149"/>
          <cell r="E149" t="str">
            <v>UNIDAD</v>
          </cell>
          <cell r="F149" t="str">
            <v>V.UNIT</v>
          </cell>
          <cell r="G149" t="str">
            <v>CANT</v>
          </cell>
          <cell r="H149" t="str">
            <v>V.TOTAL</v>
          </cell>
          <cell r="I149"/>
        </row>
        <row r="150">
          <cell r="B150"/>
          <cell r="C150"/>
          <cell r="D150"/>
          <cell r="E150"/>
          <cell r="F150"/>
          <cell r="G150"/>
          <cell r="H150">
            <v>0</v>
          </cell>
          <cell r="I150"/>
        </row>
        <row r="151">
          <cell r="B151"/>
          <cell r="C151"/>
          <cell r="D151"/>
          <cell r="E151"/>
          <cell r="F151" t="str">
            <v>Sub-Total</v>
          </cell>
          <cell r="G151" t="str">
            <v>2.2</v>
          </cell>
          <cell r="H151" t="str">
            <v>MAT-2.2</v>
          </cell>
          <cell r="I151">
            <v>0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</row>
        <row r="153">
          <cell r="B153"/>
          <cell r="C153"/>
          <cell r="D153" t="str">
            <v xml:space="preserve">CAN </v>
          </cell>
          <cell r="E153" t="str">
            <v>DISTANCIA</v>
          </cell>
          <cell r="F153" t="str">
            <v>M3-Km / UN-KM</v>
          </cell>
          <cell r="G153" t="str">
            <v>TARIFA</v>
          </cell>
          <cell r="H153" t="str">
            <v>Valor-Unit.</v>
          </cell>
          <cell r="I153"/>
        </row>
        <row r="154">
          <cell r="B154" t="str">
            <v>T004</v>
          </cell>
          <cell r="C154" t="str">
            <v>trans mat sobrante 0-5km</v>
          </cell>
          <cell r="D154">
            <v>1.3</v>
          </cell>
          <cell r="E154">
            <v>5</v>
          </cell>
          <cell r="F154">
            <v>6.5</v>
          </cell>
          <cell r="G154">
            <v>2000</v>
          </cell>
          <cell r="H154">
            <v>13000</v>
          </cell>
          <cell r="I154"/>
        </row>
        <row r="155">
          <cell r="B155"/>
          <cell r="C155"/>
          <cell r="D155"/>
          <cell r="E155"/>
          <cell r="F155" t="str">
            <v>Sub-Total</v>
          </cell>
          <cell r="G155" t="str">
            <v>2.2</v>
          </cell>
          <cell r="H155" t="str">
            <v>TRAN-2.2</v>
          </cell>
          <cell r="I155">
            <v>13000</v>
          </cell>
        </row>
        <row r="156">
          <cell r="B156"/>
          <cell r="C156"/>
          <cell r="D156"/>
          <cell r="E156"/>
          <cell r="F156"/>
          <cell r="G156"/>
          <cell r="H156"/>
          <cell r="I156"/>
        </row>
        <row r="157">
          <cell r="B157"/>
          <cell r="C157"/>
          <cell r="D157" t="str">
            <v>JORNAL-HORA</v>
          </cell>
          <cell r="E157" t="str">
            <v>PRES</v>
          </cell>
          <cell r="F157" t="str">
            <v>Jornal Total</v>
          </cell>
          <cell r="G157" t="str">
            <v>Rendimiento</v>
          </cell>
          <cell r="H157" t="str">
            <v>Valor-Unit.</v>
          </cell>
          <cell r="I157"/>
        </row>
        <row r="158">
          <cell r="B158" t="str">
            <v>MO004</v>
          </cell>
          <cell r="C158" t="str">
            <v xml:space="preserve">oficial </v>
          </cell>
          <cell r="D158">
            <v>4833.333333333333</v>
          </cell>
          <cell r="E158"/>
          <cell r="F158">
            <v>4833.333333333333</v>
          </cell>
          <cell r="G158">
            <v>0</v>
          </cell>
          <cell r="H158">
            <v>0</v>
          </cell>
          <cell r="I158"/>
        </row>
        <row r="159">
          <cell r="B159" t="str">
            <v>MO005</v>
          </cell>
          <cell r="C159" t="str">
            <v xml:space="preserve">ayudante entendido </v>
          </cell>
          <cell r="D159">
            <v>4833.333333333333</v>
          </cell>
          <cell r="E159"/>
          <cell r="F159">
            <v>4833.333333333333</v>
          </cell>
          <cell r="G159">
            <v>0</v>
          </cell>
          <cell r="H159">
            <v>0</v>
          </cell>
          <cell r="I159"/>
        </row>
        <row r="160">
          <cell r="B160" t="str">
            <v>MO006</v>
          </cell>
          <cell r="C160" t="str">
            <v xml:space="preserve">ayudante </v>
          </cell>
          <cell r="D160">
            <v>4833.333333333333</v>
          </cell>
          <cell r="E160"/>
          <cell r="F160">
            <v>4833.333333333333</v>
          </cell>
          <cell r="G160">
            <v>1.4999999999999999E-2</v>
          </cell>
          <cell r="H160">
            <v>72.499999999999986</v>
          </cell>
          <cell r="I160"/>
        </row>
        <row r="161">
          <cell r="B161" t="str">
            <v>MO007</v>
          </cell>
          <cell r="C161" t="str">
            <v>contra maestro</v>
          </cell>
          <cell r="D161">
            <v>5208.333333333333</v>
          </cell>
          <cell r="E161"/>
          <cell r="F161">
            <v>5208.333333333333</v>
          </cell>
          <cell r="G161">
            <v>1.5E-3</v>
          </cell>
          <cell r="H161">
            <v>7.8125</v>
          </cell>
          <cell r="I161"/>
        </row>
        <row r="162">
          <cell r="B162"/>
          <cell r="C162"/>
          <cell r="D162"/>
          <cell r="E162"/>
          <cell r="F162"/>
          <cell r="G162"/>
          <cell r="H162"/>
          <cell r="I162"/>
        </row>
        <row r="163">
          <cell r="B163"/>
          <cell r="C163"/>
          <cell r="D163"/>
          <cell r="E163"/>
          <cell r="F163" t="str">
            <v>Sub-Total</v>
          </cell>
          <cell r="G163" t="str">
            <v>2.2</v>
          </cell>
          <cell r="H163" t="str">
            <v>MDEO-2.2</v>
          </cell>
          <cell r="I163">
            <v>80.312499999999986</v>
          </cell>
        </row>
        <row r="164">
          <cell r="B164"/>
          <cell r="C164"/>
          <cell r="D164"/>
          <cell r="E164"/>
          <cell r="F164"/>
          <cell r="G164"/>
          <cell r="H164"/>
          <cell r="I164">
            <v>4.0156249999999991</v>
          </cell>
        </row>
        <row r="165">
          <cell r="B165"/>
          <cell r="C165"/>
          <cell r="D165"/>
          <cell r="E165"/>
          <cell r="F165" t="str">
            <v>Total Costo Directo</v>
          </cell>
          <cell r="G165"/>
          <cell r="H165"/>
          <cell r="I165">
            <v>13084</v>
          </cell>
        </row>
        <row r="166">
          <cell r="B166"/>
          <cell r="C166"/>
          <cell r="D166"/>
          <cell r="E166" t="str">
            <v>PORCENTAJE</v>
          </cell>
          <cell r="F166"/>
          <cell r="G166" t="str">
            <v>V. COSTO INDERECTO</v>
          </cell>
          <cell r="H166"/>
          <cell r="I166"/>
        </row>
        <row r="167">
          <cell r="B167"/>
          <cell r="C167"/>
          <cell r="D167"/>
          <cell r="E167">
            <v>0.02</v>
          </cell>
          <cell r="F167"/>
          <cell r="G167">
            <v>261.68</v>
          </cell>
          <cell r="H167"/>
          <cell r="I167"/>
        </row>
        <row r="168">
          <cell r="B168"/>
          <cell r="C168"/>
          <cell r="D168"/>
          <cell r="E168">
            <v>0.23</v>
          </cell>
          <cell r="F168"/>
          <cell r="G168">
            <v>3009.32</v>
          </cell>
          <cell r="H168"/>
          <cell r="I168"/>
        </row>
        <row r="169">
          <cell r="B169"/>
          <cell r="C169"/>
          <cell r="D169"/>
          <cell r="E169">
            <v>0.05</v>
          </cell>
          <cell r="F169"/>
          <cell r="G169">
            <v>654.20000000000005</v>
          </cell>
          <cell r="H169"/>
          <cell r="I169"/>
        </row>
        <row r="170">
          <cell r="B170"/>
          <cell r="C170"/>
          <cell r="D170"/>
          <cell r="E170">
            <v>0.02</v>
          </cell>
          <cell r="F170"/>
          <cell r="G170">
            <v>261.68</v>
          </cell>
          <cell r="H170"/>
          <cell r="I170"/>
        </row>
        <row r="171">
          <cell r="B171"/>
          <cell r="C171"/>
          <cell r="D171"/>
          <cell r="E171"/>
          <cell r="F171"/>
          <cell r="G171"/>
          <cell r="H171"/>
          <cell r="I171">
            <v>4186.88</v>
          </cell>
        </row>
        <row r="172">
          <cell r="B172"/>
          <cell r="C172"/>
          <cell r="D172"/>
          <cell r="E172"/>
          <cell r="F172"/>
          <cell r="G172"/>
          <cell r="H172"/>
          <cell r="I172">
            <v>17270.88</v>
          </cell>
        </row>
        <row r="173">
          <cell r="B173"/>
          <cell r="C173"/>
          <cell r="D173"/>
          <cell r="E173"/>
          <cell r="F173"/>
          <cell r="G173"/>
          <cell r="H173"/>
          <cell r="I173"/>
        </row>
        <row r="174">
          <cell r="B174"/>
          <cell r="C174"/>
          <cell r="D174"/>
          <cell r="E174"/>
          <cell r="F174" t="str">
            <v>REVISA</v>
          </cell>
          <cell r="G174"/>
          <cell r="H174"/>
          <cell r="I174"/>
        </row>
        <row r="175">
          <cell r="B175"/>
          <cell r="C175"/>
          <cell r="D175"/>
          <cell r="E175"/>
          <cell r="F175" t="str">
            <v>FIRMA:</v>
          </cell>
          <cell r="G175"/>
          <cell r="H175"/>
          <cell r="I175"/>
        </row>
        <row r="176">
          <cell r="B176" t="str">
            <v>LINA MARCELA</v>
          </cell>
          <cell r="C176"/>
          <cell r="F176" t="str">
            <v>NOMBRE</v>
          </cell>
          <cell r="G176"/>
          <cell r="H176"/>
          <cell r="I176"/>
        </row>
        <row r="177">
          <cell r="B177" t="str">
            <v>05202-316814 ANT</v>
          </cell>
          <cell r="C177"/>
          <cell r="F177" t="str">
            <v>MAT:</v>
          </cell>
          <cell r="G177"/>
          <cell r="H177"/>
          <cell r="I177"/>
        </row>
        <row r="178">
          <cell r="B178"/>
          <cell r="C178"/>
          <cell r="F178"/>
          <cell r="G178"/>
          <cell r="H178"/>
          <cell r="I178"/>
        </row>
        <row r="179">
          <cell r="B179"/>
          <cell r="C179"/>
          <cell r="D179"/>
          <cell r="E179"/>
          <cell r="F179"/>
          <cell r="G179"/>
          <cell r="H179"/>
          <cell r="I179"/>
        </row>
        <row r="180">
          <cell r="B180"/>
          <cell r="C180"/>
          <cell r="D180"/>
          <cell r="E180"/>
          <cell r="F180"/>
          <cell r="G180"/>
          <cell r="H180"/>
          <cell r="I180"/>
        </row>
        <row r="181">
          <cell r="B181"/>
          <cell r="C181"/>
          <cell r="D181"/>
          <cell r="E181"/>
          <cell r="F181"/>
          <cell r="G181"/>
          <cell r="H181"/>
          <cell r="I181"/>
        </row>
        <row r="182">
          <cell r="B182"/>
          <cell r="C182"/>
          <cell r="D182"/>
          <cell r="E182"/>
          <cell r="F182"/>
          <cell r="G182"/>
          <cell r="H182"/>
          <cell r="I182"/>
        </row>
        <row r="183">
          <cell r="B183" t="str">
            <v>2.3</v>
          </cell>
          <cell r="C183" t="str">
            <v>DESCRIPCION:</v>
          </cell>
          <cell r="D183" t="str">
            <v>REALCE DE VALVULA DE ACUEDUCTO</v>
          </cell>
          <cell r="E183"/>
          <cell r="F183"/>
          <cell r="G183"/>
          <cell r="H183"/>
          <cell r="I183"/>
        </row>
        <row r="184">
          <cell r="B184" t="str">
            <v>PAR_03</v>
          </cell>
          <cell r="C184"/>
          <cell r="D184" t="str">
            <v>UNIDAD</v>
          </cell>
          <cell r="E184" t="str">
            <v>UNIDAD</v>
          </cell>
          <cell r="F184" t="str">
            <v>CANTIDAD</v>
          </cell>
          <cell r="G184">
            <v>4</v>
          </cell>
          <cell r="H184" t="str">
            <v>V. UNITARIO:</v>
          </cell>
          <cell r="I184">
            <v>101748</v>
          </cell>
        </row>
        <row r="185">
          <cell r="B185"/>
          <cell r="C185"/>
          <cell r="D185"/>
          <cell r="E185"/>
          <cell r="F185"/>
          <cell r="G185"/>
          <cell r="H185"/>
          <cell r="I185"/>
        </row>
        <row r="186">
          <cell r="B186"/>
          <cell r="C186"/>
          <cell r="D186"/>
          <cell r="E186"/>
          <cell r="F186" t="str">
            <v>Tarifa/Hora</v>
          </cell>
          <cell r="G186" t="str">
            <v>Rendimiento</v>
          </cell>
          <cell r="H186" t="str">
            <v>Valor-Unit.</v>
          </cell>
          <cell r="I186"/>
        </row>
        <row r="187">
          <cell r="B187"/>
          <cell r="C187"/>
          <cell r="D187"/>
          <cell r="E187"/>
          <cell r="F187"/>
          <cell r="G187"/>
          <cell r="H187">
            <v>0</v>
          </cell>
          <cell r="I187"/>
        </row>
        <row r="188">
          <cell r="B188"/>
          <cell r="C188"/>
          <cell r="D188"/>
          <cell r="E188"/>
          <cell r="F188" t="str">
            <v>Sub-Total</v>
          </cell>
          <cell r="G188" t="str">
            <v>2.3</v>
          </cell>
          <cell r="H188" t="str">
            <v>EQUI-2.3</v>
          </cell>
          <cell r="I188">
            <v>0</v>
          </cell>
        </row>
        <row r="189">
          <cell r="B189"/>
          <cell r="C189"/>
          <cell r="D189"/>
          <cell r="E189"/>
          <cell r="F189"/>
          <cell r="G189"/>
          <cell r="H189"/>
          <cell r="I189"/>
        </row>
        <row r="190">
          <cell r="B190"/>
          <cell r="C190"/>
          <cell r="D190"/>
          <cell r="E190" t="str">
            <v>UNIDAD</v>
          </cell>
          <cell r="F190" t="str">
            <v>V.UNIT</v>
          </cell>
          <cell r="G190" t="str">
            <v>CANT</v>
          </cell>
          <cell r="H190" t="str">
            <v>V.TOTAL</v>
          </cell>
          <cell r="I190"/>
        </row>
        <row r="191">
          <cell r="B191" t="str">
            <v>M020</v>
          </cell>
          <cell r="C191" t="str">
            <v>niple 6"</v>
          </cell>
          <cell r="D191"/>
          <cell r="E191" t="str">
            <v>Unidad</v>
          </cell>
          <cell r="F191">
            <v>85000</v>
          </cell>
          <cell r="G191">
            <v>1</v>
          </cell>
          <cell r="H191">
            <v>85000</v>
          </cell>
          <cell r="I191"/>
        </row>
        <row r="192">
          <cell r="B192"/>
          <cell r="C192"/>
          <cell r="D192"/>
          <cell r="E192"/>
          <cell r="F192" t="str">
            <v>Sub-Total</v>
          </cell>
          <cell r="G192" t="str">
            <v>2.3</v>
          </cell>
          <cell r="H192" t="str">
            <v>MAT-2.3</v>
          </cell>
          <cell r="I192">
            <v>85000</v>
          </cell>
        </row>
        <row r="193">
          <cell r="B193"/>
          <cell r="C193"/>
          <cell r="D193"/>
          <cell r="E193"/>
          <cell r="F193"/>
          <cell r="G193"/>
          <cell r="H193"/>
          <cell r="I193"/>
        </row>
        <row r="194">
          <cell r="B194"/>
          <cell r="C194"/>
          <cell r="D194" t="str">
            <v xml:space="preserve">CAN </v>
          </cell>
          <cell r="E194" t="str">
            <v>DISTANCIA</v>
          </cell>
          <cell r="F194" t="str">
            <v>M3-Km / UN-KM</v>
          </cell>
          <cell r="G194" t="str">
            <v>TARIFA</v>
          </cell>
          <cell r="H194" t="str">
            <v>Valor-Unit.</v>
          </cell>
          <cell r="I194"/>
        </row>
        <row r="195">
          <cell r="B195"/>
          <cell r="C195"/>
          <cell r="D195"/>
          <cell r="E195"/>
          <cell r="F195"/>
          <cell r="G195"/>
          <cell r="H195">
            <v>0</v>
          </cell>
          <cell r="I195"/>
        </row>
        <row r="196">
          <cell r="B196"/>
          <cell r="C196"/>
          <cell r="D196"/>
          <cell r="E196"/>
          <cell r="F196"/>
          <cell r="G196"/>
          <cell r="H196"/>
          <cell r="I196"/>
        </row>
        <row r="197">
          <cell r="B197"/>
          <cell r="C197"/>
          <cell r="D197"/>
          <cell r="E197"/>
          <cell r="F197"/>
          <cell r="G197"/>
          <cell r="H197"/>
          <cell r="I197"/>
        </row>
        <row r="198">
          <cell r="B198"/>
          <cell r="C198"/>
          <cell r="D198"/>
          <cell r="E198"/>
          <cell r="F198" t="str">
            <v>Sub-Total</v>
          </cell>
          <cell r="G198" t="str">
            <v>2.3</v>
          </cell>
          <cell r="H198" t="str">
            <v>TRAN-2.3</v>
          </cell>
          <cell r="I198">
            <v>0</v>
          </cell>
        </row>
        <row r="199">
          <cell r="B199"/>
          <cell r="C199"/>
          <cell r="D199"/>
          <cell r="E199"/>
          <cell r="F199"/>
          <cell r="G199"/>
          <cell r="H199"/>
          <cell r="I199"/>
        </row>
        <row r="200">
          <cell r="B200"/>
          <cell r="C200"/>
          <cell r="D200" t="str">
            <v>JORNAL-HORA</v>
          </cell>
          <cell r="E200" t="str">
            <v>PRES</v>
          </cell>
          <cell r="F200" t="str">
            <v>Jornal Total</v>
          </cell>
          <cell r="G200" t="str">
            <v>Rendimiento</v>
          </cell>
          <cell r="H200" t="str">
            <v>Valor-Unit.</v>
          </cell>
          <cell r="I200"/>
        </row>
        <row r="201">
          <cell r="B201" t="str">
            <v>MO004</v>
          </cell>
          <cell r="C201" t="str">
            <v xml:space="preserve">oficial </v>
          </cell>
          <cell r="D201">
            <v>4833.333333333333</v>
          </cell>
          <cell r="E201"/>
          <cell r="F201">
            <v>4833.333333333333</v>
          </cell>
          <cell r="G201">
            <v>1.1000000000000001</v>
          </cell>
          <cell r="H201">
            <v>5316.666666666667</v>
          </cell>
          <cell r="I201"/>
        </row>
        <row r="202">
          <cell r="B202" t="str">
            <v>MO005</v>
          </cell>
          <cell r="C202" t="str">
            <v xml:space="preserve">ayudante entendido </v>
          </cell>
          <cell r="D202">
            <v>4833.333333333333</v>
          </cell>
          <cell r="E202"/>
          <cell r="F202">
            <v>4833.333333333333</v>
          </cell>
          <cell r="G202">
            <v>1.1000000000000001</v>
          </cell>
          <cell r="H202">
            <v>5316.666666666667</v>
          </cell>
          <cell r="I202"/>
        </row>
        <row r="203">
          <cell r="B203" t="str">
            <v>MO006</v>
          </cell>
          <cell r="C203" t="str">
            <v xml:space="preserve">ayudante </v>
          </cell>
          <cell r="D203">
            <v>4833.333333333333</v>
          </cell>
          <cell r="E203"/>
          <cell r="F203">
            <v>4833.333333333333</v>
          </cell>
          <cell r="G203">
            <v>1.1000000000000001</v>
          </cell>
          <cell r="H203">
            <v>5316.666666666667</v>
          </cell>
          <cell r="I203"/>
        </row>
        <row r="204">
          <cell r="B204" t="str">
            <v>MO007</v>
          </cell>
          <cell r="C204" t="str">
            <v>contra maestro</v>
          </cell>
          <cell r="D204">
            <v>5208.333333333333</v>
          </cell>
          <cell r="E204"/>
          <cell r="F204"/>
          <cell r="G204"/>
          <cell r="H204"/>
          <cell r="I204"/>
        </row>
        <row r="205">
          <cell r="B205"/>
          <cell r="C205"/>
          <cell r="D205"/>
          <cell r="E205"/>
          <cell r="F205"/>
          <cell r="G205"/>
          <cell r="H205"/>
          <cell r="I205"/>
        </row>
        <row r="206">
          <cell r="B206"/>
          <cell r="C206"/>
          <cell r="D206"/>
          <cell r="E206"/>
          <cell r="F206" t="str">
            <v>Sub-Total</v>
          </cell>
          <cell r="G206" t="str">
            <v>2.3</v>
          </cell>
          <cell r="H206" t="str">
            <v>MDEO-2.3</v>
          </cell>
          <cell r="I206">
            <v>15950</v>
          </cell>
        </row>
        <row r="207">
          <cell r="B207"/>
          <cell r="C207"/>
          <cell r="D207"/>
          <cell r="E207"/>
          <cell r="F207"/>
          <cell r="G207"/>
          <cell r="H207"/>
          <cell r="I207">
            <v>797.5</v>
          </cell>
        </row>
        <row r="208">
          <cell r="B208"/>
          <cell r="C208"/>
          <cell r="D208"/>
          <cell r="E208"/>
          <cell r="F208" t="str">
            <v>Total Costo Directo</v>
          </cell>
          <cell r="G208"/>
          <cell r="H208"/>
          <cell r="I208">
            <v>101748</v>
          </cell>
        </row>
        <row r="209">
          <cell r="B209"/>
          <cell r="C209"/>
          <cell r="D209"/>
          <cell r="E209" t="str">
            <v>PORCENTAJE</v>
          </cell>
          <cell r="F209"/>
          <cell r="G209" t="str">
            <v>V. COSTO INDERECTO</v>
          </cell>
          <cell r="H209"/>
          <cell r="I209"/>
        </row>
        <row r="210">
          <cell r="B210"/>
          <cell r="C210"/>
          <cell r="D210"/>
          <cell r="E210">
            <v>0.02</v>
          </cell>
          <cell r="F210"/>
          <cell r="G210">
            <v>2034.96</v>
          </cell>
          <cell r="H210"/>
          <cell r="I210"/>
        </row>
        <row r="211">
          <cell r="B211"/>
          <cell r="C211"/>
          <cell r="D211"/>
          <cell r="E211">
            <v>0.23</v>
          </cell>
          <cell r="F211"/>
          <cell r="G211">
            <v>23402.04</v>
          </cell>
          <cell r="H211"/>
          <cell r="I211"/>
        </row>
        <row r="212">
          <cell r="B212"/>
          <cell r="C212"/>
          <cell r="D212"/>
          <cell r="E212">
            <v>0.05</v>
          </cell>
          <cell r="F212"/>
          <cell r="G212">
            <v>5087.4000000000005</v>
          </cell>
          <cell r="H212"/>
          <cell r="I212"/>
        </row>
        <row r="213">
          <cell r="B213"/>
          <cell r="C213"/>
          <cell r="D213"/>
          <cell r="E213">
            <v>0.02</v>
          </cell>
          <cell r="F213"/>
          <cell r="G213">
            <v>2034.96</v>
          </cell>
          <cell r="H213"/>
          <cell r="I213"/>
        </row>
        <row r="214">
          <cell r="B214"/>
          <cell r="C214"/>
          <cell r="D214"/>
          <cell r="E214"/>
          <cell r="F214"/>
          <cell r="G214"/>
          <cell r="H214"/>
          <cell r="I214">
            <v>32559.360000000001</v>
          </cell>
        </row>
        <row r="215">
          <cell r="B215"/>
          <cell r="C215"/>
          <cell r="D215"/>
          <cell r="E215"/>
          <cell r="F215"/>
          <cell r="G215"/>
          <cell r="H215"/>
          <cell r="I215">
            <v>134307.35999999999</v>
          </cell>
        </row>
        <row r="216">
          <cell r="B216"/>
          <cell r="C216"/>
          <cell r="D216"/>
          <cell r="E216"/>
          <cell r="F216"/>
          <cell r="G216"/>
          <cell r="H216"/>
          <cell r="I216"/>
        </row>
        <row r="217">
          <cell r="B217"/>
          <cell r="C217"/>
          <cell r="D217"/>
          <cell r="E217"/>
          <cell r="F217" t="str">
            <v>REVISA</v>
          </cell>
          <cell r="G217"/>
          <cell r="H217"/>
          <cell r="I217"/>
        </row>
        <row r="218">
          <cell r="B218"/>
          <cell r="C218"/>
          <cell r="D218"/>
          <cell r="E218"/>
          <cell r="F218" t="str">
            <v>FIRMA:</v>
          </cell>
          <cell r="G218"/>
          <cell r="H218"/>
          <cell r="I218"/>
        </row>
        <row r="219">
          <cell r="B219" t="str">
            <v>LINA MARCELA</v>
          </cell>
          <cell r="C219"/>
          <cell r="F219" t="str">
            <v>NOMBRE</v>
          </cell>
          <cell r="G219"/>
          <cell r="H219"/>
          <cell r="I219"/>
        </row>
        <row r="220">
          <cell r="B220" t="str">
            <v>05202-316814 ANT</v>
          </cell>
          <cell r="C220"/>
          <cell r="F220" t="str">
            <v>MAT:</v>
          </cell>
          <cell r="G220"/>
          <cell r="H220"/>
          <cell r="I220"/>
        </row>
        <row r="221">
          <cell r="B221"/>
          <cell r="C221"/>
          <cell r="F221"/>
          <cell r="G221"/>
          <cell r="H221"/>
          <cell r="I221"/>
        </row>
        <row r="222">
          <cell r="B222"/>
          <cell r="C222"/>
          <cell r="D222"/>
          <cell r="E222"/>
          <cell r="F222"/>
          <cell r="G222"/>
          <cell r="H222"/>
          <cell r="I222"/>
        </row>
        <row r="223">
          <cell r="B223"/>
          <cell r="C223"/>
          <cell r="D223"/>
          <cell r="E223"/>
          <cell r="F223"/>
          <cell r="G223"/>
          <cell r="H223"/>
          <cell r="I223"/>
        </row>
        <row r="224">
          <cell r="B224"/>
          <cell r="C224"/>
          <cell r="D224"/>
          <cell r="E224"/>
          <cell r="F224"/>
          <cell r="G224"/>
          <cell r="H224"/>
          <cell r="I224"/>
        </row>
        <row r="225">
          <cell r="B225"/>
          <cell r="C225"/>
          <cell r="D225"/>
          <cell r="E225"/>
          <cell r="F225"/>
          <cell r="G225"/>
          <cell r="H225"/>
          <cell r="I225"/>
        </row>
        <row r="226">
          <cell r="B226" t="str">
            <v>2.4</v>
          </cell>
          <cell r="C226" t="str">
            <v>DESCRIPCION:</v>
          </cell>
          <cell r="D226" t="str">
            <v>REALCE DE CAJA INSPECCION CIRCULAR</v>
          </cell>
          <cell r="E226"/>
          <cell r="F226"/>
          <cell r="G226"/>
          <cell r="H226"/>
          <cell r="I226"/>
        </row>
        <row r="227">
          <cell r="B227" t="str">
            <v>PAR_04</v>
          </cell>
          <cell r="C227"/>
          <cell r="D227" t="str">
            <v>UNIDAD</v>
          </cell>
          <cell r="E227" t="str">
            <v>UNIDAD</v>
          </cell>
          <cell r="F227" t="str">
            <v>CANTIDAD</v>
          </cell>
          <cell r="G227">
            <v>9</v>
          </cell>
          <cell r="H227" t="str">
            <v>V. UNITARIO:</v>
          </cell>
          <cell r="I227">
            <v>381544</v>
          </cell>
        </row>
        <row r="228">
          <cell r="B228"/>
          <cell r="C228"/>
          <cell r="D228"/>
          <cell r="E228"/>
          <cell r="F228"/>
          <cell r="G228"/>
          <cell r="H228"/>
          <cell r="I228"/>
        </row>
        <row r="229">
          <cell r="B229"/>
          <cell r="C229"/>
          <cell r="D229"/>
          <cell r="E229"/>
          <cell r="F229" t="str">
            <v>Tarifa/Hora</v>
          </cell>
          <cell r="G229" t="str">
            <v>Rendimiento</v>
          </cell>
          <cell r="H229" t="str">
            <v>Valor-Unit.</v>
          </cell>
          <cell r="I229"/>
        </row>
        <row r="230">
          <cell r="B230"/>
          <cell r="C230"/>
          <cell r="D230"/>
          <cell r="E230"/>
          <cell r="F230"/>
          <cell r="G230"/>
          <cell r="H230">
            <v>0</v>
          </cell>
          <cell r="I230"/>
        </row>
        <row r="231">
          <cell r="B231"/>
          <cell r="C231"/>
          <cell r="D231"/>
          <cell r="E231"/>
          <cell r="F231" t="str">
            <v>Sub-Total</v>
          </cell>
          <cell r="G231" t="str">
            <v>2.4</v>
          </cell>
          <cell r="H231" t="str">
            <v>EQUI-2.4</v>
          </cell>
          <cell r="I231">
            <v>0</v>
          </cell>
        </row>
        <row r="232">
          <cell r="B232"/>
          <cell r="C232"/>
          <cell r="D232"/>
          <cell r="E232"/>
          <cell r="F232"/>
          <cell r="G232"/>
          <cell r="H232"/>
          <cell r="I232"/>
        </row>
        <row r="233">
          <cell r="B233"/>
          <cell r="C233"/>
          <cell r="D233"/>
          <cell r="E233" t="str">
            <v>UNIDAD</v>
          </cell>
          <cell r="F233" t="str">
            <v>V.UNIT</v>
          </cell>
          <cell r="G233" t="str">
            <v>CANT</v>
          </cell>
          <cell r="H233" t="str">
            <v>V.TOTAL</v>
          </cell>
          <cell r="I233"/>
        </row>
        <row r="234">
          <cell r="B234" t="str">
            <v>M018</v>
          </cell>
          <cell r="C234" t="str">
            <v>herraje para cámara de inspección tipo MH</v>
          </cell>
          <cell r="D234"/>
          <cell r="E234" t="str">
            <v>Unidad</v>
          </cell>
          <cell r="F234">
            <v>350000</v>
          </cell>
          <cell r="G234">
            <v>1</v>
          </cell>
          <cell r="H234">
            <v>350000</v>
          </cell>
          <cell r="I234"/>
        </row>
        <row r="235">
          <cell r="B235"/>
          <cell r="C235"/>
          <cell r="D235"/>
          <cell r="E235"/>
          <cell r="F235" t="str">
            <v>Sub-Total</v>
          </cell>
          <cell r="G235" t="str">
            <v>2.4</v>
          </cell>
          <cell r="H235" t="str">
            <v>MAT-2.4</v>
          </cell>
          <cell r="I235">
            <v>350000</v>
          </cell>
        </row>
        <row r="236">
          <cell r="B236"/>
          <cell r="C236"/>
          <cell r="D236"/>
          <cell r="E236"/>
          <cell r="F236"/>
          <cell r="G236"/>
          <cell r="H236"/>
          <cell r="I236"/>
        </row>
        <row r="237">
          <cell r="B237"/>
          <cell r="C237"/>
          <cell r="D237" t="str">
            <v xml:space="preserve">CAN </v>
          </cell>
          <cell r="E237" t="str">
            <v>DISTANCIA</v>
          </cell>
          <cell r="F237" t="str">
            <v>M3-Km / UN-KM</v>
          </cell>
          <cell r="G237" t="str">
            <v>TARIFA</v>
          </cell>
          <cell r="H237" t="str">
            <v>Valor-Unit.</v>
          </cell>
          <cell r="I237"/>
        </row>
        <row r="238">
          <cell r="B238"/>
          <cell r="C238"/>
          <cell r="D238"/>
          <cell r="E238"/>
          <cell r="F238"/>
          <cell r="G238"/>
          <cell r="H238">
            <v>0</v>
          </cell>
          <cell r="I238"/>
        </row>
        <row r="239">
          <cell r="B239"/>
          <cell r="C239"/>
          <cell r="D239"/>
          <cell r="E239"/>
          <cell r="F239" t="str">
            <v>Sub-Total</v>
          </cell>
          <cell r="G239" t="str">
            <v>2.4</v>
          </cell>
          <cell r="H239" t="str">
            <v>TRAN-2.4</v>
          </cell>
          <cell r="I239">
            <v>0</v>
          </cell>
        </row>
        <row r="240">
          <cell r="B240"/>
          <cell r="C240"/>
          <cell r="D240"/>
          <cell r="E240"/>
          <cell r="F240"/>
          <cell r="G240"/>
          <cell r="H240"/>
          <cell r="I240"/>
        </row>
        <row r="241">
          <cell r="B241"/>
          <cell r="C241"/>
          <cell r="D241" t="str">
            <v>JORNAL-HORA</v>
          </cell>
          <cell r="E241" t="str">
            <v>PRES</v>
          </cell>
          <cell r="F241" t="str">
            <v>Jornal Total</v>
          </cell>
          <cell r="G241" t="str">
            <v>Rendimiento</v>
          </cell>
          <cell r="H241" t="str">
            <v>Valor-Unit.</v>
          </cell>
          <cell r="I241"/>
        </row>
        <row r="242">
          <cell r="B242" t="str">
            <v>MO004</v>
          </cell>
          <cell r="C242" t="str">
            <v xml:space="preserve">oficial </v>
          </cell>
          <cell r="D242">
            <v>4833.333333333333</v>
          </cell>
          <cell r="E242"/>
          <cell r="F242">
            <v>4833.333333333333</v>
          </cell>
          <cell r="G242">
            <v>2</v>
          </cell>
          <cell r="H242">
            <v>9666.6666666666661</v>
          </cell>
          <cell r="I242"/>
        </row>
        <row r="243">
          <cell r="B243" t="str">
            <v>MO005</v>
          </cell>
          <cell r="C243" t="str">
            <v xml:space="preserve">ayudante entendido </v>
          </cell>
          <cell r="D243">
            <v>4833.333333333333</v>
          </cell>
          <cell r="E243"/>
          <cell r="F243">
            <v>4833.333333333333</v>
          </cell>
          <cell r="G243">
            <v>2</v>
          </cell>
          <cell r="H243">
            <v>9666.6666666666661</v>
          </cell>
          <cell r="I243"/>
        </row>
        <row r="244">
          <cell r="B244" t="str">
            <v>MO006</v>
          </cell>
          <cell r="C244" t="str">
            <v xml:space="preserve">ayudante </v>
          </cell>
          <cell r="D244">
            <v>4833.333333333333</v>
          </cell>
          <cell r="E244"/>
          <cell r="F244">
            <v>4833.333333333333</v>
          </cell>
          <cell r="G244">
            <v>2</v>
          </cell>
          <cell r="H244">
            <v>9666.6666666666661</v>
          </cell>
          <cell r="I244"/>
        </row>
        <row r="245">
          <cell r="B245" t="str">
            <v>MO007</v>
          </cell>
          <cell r="C245" t="str">
            <v>contra maestro</v>
          </cell>
          <cell r="D245">
            <v>5208.333333333333</v>
          </cell>
          <cell r="E245"/>
          <cell r="F245">
            <v>5208.333333333333</v>
          </cell>
          <cell r="G245">
            <v>0.2</v>
          </cell>
          <cell r="H245">
            <v>1041.6666666666667</v>
          </cell>
          <cell r="I245"/>
        </row>
        <row r="246">
          <cell r="B246"/>
          <cell r="C246"/>
          <cell r="D246"/>
          <cell r="E246"/>
          <cell r="F246"/>
          <cell r="G246"/>
          <cell r="H246"/>
          <cell r="I246"/>
        </row>
        <row r="247">
          <cell r="B247"/>
          <cell r="C247"/>
          <cell r="D247"/>
          <cell r="E247"/>
          <cell r="F247" t="str">
            <v>Sub-Total</v>
          </cell>
          <cell r="G247" t="str">
            <v>2.4</v>
          </cell>
          <cell r="H247" t="str">
            <v>MDEO-2.4</v>
          </cell>
          <cell r="I247">
            <v>30041.666666666668</v>
          </cell>
        </row>
        <row r="248">
          <cell r="B248"/>
          <cell r="C248"/>
          <cell r="D248"/>
          <cell r="E248"/>
          <cell r="F248"/>
          <cell r="G248"/>
          <cell r="H248"/>
          <cell r="I248">
            <v>1502.0833333333335</v>
          </cell>
        </row>
        <row r="249">
          <cell r="B249"/>
          <cell r="C249"/>
          <cell r="D249"/>
          <cell r="E249"/>
          <cell r="F249" t="str">
            <v>Total Costo Directo</v>
          </cell>
          <cell r="G249"/>
          <cell r="H249"/>
          <cell r="I249">
            <v>381544</v>
          </cell>
        </row>
        <row r="250">
          <cell r="B250"/>
          <cell r="C250"/>
          <cell r="D250"/>
          <cell r="E250" t="str">
            <v>PORCENTAJE</v>
          </cell>
          <cell r="F250"/>
          <cell r="G250" t="str">
            <v>V. COSTO INDERECTO</v>
          </cell>
          <cell r="H250"/>
          <cell r="I250"/>
        </row>
        <row r="251">
          <cell r="B251"/>
          <cell r="C251"/>
          <cell r="D251"/>
          <cell r="E251">
            <v>0.02</v>
          </cell>
          <cell r="F251"/>
          <cell r="G251">
            <v>7630.88</v>
          </cell>
          <cell r="H251"/>
          <cell r="I251"/>
        </row>
        <row r="252">
          <cell r="B252"/>
          <cell r="C252"/>
          <cell r="D252"/>
          <cell r="E252">
            <v>0.23</v>
          </cell>
          <cell r="F252"/>
          <cell r="G252">
            <v>87755.12000000001</v>
          </cell>
          <cell r="H252"/>
          <cell r="I252"/>
        </row>
        <row r="253">
          <cell r="B253"/>
          <cell r="C253"/>
          <cell r="D253"/>
          <cell r="E253">
            <v>0.05</v>
          </cell>
          <cell r="F253"/>
          <cell r="G253">
            <v>19077.2</v>
          </cell>
          <cell r="H253"/>
          <cell r="I253"/>
        </row>
        <row r="254">
          <cell r="B254"/>
          <cell r="C254"/>
          <cell r="D254"/>
          <cell r="E254">
            <v>0.02</v>
          </cell>
          <cell r="F254"/>
          <cell r="G254">
            <v>7630.88</v>
          </cell>
          <cell r="H254"/>
          <cell r="I254"/>
        </row>
        <row r="255">
          <cell r="B255"/>
          <cell r="C255"/>
          <cell r="D255"/>
          <cell r="E255"/>
          <cell r="F255"/>
          <cell r="G255"/>
          <cell r="H255"/>
          <cell r="I255">
            <v>122094.08000000002</v>
          </cell>
        </row>
        <row r="256">
          <cell r="B256"/>
          <cell r="C256"/>
          <cell r="D256"/>
          <cell r="E256"/>
          <cell r="F256"/>
          <cell r="G256"/>
          <cell r="H256"/>
          <cell r="I256">
            <v>503638.08</v>
          </cell>
        </row>
        <row r="257">
          <cell r="B257"/>
          <cell r="C257"/>
          <cell r="D257"/>
          <cell r="E257"/>
          <cell r="F257"/>
          <cell r="G257"/>
          <cell r="H257"/>
          <cell r="I257"/>
        </row>
        <row r="258">
          <cell r="B258"/>
          <cell r="C258"/>
          <cell r="D258"/>
          <cell r="E258"/>
          <cell r="F258" t="str">
            <v>REVISA</v>
          </cell>
          <cell r="G258"/>
          <cell r="H258"/>
          <cell r="I258"/>
        </row>
        <row r="259">
          <cell r="B259"/>
          <cell r="C259"/>
          <cell r="D259"/>
          <cell r="E259"/>
          <cell r="F259" t="str">
            <v>FIRMA:</v>
          </cell>
          <cell r="G259"/>
          <cell r="H259"/>
          <cell r="I259"/>
        </row>
        <row r="260">
          <cell r="B260" t="str">
            <v>LINA MARCELA</v>
          </cell>
          <cell r="C260"/>
          <cell r="F260" t="str">
            <v>NOMBRE</v>
          </cell>
          <cell r="G260"/>
          <cell r="H260"/>
          <cell r="I260"/>
        </row>
        <row r="261">
          <cell r="B261" t="str">
            <v>05202-316814 ANT</v>
          </cell>
          <cell r="C261"/>
          <cell r="F261" t="str">
            <v>MAT:</v>
          </cell>
          <cell r="G261"/>
          <cell r="H261"/>
          <cell r="I261"/>
        </row>
        <row r="262">
          <cell r="B262"/>
          <cell r="C262"/>
          <cell r="F262"/>
          <cell r="G262"/>
          <cell r="H262"/>
          <cell r="I262"/>
        </row>
        <row r="263">
          <cell r="B263"/>
          <cell r="C263"/>
          <cell r="D263"/>
          <cell r="E263"/>
          <cell r="F263"/>
          <cell r="G263"/>
          <cell r="H263"/>
          <cell r="I263"/>
        </row>
        <row r="264">
          <cell r="B264"/>
          <cell r="C264"/>
          <cell r="D264"/>
          <cell r="E264"/>
          <cell r="F264"/>
          <cell r="G264"/>
          <cell r="H264"/>
          <cell r="I264"/>
        </row>
        <row r="265">
          <cell r="B265"/>
          <cell r="C265"/>
          <cell r="D265"/>
          <cell r="E265"/>
          <cell r="F265"/>
          <cell r="G265"/>
          <cell r="H265"/>
          <cell r="I265"/>
        </row>
        <row r="266">
          <cell r="B266"/>
          <cell r="C266"/>
          <cell r="D266"/>
          <cell r="E266"/>
          <cell r="F266"/>
          <cell r="G266"/>
          <cell r="H266"/>
          <cell r="I266"/>
        </row>
        <row r="267">
          <cell r="B267" t="str">
            <v>2.5</v>
          </cell>
          <cell r="C267" t="str">
            <v>DESCRIPCION:</v>
          </cell>
          <cell r="D267" t="str">
            <v>REALCE DE CAJAS DOMICILIARIAS</v>
          </cell>
          <cell r="E267"/>
          <cell r="F267"/>
          <cell r="G267"/>
          <cell r="H267"/>
          <cell r="I267"/>
        </row>
        <row r="268">
          <cell r="B268" t="str">
            <v>PAR_05</v>
          </cell>
          <cell r="C268"/>
          <cell r="D268" t="str">
            <v>UNIDAD</v>
          </cell>
          <cell r="E268" t="str">
            <v>UNIDAD</v>
          </cell>
          <cell r="F268" t="str">
            <v>CANTIDAD</v>
          </cell>
          <cell r="G268">
            <v>165</v>
          </cell>
          <cell r="H268" t="str">
            <v>V. UNITARIO:</v>
          </cell>
          <cell r="I268">
            <v>281104</v>
          </cell>
        </row>
        <row r="269">
          <cell r="B269"/>
          <cell r="C269"/>
          <cell r="D269"/>
          <cell r="E269"/>
          <cell r="F269"/>
          <cell r="G269"/>
          <cell r="H269"/>
          <cell r="I269"/>
        </row>
        <row r="270">
          <cell r="B270"/>
          <cell r="C270"/>
          <cell r="D270"/>
          <cell r="E270"/>
          <cell r="F270" t="str">
            <v>Tarifa/Hora</v>
          </cell>
          <cell r="G270" t="str">
            <v>Rendimiento</v>
          </cell>
          <cell r="H270" t="str">
            <v>Valor-Unit.</v>
          </cell>
          <cell r="I270"/>
        </row>
        <row r="271">
          <cell r="B271"/>
          <cell r="C271"/>
          <cell r="D271"/>
          <cell r="E271"/>
          <cell r="F271"/>
          <cell r="G271"/>
          <cell r="H271">
            <v>0</v>
          </cell>
          <cell r="I271"/>
        </row>
        <row r="272">
          <cell r="B272"/>
          <cell r="C272"/>
          <cell r="D272"/>
          <cell r="E272"/>
          <cell r="F272" t="str">
            <v>Sub-Total</v>
          </cell>
          <cell r="G272" t="str">
            <v>2.5</v>
          </cell>
          <cell r="H272" t="str">
            <v>EQUI-2.5</v>
          </cell>
          <cell r="I272">
            <v>0</v>
          </cell>
        </row>
        <row r="273">
          <cell r="B273"/>
          <cell r="C273"/>
          <cell r="D273"/>
          <cell r="E273"/>
          <cell r="F273"/>
          <cell r="G273"/>
          <cell r="H273"/>
          <cell r="I273"/>
        </row>
        <row r="274">
          <cell r="B274"/>
          <cell r="C274"/>
          <cell r="D274"/>
          <cell r="E274" t="str">
            <v>UNIDAD</v>
          </cell>
          <cell r="F274" t="str">
            <v>V.UNIT</v>
          </cell>
          <cell r="G274" t="str">
            <v>CANT</v>
          </cell>
          <cell r="H274" t="str">
            <v>V.TOTAL</v>
          </cell>
          <cell r="I274"/>
        </row>
        <row r="275">
          <cell r="B275" t="str">
            <v>M006</v>
          </cell>
          <cell r="C275" t="str">
            <v>Concreto 2500 psi en obra</v>
          </cell>
          <cell r="D275"/>
          <cell r="E275" t="str">
            <v>M3</v>
          </cell>
          <cell r="F275">
            <v>439313</v>
          </cell>
          <cell r="G275">
            <v>0.10799999999999998</v>
          </cell>
          <cell r="H275">
            <v>47445.803999999996</v>
          </cell>
          <cell r="I275"/>
        </row>
        <row r="276">
          <cell r="B276" t="str">
            <v>M017</v>
          </cell>
          <cell r="C276" t="str">
            <v>herraje para caja domiciliaria inc. ref.</v>
          </cell>
          <cell r="D276"/>
          <cell r="E276" t="str">
            <v>UN</v>
          </cell>
          <cell r="F276">
            <v>210000</v>
          </cell>
          <cell r="G276">
            <v>1</v>
          </cell>
          <cell r="H276">
            <v>210000</v>
          </cell>
          <cell r="I276"/>
        </row>
        <row r="277">
          <cell r="B277"/>
          <cell r="C277"/>
          <cell r="D277"/>
          <cell r="E277"/>
          <cell r="F277" t="str">
            <v>Sub-Total</v>
          </cell>
          <cell r="G277" t="str">
            <v>2.5</v>
          </cell>
          <cell r="H277" t="str">
            <v>MAT-2.5</v>
          </cell>
          <cell r="I277">
            <v>257445.804</v>
          </cell>
        </row>
        <row r="278">
          <cell r="B278"/>
          <cell r="C278"/>
          <cell r="D278"/>
          <cell r="E278"/>
          <cell r="F278"/>
          <cell r="G278"/>
          <cell r="H278"/>
          <cell r="I278"/>
        </row>
        <row r="279">
          <cell r="B279"/>
          <cell r="C279"/>
          <cell r="D279" t="str">
            <v xml:space="preserve">CAN </v>
          </cell>
          <cell r="E279" t="str">
            <v>DISTANCIA</v>
          </cell>
          <cell r="F279" t="str">
            <v>M3-Km / UN-KM</v>
          </cell>
          <cell r="G279" t="str">
            <v>TARIFA</v>
          </cell>
          <cell r="H279" t="str">
            <v>Valor-Unit.</v>
          </cell>
          <cell r="I279"/>
        </row>
        <row r="280">
          <cell r="B280"/>
          <cell r="C280"/>
          <cell r="D280"/>
          <cell r="E280"/>
          <cell r="F280"/>
          <cell r="G280"/>
          <cell r="H280">
            <v>0</v>
          </cell>
          <cell r="I280"/>
        </row>
        <row r="281">
          <cell r="B281"/>
          <cell r="C281"/>
          <cell r="D281"/>
          <cell r="E281"/>
          <cell r="F281" t="str">
            <v>Sub-Total</v>
          </cell>
          <cell r="G281" t="str">
            <v>2.5</v>
          </cell>
          <cell r="H281" t="str">
            <v>TRAN-2.5</v>
          </cell>
          <cell r="I281">
            <v>0</v>
          </cell>
        </row>
        <row r="282">
          <cell r="B282"/>
          <cell r="C282"/>
          <cell r="D282"/>
          <cell r="E282"/>
          <cell r="F282"/>
          <cell r="G282"/>
          <cell r="H282"/>
          <cell r="I282"/>
        </row>
        <row r="283">
          <cell r="B283"/>
          <cell r="C283"/>
          <cell r="D283" t="str">
            <v>JORNAL-HORA</v>
          </cell>
          <cell r="E283" t="str">
            <v>PRES</v>
          </cell>
          <cell r="F283" t="str">
            <v>Jornal Total</v>
          </cell>
          <cell r="G283" t="str">
            <v>Rendimiento</v>
          </cell>
          <cell r="H283" t="str">
            <v>Valor-Unit.</v>
          </cell>
          <cell r="I283"/>
        </row>
        <row r="284">
          <cell r="B284" t="str">
            <v>MO004</v>
          </cell>
          <cell r="C284" t="str">
            <v xml:space="preserve">oficial </v>
          </cell>
          <cell r="D284">
            <v>4833.333333333333</v>
          </cell>
          <cell r="E284"/>
          <cell r="F284">
            <v>4833.333333333333</v>
          </cell>
          <cell r="G284">
            <v>1.5</v>
          </cell>
          <cell r="H284">
            <v>7250</v>
          </cell>
          <cell r="I284"/>
        </row>
        <row r="285">
          <cell r="B285" t="str">
            <v>MO005</v>
          </cell>
          <cell r="C285" t="str">
            <v xml:space="preserve">ayudante entendido </v>
          </cell>
          <cell r="D285">
            <v>4833.333333333333</v>
          </cell>
          <cell r="E285"/>
          <cell r="F285">
            <v>4833.333333333333</v>
          </cell>
          <cell r="G285">
            <v>1.5</v>
          </cell>
          <cell r="H285">
            <v>7250</v>
          </cell>
          <cell r="I285"/>
        </row>
        <row r="286">
          <cell r="B286" t="str">
            <v>MO006</v>
          </cell>
          <cell r="C286" t="str">
            <v xml:space="preserve">ayudante </v>
          </cell>
          <cell r="D286">
            <v>4833.333333333333</v>
          </cell>
          <cell r="E286"/>
          <cell r="F286">
            <v>4833.333333333333</v>
          </cell>
          <cell r="G286">
            <v>1.5</v>
          </cell>
          <cell r="H286">
            <v>7250</v>
          </cell>
          <cell r="I286"/>
        </row>
        <row r="287">
          <cell r="B287" t="str">
            <v>MO007</v>
          </cell>
          <cell r="C287" t="str">
            <v>contra maestro</v>
          </cell>
          <cell r="D287">
            <v>5208.333333333333</v>
          </cell>
          <cell r="E287"/>
          <cell r="F287">
            <v>5208.333333333333</v>
          </cell>
          <cell r="G287">
            <v>0.15000000000000002</v>
          </cell>
          <cell r="H287">
            <v>781.25000000000011</v>
          </cell>
          <cell r="I287"/>
        </row>
        <row r="288">
          <cell r="B288"/>
          <cell r="C288"/>
          <cell r="D288"/>
          <cell r="E288"/>
          <cell r="F288"/>
          <cell r="G288"/>
          <cell r="H288"/>
          <cell r="I288"/>
        </row>
        <row r="289">
          <cell r="B289"/>
          <cell r="C289"/>
          <cell r="D289"/>
          <cell r="E289"/>
          <cell r="F289" t="str">
            <v>Sub-Total</v>
          </cell>
          <cell r="G289" t="str">
            <v>2.5</v>
          </cell>
          <cell r="H289" t="str">
            <v>MDEO-2.5</v>
          </cell>
          <cell r="I289">
            <v>22531.25</v>
          </cell>
        </row>
        <row r="290">
          <cell r="B290"/>
          <cell r="C290"/>
          <cell r="D290"/>
          <cell r="E290"/>
          <cell r="F290"/>
          <cell r="G290"/>
          <cell r="H290"/>
          <cell r="I290">
            <v>1126.5625</v>
          </cell>
        </row>
        <row r="291">
          <cell r="B291"/>
          <cell r="C291"/>
          <cell r="D291"/>
          <cell r="E291"/>
          <cell r="F291" t="str">
            <v>Total Costo Directo</v>
          </cell>
          <cell r="G291"/>
          <cell r="H291"/>
          <cell r="I291">
            <v>281104</v>
          </cell>
        </row>
        <row r="292">
          <cell r="B292"/>
          <cell r="C292"/>
          <cell r="D292"/>
          <cell r="E292" t="str">
            <v>PORCENTAJE</v>
          </cell>
          <cell r="F292"/>
          <cell r="G292" t="str">
            <v>V. COSTO INDERECTO</v>
          </cell>
          <cell r="H292"/>
          <cell r="I292"/>
        </row>
        <row r="293">
          <cell r="B293"/>
          <cell r="C293"/>
          <cell r="D293"/>
          <cell r="E293">
            <v>0.02</v>
          </cell>
          <cell r="F293"/>
          <cell r="G293">
            <v>5622.08</v>
          </cell>
          <cell r="H293"/>
          <cell r="I293"/>
        </row>
        <row r="294">
          <cell r="B294"/>
          <cell r="C294"/>
          <cell r="D294"/>
          <cell r="E294">
            <v>0.23</v>
          </cell>
          <cell r="F294"/>
          <cell r="G294">
            <v>64653.920000000006</v>
          </cell>
          <cell r="H294"/>
          <cell r="I294"/>
        </row>
        <row r="295">
          <cell r="B295"/>
          <cell r="C295"/>
          <cell r="D295"/>
          <cell r="E295">
            <v>0.05</v>
          </cell>
          <cell r="F295"/>
          <cell r="G295">
            <v>14055.2</v>
          </cell>
          <cell r="H295"/>
          <cell r="I295"/>
        </row>
        <row r="296">
          <cell r="B296"/>
          <cell r="C296"/>
          <cell r="D296"/>
          <cell r="E296">
            <v>0.02</v>
          </cell>
          <cell r="F296"/>
          <cell r="G296">
            <v>5622.08</v>
          </cell>
          <cell r="H296"/>
          <cell r="I296"/>
        </row>
        <row r="297">
          <cell r="B297"/>
          <cell r="C297"/>
          <cell r="D297"/>
          <cell r="E297"/>
          <cell r="F297"/>
          <cell r="G297"/>
          <cell r="H297"/>
          <cell r="I297">
            <v>89953.279999999999</v>
          </cell>
        </row>
        <row r="298">
          <cell r="B298"/>
          <cell r="C298"/>
          <cell r="D298"/>
          <cell r="E298"/>
          <cell r="F298"/>
          <cell r="G298"/>
          <cell r="H298"/>
          <cell r="I298">
            <v>371057.28</v>
          </cell>
        </row>
        <row r="299">
          <cell r="B299"/>
          <cell r="C299"/>
          <cell r="D299"/>
          <cell r="E299"/>
          <cell r="F299"/>
          <cell r="G299"/>
          <cell r="H299"/>
          <cell r="I299"/>
        </row>
        <row r="300">
          <cell r="B300"/>
          <cell r="C300"/>
          <cell r="D300"/>
          <cell r="E300"/>
          <cell r="F300" t="str">
            <v>REVISA</v>
          </cell>
          <cell r="G300"/>
          <cell r="H300"/>
          <cell r="I300"/>
        </row>
        <row r="301">
          <cell r="B301"/>
          <cell r="C301"/>
          <cell r="D301"/>
          <cell r="E301"/>
          <cell r="F301" t="str">
            <v>FIRMA:</v>
          </cell>
          <cell r="G301"/>
          <cell r="H301"/>
          <cell r="I301"/>
        </row>
        <row r="302">
          <cell r="B302" t="str">
            <v>LINA MARCELA</v>
          </cell>
          <cell r="C302"/>
          <cell r="F302" t="str">
            <v>NOMBRE</v>
          </cell>
          <cell r="G302"/>
          <cell r="H302"/>
          <cell r="I302"/>
        </row>
        <row r="303">
          <cell r="B303" t="str">
            <v>05202-316814 ANT</v>
          </cell>
          <cell r="C303"/>
          <cell r="F303" t="str">
            <v>MAT:</v>
          </cell>
          <cell r="G303"/>
          <cell r="H303"/>
          <cell r="I303"/>
        </row>
        <row r="304">
          <cell r="B304"/>
          <cell r="C304"/>
          <cell r="F304"/>
          <cell r="G304"/>
          <cell r="H304"/>
          <cell r="I304"/>
        </row>
        <row r="305">
          <cell r="B305"/>
          <cell r="C305"/>
          <cell r="D305"/>
          <cell r="E305"/>
          <cell r="F305"/>
          <cell r="G305"/>
          <cell r="H305"/>
          <cell r="I305"/>
        </row>
        <row r="306">
          <cell r="B306"/>
          <cell r="C306"/>
          <cell r="D306"/>
          <cell r="E306"/>
          <cell r="F306"/>
          <cell r="G306"/>
          <cell r="H306"/>
          <cell r="I306"/>
        </row>
        <row r="307">
          <cell r="B307"/>
          <cell r="C307"/>
          <cell r="D307"/>
          <cell r="E307"/>
          <cell r="F307"/>
          <cell r="G307"/>
          <cell r="H307"/>
          <cell r="I307"/>
        </row>
        <row r="308">
          <cell r="B308"/>
          <cell r="C308"/>
          <cell r="D308"/>
          <cell r="E308"/>
          <cell r="F308"/>
          <cell r="G308"/>
          <cell r="H308"/>
          <cell r="I308"/>
        </row>
        <row r="309">
          <cell r="B309" t="str">
            <v>2.6</v>
          </cell>
          <cell r="C309" t="str">
            <v>DESCRIPCION:</v>
          </cell>
          <cell r="D309" t="str">
            <v>REALCE DE CAJAS DOMICILIARIAS MEDIDOR</v>
          </cell>
          <cell r="E309"/>
          <cell r="F309"/>
          <cell r="G309"/>
          <cell r="H309"/>
          <cell r="I309"/>
        </row>
        <row r="310">
          <cell r="B310" t="str">
            <v>812-EPM</v>
          </cell>
          <cell r="C310"/>
          <cell r="D310" t="str">
            <v>UNIDAD</v>
          </cell>
          <cell r="E310" t="str">
            <v>UNIDAD</v>
          </cell>
          <cell r="F310" t="str">
            <v>CANTIDAD</v>
          </cell>
          <cell r="G310">
            <v>165</v>
          </cell>
          <cell r="H310" t="str">
            <v>V. UNITARIO:</v>
          </cell>
          <cell r="I310">
            <v>71104</v>
          </cell>
        </row>
        <row r="311">
          <cell r="B311"/>
          <cell r="C311"/>
          <cell r="D311"/>
          <cell r="E311"/>
          <cell r="F311"/>
          <cell r="G311"/>
          <cell r="H311"/>
          <cell r="I311"/>
        </row>
        <row r="312">
          <cell r="B312"/>
          <cell r="C312"/>
          <cell r="D312"/>
          <cell r="E312"/>
          <cell r="F312" t="str">
            <v>Tarifa/Hora</v>
          </cell>
          <cell r="G312" t="str">
            <v>Rendimiento</v>
          </cell>
          <cell r="H312" t="str">
            <v>Valor-Unit.</v>
          </cell>
          <cell r="I312"/>
        </row>
        <row r="313">
          <cell r="B313"/>
          <cell r="C313"/>
          <cell r="D313"/>
          <cell r="E313"/>
          <cell r="F313"/>
          <cell r="G313"/>
          <cell r="H313">
            <v>0</v>
          </cell>
          <cell r="I313"/>
        </row>
        <row r="314">
          <cell r="B314"/>
          <cell r="C314"/>
          <cell r="D314"/>
          <cell r="E314"/>
          <cell r="F314" t="str">
            <v>Sub-Total</v>
          </cell>
          <cell r="G314" t="str">
            <v>2.6</v>
          </cell>
          <cell r="H314" t="str">
            <v>EQUI-2.6</v>
          </cell>
          <cell r="I314">
            <v>0</v>
          </cell>
        </row>
        <row r="315">
          <cell r="B315"/>
          <cell r="C315"/>
          <cell r="D315"/>
          <cell r="E315"/>
          <cell r="F315"/>
          <cell r="G315"/>
          <cell r="H315"/>
          <cell r="I315"/>
        </row>
        <row r="316">
          <cell r="B316"/>
          <cell r="C316"/>
          <cell r="D316"/>
          <cell r="E316" t="str">
            <v>UNIDAD</v>
          </cell>
          <cell r="F316" t="str">
            <v>V.UNIT</v>
          </cell>
          <cell r="G316" t="str">
            <v>CANT</v>
          </cell>
          <cell r="H316" t="str">
            <v>V.TOTAL</v>
          </cell>
          <cell r="I316"/>
        </row>
        <row r="317">
          <cell r="B317" t="str">
            <v>M006</v>
          </cell>
          <cell r="C317" t="str">
            <v>Concreto 2500 psi en obra</v>
          </cell>
          <cell r="D317"/>
          <cell r="E317" t="str">
            <v>M3</v>
          </cell>
          <cell r="F317">
            <v>439313</v>
          </cell>
          <cell r="G317">
            <v>0.10799999999999998</v>
          </cell>
          <cell r="H317">
            <v>47445.803999999996</v>
          </cell>
          <cell r="I317"/>
        </row>
        <row r="318">
          <cell r="B318"/>
          <cell r="C318"/>
          <cell r="D318"/>
          <cell r="E318"/>
          <cell r="F318" t="str">
            <v>Sub-Total</v>
          </cell>
          <cell r="G318" t="str">
            <v>2.6</v>
          </cell>
          <cell r="H318" t="str">
            <v>MAT-2.6</v>
          </cell>
          <cell r="I318">
            <v>47445.803999999996</v>
          </cell>
        </row>
        <row r="319">
          <cell r="B319"/>
          <cell r="C319"/>
          <cell r="D319"/>
          <cell r="E319"/>
          <cell r="F319"/>
          <cell r="G319"/>
          <cell r="H319"/>
          <cell r="I319"/>
        </row>
        <row r="320">
          <cell r="B320"/>
          <cell r="C320"/>
          <cell r="D320" t="str">
            <v xml:space="preserve">CAN </v>
          </cell>
          <cell r="E320" t="str">
            <v>DISTANCIA</v>
          </cell>
          <cell r="F320" t="str">
            <v>M3-Km / UN-KM</v>
          </cell>
          <cell r="G320" t="str">
            <v>TARIFA</v>
          </cell>
          <cell r="H320" t="str">
            <v>Valor-Unit.</v>
          </cell>
          <cell r="I320"/>
        </row>
        <row r="321">
          <cell r="B321"/>
          <cell r="C321"/>
          <cell r="D321"/>
          <cell r="E321"/>
          <cell r="F321"/>
          <cell r="G321"/>
          <cell r="H321">
            <v>0</v>
          </cell>
          <cell r="I321"/>
        </row>
        <row r="322">
          <cell r="B322"/>
          <cell r="C322"/>
          <cell r="D322"/>
          <cell r="E322"/>
          <cell r="F322" t="str">
            <v>Sub-Total</v>
          </cell>
          <cell r="G322" t="str">
            <v>2.6</v>
          </cell>
          <cell r="H322" t="str">
            <v>TRAN-2.6</v>
          </cell>
          <cell r="I322">
            <v>0</v>
          </cell>
        </row>
        <row r="323">
          <cell r="B323"/>
          <cell r="C323"/>
          <cell r="D323"/>
          <cell r="E323"/>
          <cell r="F323"/>
          <cell r="G323"/>
          <cell r="H323"/>
          <cell r="I323"/>
        </row>
        <row r="324">
          <cell r="B324"/>
          <cell r="C324"/>
          <cell r="D324" t="str">
            <v>JORNAL-HORA</v>
          </cell>
          <cell r="E324" t="str">
            <v>PRES</v>
          </cell>
          <cell r="F324" t="str">
            <v>Jornal Total</v>
          </cell>
          <cell r="G324" t="str">
            <v>Rendimiento</v>
          </cell>
          <cell r="H324" t="str">
            <v>Valor-Unit.</v>
          </cell>
          <cell r="I324"/>
        </row>
        <row r="325">
          <cell r="B325" t="str">
            <v>MO004</v>
          </cell>
          <cell r="C325" t="str">
            <v xml:space="preserve">oficial </v>
          </cell>
          <cell r="D325">
            <v>4833.333333333333</v>
          </cell>
          <cell r="E325"/>
          <cell r="F325">
            <v>4833.333333333333</v>
          </cell>
          <cell r="G325">
            <v>1.5</v>
          </cell>
          <cell r="H325">
            <v>7250</v>
          </cell>
          <cell r="I325"/>
        </row>
        <row r="326">
          <cell r="B326" t="str">
            <v>MO005</v>
          </cell>
          <cell r="C326" t="str">
            <v xml:space="preserve">ayudante entendido </v>
          </cell>
          <cell r="D326">
            <v>4833.333333333333</v>
          </cell>
          <cell r="E326"/>
          <cell r="F326">
            <v>4833.333333333333</v>
          </cell>
          <cell r="G326">
            <v>1.5</v>
          </cell>
          <cell r="H326">
            <v>7250</v>
          </cell>
          <cell r="I326"/>
        </row>
        <row r="327">
          <cell r="B327" t="str">
            <v>MO006</v>
          </cell>
          <cell r="C327" t="str">
            <v xml:space="preserve">ayudante </v>
          </cell>
          <cell r="D327">
            <v>4833.333333333333</v>
          </cell>
          <cell r="E327"/>
          <cell r="F327">
            <v>4833.333333333333</v>
          </cell>
          <cell r="G327">
            <v>1.5</v>
          </cell>
          <cell r="H327">
            <v>7250</v>
          </cell>
          <cell r="I327"/>
        </row>
        <row r="328">
          <cell r="B328" t="str">
            <v>MO007</v>
          </cell>
          <cell r="C328" t="str">
            <v>contra maestro</v>
          </cell>
          <cell r="D328">
            <v>5208.333333333333</v>
          </cell>
          <cell r="E328"/>
          <cell r="F328">
            <v>5208.333333333333</v>
          </cell>
          <cell r="G328">
            <v>0.15000000000000002</v>
          </cell>
          <cell r="H328">
            <v>781.25000000000011</v>
          </cell>
          <cell r="I328"/>
        </row>
        <row r="329">
          <cell r="B329"/>
          <cell r="C329"/>
          <cell r="D329"/>
          <cell r="E329"/>
          <cell r="F329"/>
          <cell r="G329"/>
          <cell r="H329"/>
          <cell r="I329"/>
        </row>
        <row r="330">
          <cell r="B330"/>
          <cell r="C330"/>
          <cell r="D330"/>
          <cell r="E330"/>
          <cell r="F330" t="str">
            <v>Sub-Total</v>
          </cell>
          <cell r="G330" t="str">
            <v>2.6</v>
          </cell>
          <cell r="H330" t="str">
            <v>MDEO-2.6</v>
          </cell>
          <cell r="I330">
            <v>22531.25</v>
          </cell>
        </row>
        <row r="331">
          <cell r="B331"/>
          <cell r="C331"/>
          <cell r="D331"/>
          <cell r="E331"/>
          <cell r="F331"/>
          <cell r="G331"/>
          <cell r="H331"/>
          <cell r="I331">
            <v>1126.5625</v>
          </cell>
        </row>
        <row r="332">
          <cell r="B332"/>
          <cell r="C332"/>
          <cell r="D332"/>
          <cell r="E332"/>
          <cell r="F332" t="str">
            <v>Total Costo Directo</v>
          </cell>
          <cell r="G332"/>
          <cell r="H332"/>
          <cell r="I332">
            <v>71104</v>
          </cell>
        </row>
        <row r="333">
          <cell r="B333"/>
          <cell r="C333"/>
          <cell r="D333"/>
          <cell r="E333" t="str">
            <v>PORCENTAJE</v>
          </cell>
          <cell r="F333"/>
          <cell r="G333" t="str">
            <v>V. COSTO INDERECTO</v>
          </cell>
          <cell r="H333"/>
          <cell r="I333"/>
        </row>
        <row r="334">
          <cell r="B334"/>
          <cell r="C334"/>
          <cell r="D334"/>
          <cell r="E334">
            <v>0.02</v>
          </cell>
          <cell r="F334"/>
          <cell r="G334">
            <v>1422.08</v>
          </cell>
          <cell r="H334"/>
          <cell r="I334"/>
        </row>
        <row r="335">
          <cell r="B335"/>
          <cell r="C335"/>
          <cell r="D335"/>
          <cell r="E335">
            <v>0.23</v>
          </cell>
          <cell r="F335"/>
          <cell r="G335">
            <v>16353.92</v>
          </cell>
          <cell r="H335"/>
          <cell r="I335"/>
        </row>
        <row r="336">
          <cell r="B336"/>
          <cell r="C336"/>
          <cell r="D336"/>
          <cell r="E336">
            <v>0.05</v>
          </cell>
          <cell r="F336"/>
          <cell r="G336">
            <v>3555.2000000000003</v>
          </cell>
          <cell r="H336"/>
          <cell r="I336"/>
        </row>
        <row r="337">
          <cell r="B337"/>
          <cell r="C337"/>
          <cell r="D337"/>
          <cell r="E337">
            <v>0.02</v>
          </cell>
          <cell r="F337"/>
          <cell r="G337">
            <v>1422.08</v>
          </cell>
          <cell r="H337"/>
          <cell r="I337"/>
        </row>
        <row r="338">
          <cell r="B338"/>
          <cell r="C338"/>
          <cell r="D338"/>
          <cell r="E338"/>
          <cell r="F338"/>
          <cell r="G338"/>
          <cell r="H338"/>
          <cell r="I338">
            <v>22753.279999999999</v>
          </cell>
        </row>
        <row r="339">
          <cell r="B339"/>
          <cell r="C339"/>
          <cell r="D339"/>
          <cell r="E339"/>
          <cell r="F339"/>
          <cell r="G339"/>
          <cell r="H339"/>
          <cell r="I339">
            <v>93857.279999999999</v>
          </cell>
        </row>
        <row r="340">
          <cell r="B340"/>
          <cell r="C340"/>
          <cell r="D340"/>
          <cell r="E340"/>
          <cell r="F340"/>
          <cell r="G340"/>
          <cell r="H340"/>
          <cell r="I340"/>
        </row>
        <row r="341">
          <cell r="B341"/>
          <cell r="C341"/>
          <cell r="D341"/>
          <cell r="E341"/>
          <cell r="F341" t="str">
            <v>REVISA</v>
          </cell>
          <cell r="G341"/>
          <cell r="H341"/>
          <cell r="I341"/>
        </row>
        <row r="342">
          <cell r="B342"/>
          <cell r="C342"/>
          <cell r="D342"/>
          <cell r="E342"/>
          <cell r="F342" t="str">
            <v>FIRMA:</v>
          </cell>
          <cell r="G342"/>
          <cell r="H342"/>
          <cell r="I342"/>
        </row>
        <row r="343">
          <cell r="B343" t="str">
            <v>LINA MARCELA</v>
          </cell>
          <cell r="C343"/>
          <cell r="F343" t="str">
            <v>NOMBRE</v>
          </cell>
          <cell r="G343"/>
          <cell r="H343"/>
          <cell r="I343"/>
        </row>
        <row r="344">
          <cell r="B344" t="str">
            <v>05202-316814 ANT</v>
          </cell>
          <cell r="C344"/>
          <cell r="F344" t="str">
            <v>MAT:</v>
          </cell>
          <cell r="G344"/>
          <cell r="H344"/>
          <cell r="I344"/>
        </row>
        <row r="345">
          <cell r="B345"/>
          <cell r="C345"/>
          <cell r="F345"/>
          <cell r="G345"/>
          <cell r="H345"/>
          <cell r="I345"/>
        </row>
        <row r="346">
          <cell r="B346"/>
          <cell r="C346"/>
          <cell r="D346"/>
          <cell r="E346"/>
          <cell r="F346"/>
          <cell r="G346"/>
          <cell r="H346"/>
          <cell r="I346"/>
        </row>
        <row r="347">
          <cell r="B347"/>
          <cell r="C347"/>
          <cell r="D347"/>
          <cell r="E347"/>
          <cell r="F347"/>
          <cell r="G347"/>
          <cell r="H347"/>
          <cell r="I347"/>
        </row>
        <row r="348">
          <cell r="B348"/>
          <cell r="C348"/>
          <cell r="D348"/>
          <cell r="E348"/>
          <cell r="F348"/>
          <cell r="G348"/>
          <cell r="H348"/>
          <cell r="I348"/>
        </row>
        <row r="349">
          <cell r="B349"/>
          <cell r="C349"/>
          <cell r="D349"/>
          <cell r="E349"/>
          <cell r="F349"/>
          <cell r="G349"/>
          <cell r="H349"/>
          <cell r="I349"/>
        </row>
        <row r="350">
          <cell r="B350" t="str">
            <v>2.7</v>
          </cell>
          <cell r="C350" t="str">
            <v>DESCRIPCION:</v>
          </cell>
          <cell r="D350" t="str">
            <v>TUBERIA NOVAFORT 300MM  PARA SUMIDEROS</v>
          </cell>
          <cell r="E350"/>
          <cell r="F350"/>
          <cell r="G350"/>
          <cell r="H350"/>
          <cell r="I350"/>
        </row>
        <row r="351">
          <cell r="B351" t="str">
            <v>803A-EPM</v>
          </cell>
          <cell r="C351"/>
          <cell r="D351" t="str">
            <v>UNIDAD</v>
          </cell>
          <cell r="E351" t="str">
            <v>ML</v>
          </cell>
          <cell r="F351" t="str">
            <v>CANTIDAD</v>
          </cell>
          <cell r="G351">
            <v>1797</v>
          </cell>
          <cell r="H351" t="str">
            <v>V. UNITARIO:</v>
          </cell>
          <cell r="I351">
            <v>119612</v>
          </cell>
        </row>
        <row r="352">
          <cell r="B352"/>
          <cell r="C352"/>
          <cell r="D352"/>
          <cell r="E352"/>
          <cell r="F352"/>
          <cell r="G352"/>
          <cell r="H352"/>
          <cell r="I352"/>
        </row>
        <row r="353">
          <cell r="B353"/>
          <cell r="C353"/>
          <cell r="D353"/>
          <cell r="E353"/>
          <cell r="F353" t="str">
            <v>Tarifa/Hora</v>
          </cell>
          <cell r="G353" t="str">
            <v>Rendimiento</v>
          </cell>
          <cell r="H353" t="str">
            <v>Valor-Unit.</v>
          </cell>
          <cell r="I353"/>
        </row>
        <row r="354">
          <cell r="B354"/>
          <cell r="C354"/>
          <cell r="D354"/>
          <cell r="E354"/>
          <cell r="F354"/>
          <cell r="G354"/>
          <cell r="H354">
            <v>0</v>
          </cell>
          <cell r="I354"/>
        </row>
        <row r="355">
          <cell r="B355"/>
          <cell r="C355"/>
          <cell r="D355"/>
          <cell r="E355"/>
          <cell r="F355" t="str">
            <v>Sub-Total</v>
          </cell>
          <cell r="G355" t="str">
            <v>2.7</v>
          </cell>
          <cell r="H355" t="str">
            <v>EQUI-2.7</v>
          </cell>
          <cell r="I355">
            <v>0</v>
          </cell>
        </row>
        <row r="356">
          <cell r="B356"/>
          <cell r="C356"/>
          <cell r="D356"/>
          <cell r="E356"/>
          <cell r="F356"/>
          <cell r="G356"/>
          <cell r="H356"/>
          <cell r="I356"/>
        </row>
        <row r="357">
          <cell r="B357"/>
          <cell r="C357"/>
          <cell r="D357"/>
          <cell r="E357" t="str">
            <v>UNIDAD</v>
          </cell>
          <cell r="F357" t="str">
            <v>V.UNIT</v>
          </cell>
          <cell r="G357" t="str">
            <v>CANT</v>
          </cell>
          <cell r="H357" t="str">
            <v>V.TOTAL</v>
          </cell>
          <cell r="I357"/>
        </row>
        <row r="358">
          <cell r="B358" t="str">
            <v>M018</v>
          </cell>
          <cell r="C358" t="str">
            <v>Tubería Novafort 12"</v>
          </cell>
          <cell r="D358"/>
          <cell r="E358" t="str">
            <v>ML</v>
          </cell>
          <cell r="F358">
            <v>102263.16666666667</v>
          </cell>
          <cell r="G358">
            <v>1</v>
          </cell>
          <cell r="H358">
            <v>102263.16666666667</v>
          </cell>
          <cell r="I358"/>
        </row>
        <row r="359">
          <cell r="B359"/>
          <cell r="C359"/>
          <cell r="D359"/>
          <cell r="E359"/>
          <cell r="F359" t="str">
            <v>Sub-Total</v>
          </cell>
          <cell r="G359" t="str">
            <v>2.7</v>
          </cell>
          <cell r="H359" t="str">
            <v>MAT-2.7</v>
          </cell>
          <cell r="I359">
            <v>102263.16666666667</v>
          </cell>
        </row>
        <row r="360">
          <cell r="B360"/>
          <cell r="C360"/>
          <cell r="D360"/>
          <cell r="E360"/>
          <cell r="F360"/>
          <cell r="G360"/>
          <cell r="H360"/>
          <cell r="I360"/>
        </row>
        <row r="361">
          <cell r="B361"/>
          <cell r="C361"/>
          <cell r="D361" t="str">
            <v xml:space="preserve">CAN </v>
          </cell>
          <cell r="E361" t="str">
            <v>DISTANCIA</v>
          </cell>
          <cell r="F361" t="str">
            <v>M3-Km / UN-KM</v>
          </cell>
          <cell r="G361" t="str">
            <v>TARIFA</v>
          </cell>
          <cell r="H361" t="str">
            <v>Valor-Unit.</v>
          </cell>
          <cell r="I361"/>
        </row>
        <row r="362">
          <cell r="B362"/>
          <cell r="C362"/>
          <cell r="D362"/>
          <cell r="E362"/>
          <cell r="F362"/>
          <cell r="G362"/>
          <cell r="H362">
            <v>0</v>
          </cell>
          <cell r="I362"/>
        </row>
        <row r="363">
          <cell r="B363"/>
          <cell r="C363"/>
          <cell r="D363"/>
          <cell r="E363"/>
          <cell r="F363" t="str">
            <v>Sub-Total</v>
          </cell>
          <cell r="G363" t="str">
            <v>2.7</v>
          </cell>
          <cell r="H363" t="str">
            <v>TRAN-2.7</v>
          </cell>
          <cell r="I363">
            <v>0</v>
          </cell>
        </row>
        <row r="364">
          <cell r="B364"/>
          <cell r="C364"/>
          <cell r="D364"/>
          <cell r="E364"/>
          <cell r="F364"/>
          <cell r="G364"/>
          <cell r="H364"/>
          <cell r="I364"/>
        </row>
        <row r="365">
          <cell r="B365"/>
          <cell r="C365"/>
          <cell r="D365" t="str">
            <v>JORNAL-HORA</v>
          </cell>
          <cell r="E365" t="str">
            <v>PRES</v>
          </cell>
          <cell r="F365" t="str">
            <v>Jornal Total</v>
          </cell>
          <cell r="G365" t="str">
            <v>Rendimiento</v>
          </cell>
          <cell r="H365" t="str">
            <v>Valor-Unit.</v>
          </cell>
          <cell r="I365"/>
        </row>
        <row r="366">
          <cell r="B366" t="str">
            <v>MO004</v>
          </cell>
          <cell r="C366" t="str">
            <v xml:space="preserve">oficial </v>
          </cell>
          <cell r="D366">
            <v>4833.333333333333</v>
          </cell>
          <cell r="E366"/>
          <cell r="F366">
            <v>4833.333333333333</v>
          </cell>
          <cell r="G366">
            <v>1.1000000000000001</v>
          </cell>
          <cell r="H366">
            <v>5316.666666666667</v>
          </cell>
          <cell r="I366"/>
        </row>
        <row r="367">
          <cell r="B367" t="str">
            <v>MO005</v>
          </cell>
          <cell r="C367" t="str">
            <v xml:space="preserve">ayudante entendido </v>
          </cell>
          <cell r="D367">
            <v>4833.333333333333</v>
          </cell>
          <cell r="E367"/>
          <cell r="F367">
            <v>4833.333333333333</v>
          </cell>
          <cell r="G367">
            <v>1.1000000000000001</v>
          </cell>
          <cell r="H367">
            <v>5316.666666666667</v>
          </cell>
          <cell r="I367"/>
        </row>
        <row r="368">
          <cell r="B368" t="str">
            <v>MO006</v>
          </cell>
          <cell r="C368" t="str">
            <v xml:space="preserve">ayudante </v>
          </cell>
          <cell r="D368">
            <v>4833.333333333333</v>
          </cell>
          <cell r="E368"/>
          <cell r="F368">
            <v>4833.333333333333</v>
          </cell>
          <cell r="G368">
            <v>1.1000000000000001</v>
          </cell>
          <cell r="H368">
            <v>5316.666666666667</v>
          </cell>
          <cell r="I368"/>
        </row>
        <row r="369">
          <cell r="B369" t="str">
            <v>MO007</v>
          </cell>
          <cell r="C369" t="str">
            <v>contra maestro</v>
          </cell>
          <cell r="D369">
            <v>5208.333333333333</v>
          </cell>
          <cell r="E369"/>
          <cell r="F369">
            <v>5208.333333333333</v>
          </cell>
          <cell r="G369">
            <v>0.11000000000000001</v>
          </cell>
          <cell r="H369">
            <v>572.91666666666674</v>
          </cell>
          <cell r="I369"/>
        </row>
        <row r="370">
          <cell r="B370"/>
          <cell r="C370"/>
          <cell r="D370"/>
          <cell r="E370"/>
          <cell r="F370"/>
          <cell r="G370"/>
          <cell r="H370"/>
          <cell r="I370"/>
        </row>
        <row r="371">
          <cell r="B371"/>
          <cell r="C371"/>
          <cell r="D371"/>
          <cell r="E371"/>
          <cell r="F371" t="str">
            <v>Sub-Total</v>
          </cell>
          <cell r="G371" t="str">
            <v>2.7</v>
          </cell>
          <cell r="H371" t="str">
            <v>MDEO-2.7</v>
          </cell>
          <cell r="I371">
            <v>16522.916666666668</v>
          </cell>
        </row>
        <row r="372">
          <cell r="B372"/>
          <cell r="C372"/>
          <cell r="D372"/>
          <cell r="E372"/>
          <cell r="F372"/>
          <cell r="G372"/>
          <cell r="H372"/>
          <cell r="I372">
            <v>826.14583333333348</v>
          </cell>
        </row>
        <row r="373">
          <cell r="B373"/>
          <cell r="C373"/>
          <cell r="D373"/>
          <cell r="E373"/>
          <cell r="F373" t="str">
            <v>Total Costo Directo</v>
          </cell>
          <cell r="G373"/>
          <cell r="H373"/>
          <cell r="I373">
            <v>119612</v>
          </cell>
        </row>
        <row r="374">
          <cell r="B374"/>
          <cell r="C374"/>
          <cell r="D374"/>
          <cell r="E374" t="str">
            <v>PORCENTAJE</v>
          </cell>
          <cell r="F374"/>
          <cell r="G374" t="str">
            <v>V. COSTO INDERECTO</v>
          </cell>
          <cell r="H374"/>
          <cell r="I374"/>
        </row>
        <row r="375">
          <cell r="B375"/>
          <cell r="C375"/>
          <cell r="D375"/>
          <cell r="E375">
            <v>0.02</v>
          </cell>
          <cell r="F375"/>
          <cell r="G375">
            <v>2392.2400000000002</v>
          </cell>
          <cell r="H375"/>
          <cell r="I375"/>
        </row>
        <row r="376">
          <cell r="B376"/>
          <cell r="C376"/>
          <cell r="D376"/>
          <cell r="E376">
            <v>0.23</v>
          </cell>
          <cell r="F376"/>
          <cell r="G376">
            <v>27510.760000000002</v>
          </cell>
          <cell r="H376"/>
          <cell r="I376"/>
        </row>
        <row r="377">
          <cell r="B377"/>
          <cell r="C377"/>
          <cell r="D377"/>
          <cell r="E377">
            <v>0.05</v>
          </cell>
          <cell r="F377"/>
          <cell r="G377">
            <v>5980.6</v>
          </cell>
          <cell r="H377"/>
          <cell r="I377"/>
        </row>
        <row r="378">
          <cell r="B378"/>
          <cell r="C378"/>
          <cell r="D378"/>
          <cell r="E378">
            <v>0.02</v>
          </cell>
          <cell r="F378"/>
          <cell r="G378">
            <v>2392.2400000000002</v>
          </cell>
          <cell r="H378"/>
          <cell r="I378"/>
        </row>
        <row r="379">
          <cell r="B379"/>
          <cell r="C379"/>
          <cell r="D379"/>
          <cell r="E379"/>
          <cell r="F379"/>
          <cell r="G379"/>
          <cell r="H379"/>
          <cell r="I379">
            <v>38275.840000000004</v>
          </cell>
        </row>
        <row r="380">
          <cell r="B380"/>
          <cell r="C380"/>
          <cell r="D380"/>
          <cell r="E380"/>
          <cell r="F380"/>
          <cell r="G380"/>
          <cell r="H380"/>
          <cell r="I380">
            <v>157887.84</v>
          </cell>
        </row>
        <row r="381">
          <cell r="B381"/>
          <cell r="C381"/>
          <cell r="D381"/>
          <cell r="E381"/>
          <cell r="F381"/>
          <cell r="G381"/>
          <cell r="H381"/>
          <cell r="I381"/>
        </row>
        <row r="382">
          <cell r="B382"/>
          <cell r="C382"/>
          <cell r="D382"/>
          <cell r="E382"/>
          <cell r="F382" t="str">
            <v>REVISA</v>
          </cell>
          <cell r="G382"/>
          <cell r="H382"/>
          <cell r="I382"/>
        </row>
        <row r="383">
          <cell r="B383"/>
          <cell r="C383"/>
          <cell r="D383"/>
          <cell r="E383"/>
          <cell r="F383" t="str">
            <v>FIRMA:</v>
          </cell>
          <cell r="G383"/>
          <cell r="H383"/>
          <cell r="I383"/>
        </row>
        <row r="384">
          <cell r="B384" t="str">
            <v>JHON EMIR GAMBOA MENA</v>
          </cell>
          <cell r="C384"/>
          <cell r="F384" t="str">
            <v>NOMBRE</v>
          </cell>
          <cell r="G384"/>
          <cell r="H384"/>
          <cell r="I384"/>
        </row>
        <row r="385">
          <cell r="B385" t="str">
            <v>05202-316814 ANT</v>
          </cell>
          <cell r="C385"/>
          <cell r="F385" t="str">
            <v>MAT:</v>
          </cell>
          <cell r="G385"/>
          <cell r="H385"/>
          <cell r="I385"/>
        </row>
        <row r="386">
          <cell r="B386"/>
          <cell r="C386"/>
          <cell r="F386"/>
          <cell r="G386"/>
          <cell r="H386"/>
          <cell r="I386"/>
        </row>
        <row r="387">
          <cell r="B387"/>
          <cell r="C387"/>
          <cell r="D387"/>
          <cell r="E387"/>
          <cell r="F387"/>
          <cell r="G387"/>
          <cell r="H387"/>
          <cell r="I387"/>
        </row>
        <row r="388">
          <cell r="B388"/>
          <cell r="C388"/>
          <cell r="D388"/>
          <cell r="E388"/>
          <cell r="F388"/>
          <cell r="G388"/>
          <cell r="H388"/>
          <cell r="I388"/>
        </row>
        <row r="389">
          <cell r="B389"/>
          <cell r="C389"/>
          <cell r="D389"/>
          <cell r="E389"/>
          <cell r="F389"/>
          <cell r="G389"/>
          <cell r="H389"/>
          <cell r="I389"/>
        </row>
        <row r="391">
          <cell r="B391"/>
          <cell r="C391"/>
          <cell r="D391"/>
          <cell r="E391"/>
          <cell r="F391"/>
          <cell r="G391"/>
          <cell r="H391"/>
          <cell r="I391"/>
        </row>
        <row r="392">
          <cell r="B392" t="str">
            <v>2.8</v>
          </cell>
          <cell r="C392" t="str">
            <v>DESCRIPCION:</v>
          </cell>
          <cell r="D392" t="str">
            <v>TUBERIA NOVAFORT 400MM  PARA RED AGUAS LLUVIAS</v>
          </cell>
          <cell r="E392"/>
          <cell r="F392"/>
          <cell r="G392"/>
          <cell r="H392"/>
          <cell r="I392"/>
        </row>
        <row r="393">
          <cell r="B393" t="str">
            <v>803B-EPM</v>
          </cell>
          <cell r="C393"/>
          <cell r="D393" t="str">
            <v>UNIDAD</v>
          </cell>
          <cell r="E393" t="str">
            <v>ML</v>
          </cell>
          <cell r="F393" t="str">
            <v>CANTIDAD</v>
          </cell>
          <cell r="G393">
            <v>1428.02</v>
          </cell>
          <cell r="H393" t="str">
            <v>V. UNITARIO:</v>
          </cell>
          <cell r="I393">
            <v>206374</v>
          </cell>
        </row>
        <row r="394">
          <cell r="B394"/>
          <cell r="C394"/>
          <cell r="D394"/>
          <cell r="E394"/>
          <cell r="F394"/>
          <cell r="G394"/>
          <cell r="H394"/>
          <cell r="I394"/>
        </row>
        <row r="395">
          <cell r="B395"/>
          <cell r="C395"/>
          <cell r="D395"/>
          <cell r="E395"/>
          <cell r="F395" t="str">
            <v>Tarifa/Hora</v>
          </cell>
          <cell r="G395" t="str">
            <v>Rendimiento</v>
          </cell>
          <cell r="H395" t="str">
            <v>Valor-Unit.</v>
          </cell>
          <cell r="I395"/>
        </row>
        <row r="396">
          <cell r="B396"/>
          <cell r="C396"/>
          <cell r="D396"/>
          <cell r="E396"/>
          <cell r="F396"/>
          <cell r="G396"/>
          <cell r="H396">
            <v>0</v>
          </cell>
          <cell r="I396"/>
        </row>
        <row r="397">
          <cell r="B397"/>
          <cell r="C397"/>
          <cell r="D397"/>
          <cell r="E397"/>
          <cell r="F397" t="str">
            <v>Sub-Total</v>
          </cell>
          <cell r="G397" t="str">
            <v>2.8</v>
          </cell>
          <cell r="H397" t="str">
            <v>EQUI-2.8</v>
          </cell>
          <cell r="I397">
            <v>0</v>
          </cell>
        </row>
        <row r="398">
          <cell r="B398"/>
          <cell r="C398"/>
          <cell r="D398"/>
          <cell r="E398"/>
          <cell r="F398"/>
          <cell r="G398"/>
          <cell r="H398"/>
          <cell r="I398"/>
        </row>
        <row r="399">
          <cell r="B399"/>
          <cell r="C399"/>
          <cell r="D399"/>
          <cell r="E399" t="str">
            <v>UNIDAD</v>
          </cell>
          <cell r="F399" t="str">
            <v>V.UNIT</v>
          </cell>
          <cell r="G399" t="str">
            <v>CANT</v>
          </cell>
          <cell r="H399" t="str">
            <v>V.TOTAL</v>
          </cell>
          <cell r="I399"/>
        </row>
        <row r="400">
          <cell r="B400" t="str">
            <v>M020</v>
          </cell>
          <cell r="C400" t="str">
            <v>Tubería Novafort 16"</v>
          </cell>
          <cell r="D400"/>
          <cell r="E400" t="str">
            <v>ML</v>
          </cell>
          <cell r="F400">
            <v>187447.5</v>
          </cell>
          <cell r="G400">
            <v>1</v>
          </cell>
          <cell r="H400">
            <v>187447.5</v>
          </cell>
          <cell r="I400"/>
        </row>
        <row r="401">
          <cell r="B401"/>
          <cell r="C401"/>
          <cell r="D401"/>
          <cell r="E401"/>
          <cell r="F401" t="str">
            <v>Sub-Total</v>
          </cell>
          <cell r="G401" t="str">
            <v>2.8</v>
          </cell>
          <cell r="H401" t="str">
            <v>MAT-2.8</v>
          </cell>
          <cell r="I401">
            <v>187447.5</v>
          </cell>
        </row>
        <row r="402">
          <cell r="B402"/>
          <cell r="C402"/>
          <cell r="D402"/>
          <cell r="E402"/>
          <cell r="F402"/>
          <cell r="G402"/>
          <cell r="H402"/>
          <cell r="I402"/>
        </row>
        <row r="403">
          <cell r="B403"/>
          <cell r="C403"/>
          <cell r="D403" t="str">
            <v xml:space="preserve">CAN </v>
          </cell>
          <cell r="E403" t="str">
            <v>DISTANCIA</v>
          </cell>
          <cell r="F403" t="str">
            <v>M3-Km / UN-KM</v>
          </cell>
          <cell r="G403" t="str">
            <v>TARIFA</v>
          </cell>
          <cell r="H403" t="str">
            <v>Valor-Unit.</v>
          </cell>
          <cell r="I403"/>
        </row>
        <row r="404">
          <cell r="B404"/>
          <cell r="C404"/>
          <cell r="D404"/>
          <cell r="E404"/>
          <cell r="F404"/>
          <cell r="G404"/>
          <cell r="H404">
            <v>0</v>
          </cell>
          <cell r="I404"/>
        </row>
        <row r="405">
          <cell r="B405"/>
          <cell r="C405"/>
          <cell r="D405"/>
          <cell r="E405"/>
          <cell r="F405" t="str">
            <v>Sub-Total</v>
          </cell>
          <cell r="G405" t="str">
            <v>2.8</v>
          </cell>
          <cell r="H405" t="str">
            <v>TRAN-2.8</v>
          </cell>
          <cell r="I405">
            <v>0</v>
          </cell>
        </row>
        <row r="406">
          <cell r="B406"/>
          <cell r="C406"/>
          <cell r="D406"/>
          <cell r="E406"/>
          <cell r="F406"/>
          <cell r="G406"/>
          <cell r="H406"/>
          <cell r="I406"/>
        </row>
        <row r="407">
          <cell r="B407"/>
          <cell r="C407"/>
          <cell r="D407" t="str">
            <v>JORNAL-HORA</v>
          </cell>
          <cell r="E407" t="str">
            <v>PRES</v>
          </cell>
          <cell r="F407" t="str">
            <v>Jornal Total</v>
          </cell>
          <cell r="G407" t="str">
            <v>Rendimiento</v>
          </cell>
          <cell r="H407" t="str">
            <v>Valor-Unit.</v>
          </cell>
          <cell r="I407"/>
        </row>
        <row r="408">
          <cell r="B408" t="str">
            <v>MO004</v>
          </cell>
          <cell r="C408" t="str">
            <v xml:space="preserve">oficial </v>
          </cell>
          <cell r="D408">
            <v>4833.333333333333</v>
          </cell>
          <cell r="E408"/>
          <cell r="F408">
            <v>4833.333333333333</v>
          </cell>
          <cell r="G408">
            <v>1.2</v>
          </cell>
          <cell r="H408">
            <v>5799.9999999999991</v>
          </cell>
          <cell r="I408"/>
        </row>
        <row r="409">
          <cell r="B409" t="str">
            <v>MO005</v>
          </cell>
          <cell r="C409" t="str">
            <v xml:space="preserve">ayudante entendido </v>
          </cell>
          <cell r="D409">
            <v>4833.333333333333</v>
          </cell>
          <cell r="E409"/>
          <cell r="F409">
            <v>4833.333333333333</v>
          </cell>
          <cell r="G409">
            <v>1.2</v>
          </cell>
          <cell r="H409">
            <v>5799.9999999999991</v>
          </cell>
          <cell r="I409"/>
        </row>
        <row r="410">
          <cell r="B410" t="str">
            <v>MO006</v>
          </cell>
          <cell r="C410" t="str">
            <v xml:space="preserve">ayudante </v>
          </cell>
          <cell r="D410">
            <v>4833.333333333333</v>
          </cell>
          <cell r="E410"/>
          <cell r="F410">
            <v>4833.333333333333</v>
          </cell>
          <cell r="G410">
            <v>1.2</v>
          </cell>
          <cell r="H410">
            <v>5799.9999999999991</v>
          </cell>
          <cell r="I410"/>
        </row>
        <row r="411">
          <cell r="B411" t="str">
            <v>MO007</v>
          </cell>
          <cell r="C411" t="str">
            <v>contra maestro</v>
          </cell>
          <cell r="D411">
            <v>5208.333333333333</v>
          </cell>
          <cell r="E411"/>
          <cell r="F411">
            <v>5208.333333333333</v>
          </cell>
          <cell r="G411">
            <v>0.12</v>
          </cell>
          <cell r="H411">
            <v>624.99999999999989</v>
          </cell>
          <cell r="I411"/>
        </row>
        <row r="412">
          <cell r="B412"/>
          <cell r="C412"/>
          <cell r="D412"/>
          <cell r="E412"/>
          <cell r="F412" t="str">
            <v>Sub-Total</v>
          </cell>
          <cell r="G412" t="str">
            <v>2.8</v>
          </cell>
          <cell r="H412" t="str">
            <v>MDEO-2.8</v>
          </cell>
          <cell r="I412">
            <v>18024.999999999996</v>
          </cell>
        </row>
        <row r="413">
          <cell r="B413"/>
          <cell r="C413"/>
          <cell r="D413"/>
          <cell r="E413"/>
          <cell r="F413"/>
          <cell r="G413"/>
          <cell r="H413"/>
          <cell r="I413">
            <v>901.24999999999989</v>
          </cell>
        </row>
        <row r="414">
          <cell r="B414"/>
          <cell r="C414"/>
          <cell r="D414"/>
          <cell r="E414"/>
          <cell r="F414" t="str">
            <v>Total Costo Directo</v>
          </cell>
          <cell r="G414"/>
          <cell r="H414"/>
          <cell r="I414">
            <v>206374</v>
          </cell>
        </row>
        <row r="415">
          <cell r="B415"/>
          <cell r="C415"/>
          <cell r="D415"/>
          <cell r="E415" t="str">
            <v>PORCENTAJE</v>
          </cell>
          <cell r="F415"/>
          <cell r="G415" t="str">
            <v>V. COSTO INDERECTO</v>
          </cell>
          <cell r="H415"/>
          <cell r="I415"/>
        </row>
        <row r="416">
          <cell r="B416"/>
          <cell r="C416"/>
          <cell r="D416"/>
          <cell r="E416">
            <v>0.02</v>
          </cell>
          <cell r="F416"/>
          <cell r="G416">
            <v>4127.4800000000005</v>
          </cell>
          <cell r="H416"/>
          <cell r="I416"/>
        </row>
        <row r="417">
          <cell r="B417"/>
          <cell r="C417"/>
          <cell r="D417"/>
          <cell r="E417">
            <v>0.23</v>
          </cell>
          <cell r="F417"/>
          <cell r="G417">
            <v>47466.020000000004</v>
          </cell>
          <cell r="H417"/>
          <cell r="I417"/>
        </row>
        <row r="418">
          <cell r="B418"/>
          <cell r="C418"/>
          <cell r="D418"/>
          <cell r="E418">
            <v>0.05</v>
          </cell>
          <cell r="F418"/>
          <cell r="G418">
            <v>10318.700000000001</v>
          </cell>
          <cell r="H418"/>
          <cell r="I418"/>
        </row>
        <row r="419">
          <cell r="B419"/>
          <cell r="C419"/>
          <cell r="D419"/>
          <cell r="E419">
            <v>0.02</v>
          </cell>
          <cell r="F419"/>
          <cell r="G419">
            <v>4127.4800000000005</v>
          </cell>
          <cell r="H419"/>
          <cell r="I419"/>
        </row>
        <row r="420">
          <cell r="B420"/>
          <cell r="C420"/>
          <cell r="D420"/>
          <cell r="E420"/>
          <cell r="F420"/>
          <cell r="G420"/>
          <cell r="H420"/>
          <cell r="I420">
            <v>66039.680000000008</v>
          </cell>
        </row>
        <row r="421">
          <cell r="B421"/>
          <cell r="C421"/>
          <cell r="D421"/>
          <cell r="E421"/>
          <cell r="F421"/>
          <cell r="G421"/>
          <cell r="H421"/>
          <cell r="I421">
            <v>272413.68</v>
          </cell>
        </row>
        <row r="422">
          <cell r="B422"/>
          <cell r="C422"/>
          <cell r="D422"/>
          <cell r="E422"/>
          <cell r="F422"/>
          <cell r="G422"/>
          <cell r="H422"/>
          <cell r="I422"/>
        </row>
        <row r="423">
          <cell r="B423"/>
          <cell r="C423"/>
          <cell r="D423"/>
          <cell r="E423"/>
          <cell r="F423" t="str">
            <v>REVISA</v>
          </cell>
          <cell r="G423"/>
          <cell r="H423"/>
          <cell r="I423"/>
        </row>
        <row r="424">
          <cell r="B424"/>
          <cell r="C424"/>
          <cell r="D424"/>
          <cell r="E424"/>
          <cell r="F424" t="str">
            <v>FIRMA:</v>
          </cell>
          <cell r="G424"/>
          <cell r="H424"/>
          <cell r="I424"/>
        </row>
        <row r="425">
          <cell r="B425" t="str">
            <v>JHON EMIR GAMBOA MENA</v>
          </cell>
          <cell r="C425"/>
          <cell r="F425" t="str">
            <v>NOMBRE</v>
          </cell>
          <cell r="G425"/>
          <cell r="H425"/>
          <cell r="I425"/>
        </row>
        <row r="426">
          <cell r="B426" t="str">
            <v>05202-316814 ANT</v>
          </cell>
          <cell r="C426"/>
          <cell r="F426" t="str">
            <v>MAT:</v>
          </cell>
          <cell r="G426"/>
          <cell r="H426"/>
          <cell r="I426"/>
        </row>
        <row r="427">
          <cell r="B427"/>
          <cell r="C427"/>
          <cell r="F427"/>
          <cell r="G427"/>
          <cell r="H427"/>
          <cell r="I427"/>
        </row>
        <row r="428">
          <cell r="B428"/>
          <cell r="C428"/>
          <cell r="D428"/>
          <cell r="E428"/>
          <cell r="F428"/>
          <cell r="G428"/>
          <cell r="H428"/>
          <cell r="I428"/>
        </row>
        <row r="429">
          <cell r="B429"/>
          <cell r="C429"/>
          <cell r="D429"/>
          <cell r="E429"/>
          <cell r="F429"/>
          <cell r="G429"/>
          <cell r="H429"/>
          <cell r="I429"/>
        </row>
        <row r="430">
          <cell r="B430"/>
          <cell r="C430"/>
          <cell r="D430"/>
          <cell r="E430"/>
          <cell r="F430"/>
          <cell r="G430"/>
          <cell r="H430"/>
          <cell r="I430"/>
        </row>
        <row r="432">
          <cell r="B432"/>
          <cell r="C432"/>
          <cell r="D432"/>
          <cell r="E432"/>
          <cell r="F432"/>
          <cell r="G432"/>
          <cell r="H432"/>
          <cell r="I432"/>
        </row>
        <row r="433">
          <cell r="B433" t="str">
            <v>2.9</v>
          </cell>
          <cell r="C433" t="str">
            <v>DESCRIPCION:</v>
          </cell>
          <cell r="D433" t="str">
            <v>TUBERIA NOVAFORT 450MM  PARA RED AGUAS LLUVIAS</v>
          </cell>
          <cell r="E433"/>
          <cell r="F433"/>
          <cell r="G433"/>
          <cell r="H433"/>
          <cell r="I433"/>
        </row>
        <row r="434">
          <cell r="B434" t="str">
            <v>804C-EPM</v>
          </cell>
          <cell r="C434"/>
          <cell r="D434" t="str">
            <v>UNIDAD</v>
          </cell>
          <cell r="E434" t="str">
            <v>ML</v>
          </cell>
          <cell r="F434" t="str">
            <v>CANTIDAD</v>
          </cell>
          <cell r="G434">
            <v>1228.6500000000001</v>
          </cell>
          <cell r="H434" t="str">
            <v>V. UNITARIO:</v>
          </cell>
          <cell r="I434">
            <v>262592</v>
          </cell>
        </row>
        <row r="435">
          <cell r="B435"/>
          <cell r="C435"/>
          <cell r="D435"/>
          <cell r="E435"/>
          <cell r="F435"/>
          <cell r="G435"/>
          <cell r="H435"/>
          <cell r="I435"/>
        </row>
        <row r="436">
          <cell r="B436"/>
          <cell r="C436"/>
          <cell r="D436"/>
          <cell r="E436"/>
          <cell r="F436" t="str">
            <v>Tarifa/Hora</v>
          </cell>
          <cell r="G436" t="str">
            <v>Rendimiento</v>
          </cell>
          <cell r="H436" t="str">
            <v>Valor-Unit.</v>
          </cell>
          <cell r="I436"/>
        </row>
        <row r="437">
          <cell r="B437"/>
          <cell r="C437"/>
          <cell r="D437"/>
          <cell r="E437"/>
          <cell r="F437"/>
          <cell r="G437"/>
          <cell r="H437">
            <v>0</v>
          </cell>
          <cell r="I437"/>
        </row>
        <row r="438">
          <cell r="B438"/>
          <cell r="C438"/>
          <cell r="D438"/>
          <cell r="E438"/>
          <cell r="F438" t="str">
            <v>Sub-Total</v>
          </cell>
          <cell r="G438" t="str">
            <v>2.9</v>
          </cell>
          <cell r="H438" t="str">
            <v>EQUI-2.9</v>
          </cell>
          <cell r="I438">
            <v>0</v>
          </cell>
        </row>
        <row r="439">
          <cell r="B439"/>
          <cell r="C439"/>
          <cell r="D439"/>
          <cell r="E439"/>
          <cell r="F439"/>
          <cell r="G439"/>
          <cell r="H439"/>
          <cell r="I439"/>
        </row>
        <row r="440">
          <cell r="B440"/>
          <cell r="C440"/>
          <cell r="D440"/>
          <cell r="E440" t="str">
            <v>UNIDAD</v>
          </cell>
          <cell r="F440" t="str">
            <v>V.UNIT</v>
          </cell>
          <cell r="G440" t="str">
            <v>CANT</v>
          </cell>
          <cell r="H440" t="str">
            <v>V.TOTAL</v>
          </cell>
          <cell r="I440"/>
        </row>
        <row r="441">
          <cell r="B441" t="str">
            <v>M021</v>
          </cell>
          <cell r="C441" t="str">
            <v>Tubería Novafort 18"</v>
          </cell>
          <cell r="D441"/>
          <cell r="E441" t="str">
            <v>ML</v>
          </cell>
          <cell r="F441">
            <v>242088.5</v>
          </cell>
          <cell r="G441">
            <v>1</v>
          </cell>
          <cell r="H441">
            <v>242088.5</v>
          </cell>
          <cell r="I441"/>
        </row>
        <row r="442">
          <cell r="B442"/>
          <cell r="C442"/>
          <cell r="D442"/>
          <cell r="E442"/>
          <cell r="F442" t="str">
            <v>Sub-Total</v>
          </cell>
          <cell r="G442" t="str">
            <v>2.9</v>
          </cell>
          <cell r="H442" t="str">
            <v>MAT-2.9</v>
          </cell>
          <cell r="I442">
            <v>242088.5</v>
          </cell>
        </row>
        <row r="443">
          <cell r="B443"/>
          <cell r="C443"/>
          <cell r="D443"/>
          <cell r="E443"/>
          <cell r="F443"/>
          <cell r="G443"/>
          <cell r="H443"/>
          <cell r="I443"/>
        </row>
        <row r="444">
          <cell r="B444"/>
          <cell r="C444"/>
          <cell r="D444" t="str">
            <v xml:space="preserve">CAN </v>
          </cell>
          <cell r="E444" t="str">
            <v>DISTANCIA</v>
          </cell>
          <cell r="F444" t="str">
            <v>M3-Km / UN-KM</v>
          </cell>
          <cell r="G444" t="str">
            <v>TARIFA</v>
          </cell>
          <cell r="H444" t="str">
            <v>Valor-Unit.</v>
          </cell>
          <cell r="I444"/>
        </row>
        <row r="445">
          <cell r="B445"/>
          <cell r="C445"/>
          <cell r="D445"/>
          <cell r="E445"/>
          <cell r="F445"/>
          <cell r="G445"/>
          <cell r="H445">
            <v>0</v>
          </cell>
          <cell r="I445"/>
        </row>
        <row r="446">
          <cell r="B446"/>
          <cell r="C446"/>
          <cell r="D446"/>
          <cell r="E446"/>
          <cell r="F446" t="str">
            <v>Sub-Total</v>
          </cell>
          <cell r="G446" t="str">
            <v>2.9</v>
          </cell>
          <cell r="H446" t="str">
            <v>TRAN-2.9</v>
          </cell>
          <cell r="I446">
            <v>0</v>
          </cell>
        </row>
        <row r="447">
          <cell r="B447"/>
          <cell r="C447"/>
          <cell r="D447"/>
          <cell r="E447"/>
          <cell r="F447"/>
          <cell r="G447"/>
          <cell r="H447"/>
          <cell r="I447"/>
        </row>
        <row r="448">
          <cell r="B448"/>
          <cell r="C448"/>
          <cell r="D448" t="str">
            <v>JORNAL-HORA</v>
          </cell>
          <cell r="E448" t="str">
            <v>PRES</v>
          </cell>
          <cell r="F448" t="str">
            <v>Jornal Total</v>
          </cell>
          <cell r="G448" t="str">
            <v>Rendimiento</v>
          </cell>
          <cell r="H448" t="str">
            <v>Valor-Unit.</v>
          </cell>
          <cell r="I448"/>
        </row>
        <row r="449">
          <cell r="B449" t="str">
            <v>MO004</v>
          </cell>
          <cell r="C449" t="str">
            <v xml:space="preserve">oficial </v>
          </cell>
          <cell r="D449">
            <v>4833.333333333333</v>
          </cell>
          <cell r="E449"/>
          <cell r="F449">
            <v>4833.333333333333</v>
          </cell>
          <cell r="G449">
            <v>1.3</v>
          </cell>
          <cell r="H449">
            <v>6283.333333333333</v>
          </cell>
          <cell r="I449"/>
        </row>
        <row r="450">
          <cell r="B450" t="str">
            <v>MO005</v>
          </cell>
          <cell r="C450" t="str">
            <v xml:space="preserve">ayudante entendido </v>
          </cell>
          <cell r="D450">
            <v>4833.333333333333</v>
          </cell>
          <cell r="E450"/>
          <cell r="F450">
            <v>4833.333333333333</v>
          </cell>
          <cell r="G450">
            <v>1.3</v>
          </cell>
          <cell r="H450">
            <v>6283.333333333333</v>
          </cell>
          <cell r="I450"/>
        </row>
        <row r="451">
          <cell r="B451" t="str">
            <v>MO006</v>
          </cell>
          <cell r="C451" t="str">
            <v xml:space="preserve">ayudante </v>
          </cell>
          <cell r="D451">
            <v>4833.333333333333</v>
          </cell>
          <cell r="E451"/>
          <cell r="F451">
            <v>4833.333333333333</v>
          </cell>
          <cell r="G451">
            <v>1.3</v>
          </cell>
          <cell r="H451">
            <v>6283.333333333333</v>
          </cell>
          <cell r="I451"/>
        </row>
        <row r="452">
          <cell r="B452" t="str">
            <v>MO007</v>
          </cell>
          <cell r="C452" t="str">
            <v>contra maestro</v>
          </cell>
          <cell r="D452">
            <v>5208.333333333333</v>
          </cell>
          <cell r="E452"/>
          <cell r="F452">
            <v>5208.333333333333</v>
          </cell>
          <cell r="G452">
            <v>0.13</v>
          </cell>
          <cell r="H452">
            <v>677.08333333333337</v>
          </cell>
          <cell r="I452"/>
        </row>
        <row r="453">
          <cell r="B453"/>
          <cell r="C453"/>
          <cell r="D453"/>
          <cell r="E453"/>
          <cell r="F453" t="str">
            <v>Sub-Total</v>
          </cell>
          <cell r="G453" t="str">
            <v>2.9</v>
          </cell>
          <cell r="H453" t="str">
            <v>MDEO-2.9</v>
          </cell>
          <cell r="I453">
            <v>19527.083333333332</v>
          </cell>
        </row>
        <row r="454">
          <cell r="B454"/>
          <cell r="C454"/>
          <cell r="D454"/>
          <cell r="E454"/>
          <cell r="F454"/>
          <cell r="G454"/>
          <cell r="H454"/>
          <cell r="I454">
            <v>976.35416666666663</v>
          </cell>
        </row>
        <row r="455">
          <cell r="B455"/>
          <cell r="C455"/>
          <cell r="D455"/>
          <cell r="E455"/>
          <cell r="F455" t="str">
            <v>Total Costo Directo</v>
          </cell>
          <cell r="G455"/>
          <cell r="H455"/>
          <cell r="I455">
            <v>262592</v>
          </cell>
        </row>
        <row r="456">
          <cell r="B456"/>
          <cell r="C456"/>
          <cell r="D456"/>
          <cell r="E456" t="str">
            <v>PORCENTAJE</v>
          </cell>
          <cell r="F456"/>
          <cell r="G456" t="str">
            <v>V. COSTO INDERECTO</v>
          </cell>
          <cell r="H456"/>
          <cell r="I456"/>
        </row>
        <row r="457">
          <cell r="B457"/>
          <cell r="C457"/>
          <cell r="D457"/>
          <cell r="E457">
            <v>0.02</v>
          </cell>
          <cell r="F457"/>
          <cell r="G457">
            <v>5251.84</v>
          </cell>
          <cell r="H457"/>
          <cell r="I457"/>
        </row>
        <row r="458">
          <cell r="B458"/>
          <cell r="C458"/>
          <cell r="D458"/>
          <cell r="E458">
            <v>0.23</v>
          </cell>
          <cell r="F458"/>
          <cell r="G458">
            <v>60396.160000000003</v>
          </cell>
          <cell r="H458"/>
          <cell r="I458"/>
        </row>
        <row r="459">
          <cell r="B459"/>
          <cell r="C459"/>
          <cell r="D459"/>
          <cell r="E459">
            <v>0.05</v>
          </cell>
          <cell r="F459"/>
          <cell r="G459">
            <v>13129.6</v>
          </cell>
          <cell r="H459"/>
          <cell r="I459"/>
        </row>
        <row r="460">
          <cell r="B460"/>
          <cell r="C460"/>
          <cell r="D460"/>
          <cell r="E460">
            <v>0.02</v>
          </cell>
          <cell r="F460"/>
          <cell r="G460">
            <v>5251.84</v>
          </cell>
          <cell r="H460"/>
          <cell r="I460"/>
        </row>
        <row r="461">
          <cell r="B461"/>
          <cell r="C461"/>
          <cell r="D461"/>
          <cell r="E461"/>
          <cell r="F461"/>
          <cell r="G461"/>
          <cell r="H461"/>
          <cell r="I461">
            <v>84029.440000000002</v>
          </cell>
        </row>
        <row r="462">
          <cell r="B462"/>
          <cell r="C462"/>
          <cell r="D462"/>
          <cell r="E462"/>
          <cell r="F462"/>
          <cell r="G462"/>
          <cell r="H462"/>
          <cell r="I462">
            <v>346621.44</v>
          </cell>
        </row>
        <row r="463">
          <cell r="B463"/>
          <cell r="C463"/>
          <cell r="D463"/>
          <cell r="E463"/>
          <cell r="F463"/>
          <cell r="G463"/>
          <cell r="H463"/>
          <cell r="I463"/>
        </row>
        <row r="464">
          <cell r="B464"/>
          <cell r="C464"/>
          <cell r="D464"/>
          <cell r="E464"/>
          <cell r="F464" t="str">
            <v>REVISA</v>
          </cell>
          <cell r="G464"/>
          <cell r="H464"/>
          <cell r="I464"/>
        </row>
        <row r="465">
          <cell r="B465"/>
          <cell r="C465"/>
          <cell r="D465"/>
          <cell r="E465"/>
          <cell r="F465" t="str">
            <v>FIRMA:</v>
          </cell>
          <cell r="G465"/>
          <cell r="H465"/>
          <cell r="I465"/>
        </row>
        <row r="466">
          <cell r="B466" t="str">
            <v>JHON EMIR GAMBOA MENA</v>
          </cell>
          <cell r="C466"/>
          <cell r="F466" t="str">
            <v>NOMBRE</v>
          </cell>
          <cell r="G466"/>
          <cell r="H466"/>
          <cell r="I466"/>
        </row>
        <row r="467">
          <cell r="B467" t="str">
            <v>05202-316814 ANT</v>
          </cell>
          <cell r="C467"/>
          <cell r="F467" t="str">
            <v>MAT:</v>
          </cell>
          <cell r="G467"/>
          <cell r="H467"/>
          <cell r="I467"/>
        </row>
        <row r="468">
          <cell r="B468"/>
          <cell r="C468"/>
          <cell r="F468"/>
          <cell r="G468"/>
          <cell r="H468"/>
          <cell r="I468"/>
        </row>
        <row r="469">
          <cell r="B469"/>
          <cell r="C469"/>
          <cell r="D469"/>
          <cell r="E469"/>
          <cell r="F469"/>
          <cell r="G469"/>
          <cell r="H469"/>
          <cell r="I469"/>
        </row>
        <row r="470">
          <cell r="B470"/>
          <cell r="C470"/>
          <cell r="D470"/>
          <cell r="E470"/>
          <cell r="F470"/>
          <cell r="G470"/>
          <cell r="H470"/>
          <cell r="I470"/>
        </row>
        <row r="471">
          <cell r="B471"/>
          <cell r="C471"/>
          <cell r="D471"/>
          <cell r="E471"/>
          <cell r="F471"/>
          <cell r="G471"/>
          <cell r="H471"/>
          <cell r="I471"/>
        </row>
        <row r="473">
          <cell r="B473"/>
          <cell r="C473"/>
          <cell r="D473"/>
          <cell r="E473"/>
          <cell r="F473"/>
          <cell r="G473"/>
          <cell r="H473"/>
          <cell r="I473"/>
        </row>
        <row r="474">
          <cell r="B474" t="str">
            <v>2.10</v>
          </cell>
          <cell r="C474" t="str">
            <v>DESCRIPCION:</v>
          </cell>
          <cell r="D474" t="str">
            <v>TUBERIA NOVAFORT 600MM  PARA RED AGUAS LLUVIAS</v>
          </cell>
          <cell r="E474"/>
          <cell r="F474"/>
          <cell r="G474"/>
          <cell r="H474"/>
          <cell r="I474"/>
        </row>
        <row r="475">
          <cell r="B475" t="str">
            <v>803D-EPM</v>
          </cell>
          <cell r="C475"/>
          <cell r="D475" t="str">
            <v>UNIDAD</v>
          </cell>
          <cell r="E475" t="str">
            <v>ML</v>
          </cell>
          <cell r="F475" t="str">
            <v>CANTIDAD</v>
          </cell>
          <cell r="G475">
            <v>560</v>
          </cell>
          <cell r="H475" t="str">
            <v>V. UNITARIO:</v>
          </cell>
          <cell r="I475">
            <v>470234</v>
          </cell>
        </row>
        <row r="476">
          <cell r="B476"/>
          <cell r="C476"/>
          <cell r="D476"/>
          <cell r="E476"/>
          <cell r="F476"/>
          <cell r="G476"/>
          <cell r="H476"/>
          <cell r="I476"/>
        </row>
        <row r="477">
          <cell r="B477"/>
          <cell r="C477"/>
          <cell r="D477"/>
          <cell r="E477"/>
          <cell r="F477" t="str">
            <v>Tarifa/Hora</v>
          </cell>
          <cell r="G477" t="str">
            <v>Rendimiento</v>
          </cell>
          <cell r="H477" t="str">
            <v>Valor-Unit.</v>
          </cell>
          <cell r="I477"/>
        </row>
        <row r="478">
          <cell r="B478"/>
          <cell r="C478"/>
          <cell r="D478"/>
          <cell r="E478"/>
          <cell r="F478"/>
          <cell r="G478"/>
          <cell r="H478">
            <v>0</v>
          </cell>
          <cell r="I478"/>
        </row>
        <row r="479">
          <cell r="B479"/>
          <cell r="C479"/>
          <cell r="D479"/>
          <cell r="E479"/>
          <cell r="F479" t="str">
            <v>Sub-Total</v>
          </cell>
          <cell r="G479" t="str">
            <v>2.10</v>
          </cell>
          <cell r="H479" t="str">
            <v>EQUI-2.10</v>
          </cell>
          <cell r="I479">
            <v>0</v>
          </cell>
        </row>
        <row r="480">
          <cell r="B480"/>
          <cell r="C480"/>
          <cell r="D480"/>
          <cell r="E480"/>
          <cell r="F480"/>
          <cell r="G480"/>
          <cell r="H480"/>
          <cell r="I480"/>
        </row>
        <row r="481">
          <cell r="B481"/>
          <cell r="C481"/>
          <cell r="D481"/>
          <cell r="E481" t="str">
            <v>UNIDAD</v>
          </cell>
          <cell r="F481" t="str">
            <v>V.UNIT</v>
          </cell>
          <cell r="G481" t="str">
            <v>CANT</v>
          </cell>
          <cell r="H481" t="str">
            <v>V.TOTAL</v>
          </cell>
          <cell r="I481"/>
        </row>
        <row r="482">
          <cell r="B482" t="str">
            <v>M022</v>
          </cell>
          <cell r="C482" t="str">
            <v>Tubería Novafort 24"</v>
          </cell>
          <cell r="D482"/>
          <cell r="E482" t="str">
            <v>ML</v>
          </cell>
          <cell r="F482">
            <v>448153.84615384613</v>
          </cell>
          <cell r="G482">
            <v>1</v>
          </cell>
          <cell r="H482">
            <v>448153.84615384613</v>
          </cell>
          <cell r="I482"/>
        </row>
        <row r="483">
          <cell r="B483"/>
          <cell r="C483"/>
          <cell r="D483"/>
          <cell r="E483"/>
          <cell r="F483" t="str">
            <v>Sub-Total</v>
          </cell>
          <cell r="G483" t="str">
            <v>2.10</v>
          </cell>
          <cell r="H483" t="str">
            <v>MAT-2.10</v>
          </cell>
          <cell r="I483">
            <v>448153.84615384613</v>
          </cell>
        </row>
        <row r="484">
          <cell r="B484"/>
          <cell r="C484"/>
          <cell r="D484"/>
          <cell r="E484"/>
          <cell r="F484"/>
          <cell r="G484"/>
          <cell r="H484"/>
          <cell r="I484"/>
        </row>
        <row r="485">
          <cell r="B485"/>
          <cell r="C485"/>
          <cell r="D485" t="str">
            <v xml:space="preserve">CAN </v>
          </cell>
          <cell r="E485" t="str">
            <v>DISTANCIA</v>
          </cell>
          <cell r="F485" t="str">
            <v>M3-Km / UN-KM</v>
          </cell>
          <cell r="G485" t="str">
            <v>TARIFA</v>
          </cell>
          <cell r="H485" t="str">
            <v>Valor-Unit.</v>
          </cell>
          <cell r="I485"/>
        </row>
        <row r="486">
          <cell r="B486"/>
          <cell r="C486"/>
          <cell r="D486"/>
          <cell r="E486"/>
          <cell r="F486"/>
          <cell r="G486"/>
          <cell r="H486">
            <v>0</v>
          </cell>
          <cell r="I486"/>
        </row>
        <row r="487">
          <cell r="B487"/>
          <cell r="C487"/>
          <cell r="D487"/>
          <cell r="E487"/>
          <cell r="F487" t="str">
            <v>Sub-Total</v>
          </cell>
          <cell r="G487" t="str">
            <v>2.10</v>
          </cell>
          <cell r="H487" t="str">
            <v>TRAN-2.10</v>
          </cell>
          <cell r="I487">
            <v>0</v>
          </cell>
        </row>
        <row r="488">
          <cell r="B488"/>
          <cell r="C488"/>
          <cell r="D488"/>
          <cell r="E488"/>
          <cell r="F488"/>
          <cell r="G488"/>
          <cell r="H488"/>
          <cell r="I488"/>
        </row>
        <row r="489">
          <cell r="B489"/>
          <cell r="C489"/>
          <cell r="D489" t="str">
            <v>JORNAL-HORA</v>
          </cell>
          <cell r="E489" t="str">
            <v>PRES</v>
          </cell>
          <cell r="F489" t="str">
            <v>Jornal Total</v>
          </cell>
          <cell r="G489" t="str">
            <v>Rendimiento</v>
          </cell>
          <cell r="H489" t="str">
            <v>Valor-Unit.</v>
          </cell>
          <cell r="I489"/>
        </row>
        <row r="490">
          <cell r="B490" t="str">
            <v>MO004</v>
          </cell>
          <cell r="C490" t="str">
            <v xml:space="preserve">oficial </v>
          </cell>
          <cell r="D490">
            <v>4833.333333333333</v>
          </cell>
          <cell r="E490"/>
          <cell r="F490">
            <v>4833.333333333333</v>
          </cell>
          <cell r="G490">
            <v>1.4</v>
          </cell>
          <cell r="H490">
            <v>6766.6666666666661</v>
          </cell>
          <cell r="I490"/>
        </row>
        <row r="491">
          <cell r="B491" t="str">
            <v>MO005</v>
          </cell>
          <cell r="C491" t="str">
            <v xml:space="preserve">ayudante entendido </v>
          </cell>
          <cell r="D491">
            <v>4833.333333333333</v>
          </cell>
          <cell r="E491"/>
          <cell r="F491">
            <v>4833.333333333333</v>
          </cell>
          <cell r="G491">
            <v>1.4</v>
          </cell>
          <cell r="H491">
            <v>6766.6666666666661</v>
          </cell>
          <cell r="I491"/>
        </row>
        <row r="492">
          <cell r="B492" t="str">
            <v>MO006</v>
          </cell>
          <cell r="C492" t="str">
            <v xml:space="preserve">ayudante </v>
          </cell>
          <cell r="D492">
            <v>4833.333333333333</v>
          </cell>
          <cell r="E492"/>
          <cell r="F492">
            <v>4833.333333333333</v>
          </cell>
          <cell r="G492">
            <v>1.4</v>
          </cell>
          <cell r="H492">
            <v>6766.6666666666661</v>
          </cell>
          <cell r="I492"/>
        </row>
        <row r="493">
          <cell r="B493" t="str">
            <v>MO007</v>
          </cell>
          <cell r="C493" t="str">
            <v>contra maestro</v>
          </cell>
          <cell r="D493">
            <v>5208.333333333333</v>
          </cell>
          <cell r="E493"/>
          <cell r="F493">
            <v>5208.333333333333</v>
          </cell>
          <cell r="G493">
            <v>0.13999999999999999</v>
          </cell>
          <cell r="H493">
            <v>729.16666666666652</v>
          </cell>
          <cell r="I493"/>
        </row>
        <row r="494">
          <cell r="B494"/>
          <cell r="C494"/>
          <cell r="D494"/>
          <cell r="E494"/>
          <cell r="F494" t="str">
            <v>Sub-Total</v>
          </cell>
          <cell r="G494" t="str">
            <v>2.10</v>
          </cell>
          <cell r="H494" t="str">
            <v>MDEO-2.10</v>
          </cell>
          <cell r="I494">
            <v>21029.166666666668</v>
          </cell>
        </row>
        <row r="495">
          <cell r="B495"/>
          <cell r="C495"/>
          <cell r="D495"/>
          <cell r="E495"/>
          <cell r="F495"/>
          <cell r="G495"/>
          <cell r="H495"/>
          <cell r="I495">
            <v>1051.4583333333335</v>
          </cell>
        </row>
        <row r="496">
          <cell r="B496"/>
          <cell r="C496"/>
          <cell r="D496"/>
          <cell r="E496"/>
          <cell r="F496" t="str">
            <v>Total Costo Directo</v>
          </cell>
          <cell r="G496"/>
          <cell r="H496"/>
          <cell r="I496">
            <v>470234</v>
          </cell>
        </row>
        <row r="497">
          <cell r="B497"/>
          <cell r="C497"/>
          <cell r="D497"/>
          <cell r="E497" t="str">
            <v>PORCENTAJE</v>
          </cell>
          <cell r="F497"/>
          <cell r="G497" t="str">
            <v>V. COSTO INDERECTO</v>
          </cell>
          <cell r="H497"/>
          <cell r="I497"/>
        </row>
        <row r="498">
          <cell r="B498"/>
          <cell r="C498"/>
          <cell r="D498"/>
          <cell r="E498">
            <v>0.02</v>
          </cell>
          <cell r="F498"/>
          <cell r="G498">
            <v>9404.68</v>
          </cell>
          <cell r="H498"/>
          <cell r="I498"/>
        </row>
        <row r="499">
          <cell r="B499"/>
          <cell r="C499"/>
          <cell r="D499"/>
          <cell r="E499">
            <v>0.23</v>
          </cell>
          <cell r="F499"/>
          <cell r="G499">
            <v>108153.82</v>
          </cell>
          <cell r="H499"/>
          <cell r="I499"/>
        </row>
        <row r="500">
          <cell r="B500"/>
          <cell r="C500"/>
          <cell r="D500"/>
          <cell r="E500">
            <v>0.05</v>
          </cell>
          <cell r="F500"/>
          <cell r="G500">
            <v>23511.7</v>
          </cell>
          <cell r="H500"/>
          <cell r="I500"/>
        </row>
        <row r="501">
          <cell r="B501"/>
          <cell r="C501"/>
          <cell r="D501"/>
          <cell r="E501">
            <v>0.02</v>
          </cell>
          <cell r="F501"/>
          <cell r="G501">
            <v>9404.68</v>
          </cell>
          <cell r="H501"/>
          <cell r="I501"/>
        </row>
        <row r="502">
          <cell r="B502"/>
          <cell r="C502"/>
          <cell r="D502"/>
          <cell r="E502"/>
          <cell r="F502"/>
          <cell r="G502"/>
          <cell r="H502"/>
          <cell r="I502">
            <v>150474.88</v>
          </cell>
        </row>
        <row r="503">
          <cell r="B503"/>
          <cell r="C503"/>
          <cell r="D503"/>
          <cell r="E503"/>
          <cell r="F503"/>
          <cell r="G503"/>
          <cell r="H503"/>
          <cell r="I503">
            <v>620708.88</v>
          </cell>
        </row>
        <row r="504">
          <cell r="B504"/>
          <cell r="C504"/>
          <cell r="D504"/>
          <cell r="E504"/>
          <cell r="F504"/>
          <cell r="G504"/>
          <cell r="H504"/>
          <cell r="I504"/>
        </row>
        <row r="505">
          <cell r="B505"/>
          <cell r="C505"/>
          <cell r="D505"/>
          <cell r="E505"/>
          <cell r="F505" t="str">
            <v>REVISA</v>
          </cell>
          <cell r="G505"/>
          <cell r="H505"/>
          <cell r="I505"/>
        </row>
        <row r="506">
          <cell r="B506"/>
          <cell r="C506"/>
          <cell r="D506"/>
          <cell r="E506"/>
          <cell r="F506" t="str">
            <v>FIRMA:</v>
          </cell>
          <cell r="G506"/>
          <cell r="H506"/>
          <cell r="I506"/>
        </row>
        <row r="507">
          <cell r="B507" t="str">
            <v>JHON EMIR GAMBOA MENA</v>
          </cell>
          <cell r="C507"/>
          <cell r="F507" t="str">
            <v>NOMBRE</v>
          </cell>
          <cell r="G507"/>
          <cell r="H507"/>
          <cell r="I507"/>
        </row>
        <row r="508">
          <cell r="B508" t="str">
            <v>05202-316814 ANT</v>
          </cell>
          <cell r="C508"/>
          <cell r="F508" t="str">
            <v>MAT:</v>
          </cell>
          <cell r="G508"/>
          <cell r="H508"/>
          <cell r="I508"/>
        </row>
        <row r="509">
          <cell r="B509"/>
          <cell r="C509"/>
          <cell r="F509"/>
          <cell r="G509"/>
          <cell r="H509"/>
          <cell r="I509"/>
        </row>
        <row r="510">
          <cell r="B510"/>
          <cell r="C510"/>
          <cell r="D510"/>
          <cell r="E510"/>
          <cell r="F510"/>
          <cell r="G510"/>
          <cell r="H510"/>
          <cell r="I510"/>
        </row>
        <row r="511">
          <cell r="B511"/>
          <cell r="C511"/>
          <cell r="D511"/>
          <cell r="E511"/>
          <cell r="F511"/>
          <cell r="G511"/>
          <cell r="H511"/>
          <cell r="I511"/>
        </row>
        <row r="512">
          <cell r="B512"/>
          <cell r="C512"/>
          <cell r="D512"/>
          <cell r="E512"/>
          <cell r="F512"/>
          <cell r="G512"/>
          <cell r="H512"/>
          <cell r="I512"/>
        </row>
        <row r="514">
          <cell r="B514"/>
          <cell r="C514"/>
          <cell r="D514"/>
          <cell r="E514"/>
          <cell r="F514"/>
          <cell r="G514"/>
          <cell r="H514"/>
          <cell r="I514"/>
        </row>
        <row r="515">
          <cell r="B515" t="str">
            <v>2.11</v>
          </cell>
          <cell r="C515" t="str">
            <v>DESCRIPCION:</v>
          </cell>
          <cell r="D515" t="str">
            <v>CAJA DE INSPECCION RECTANGULAR 1*1 H=1.2M</v>
          </cell>
          <cell r="E515"/>
          <cell r="F515"/>
          <cell r="G515"/>
          <cell r="H515"/>
          <cell r="I515"/>
        </row>
        <row r="516">
          <cell r="B516" t="str">
            <v>PAR-19</v>
          </cell>
          <cell r="C516"/>
          <cell r="D516" t="str">
            <v>UNIDAD</v>
          </cell>
          <cell r="E516" t="str">
            <v>UNIDAD</v>
          </cell>
          <cell r="F516" t="str">
            <v>CANTIDAD</v>
          </cell>
          <cell r="G516">
            <v>622</v>
          </cell>
          <cell r="H516" t="str">
            <v>V. UNITARIO:</v>
          </cell>
          <cell r="I516">
            <v>896032</v>
          </cell>
        </row>
        <row r="517">
          <cell r="B517"/>
          <cell r="C517"/>
          <cell r="D517"/>
          <cell r="E517"/>
          <cell r="F517"/>
          <cell r="G517"/>
          <cell r="H517"/>
          <cell r="I517"/>
        </row>
        <row r="518">
          <cell r="B518"/>
          <cell r="C518"/>
          <cell r="D518"/>
          <cell r="E518"/>
          <cell r="F518" t="str">
            <v>Tarifa/Hora</v>
          </cell>
          <cell r="G518" t="str">
            <v>Rendimiento</v>
          </cell>
          <cell r="H518" t="str">
            <v>Valor-Unit.</v>
          </cell>
          <cell r="I518"/>
        </row>
        <row r="519">
          <cell r="B519" t="str">
            <v>E016</v>
          </cell>
          <cell r="C519" t="str">
            <v>FORMALETA PARA CAJA INT 60*60</v>
          </cell>
          <cell r="D519"/>
          <cell r="E519" t="str">
            <v>HORA</v>
          </cell>
          <cell r="F519">
            <v>7500</v>
          </cell>
          <cell r="G519">
            <v>1</v>
          </cell>
          <cell r="H519">
            <v>7500</v>
          </cell>
          <cell r="I519"/>
        </row>
        <row r="520">
          <cell r="B520" t="str">
            <v>E017</v>
          </cell>
          <cell r="C520" t="str">
            <v>FORMALETA PARA TAPA</v>
          </cell>
          <cell r="D520"/>
          <cell r="E520" t="str">
            <v>HORA</v>
          </cell>
          <cell r="F520">
            <v>7500</v>
          </cell>
          <cell r="G520">
            <v>1</v>
          </cell>
          <cell r="H520">
            <v>7500</v>
          </cell>
          <cell r="I520"/>
        </row>
        <row r="521">
          <cell r="B521"/>
          <cell r="C521"/>
          <cell r="D521"/>
          <cell r="E521"/>
          <cell r="F521" t="str">
            <v>Sub-Total</v>
          </cell>
          <cell r="G521" t="str">
            <v>2.11</v>
          </cell>
          <cell r="H521" t="str">
            <v>EQUI-2.11</v>
          </cell>
          <cell r="I521">
            <v>15000</v>
          </cell>
        </row>
        <row r="522">
          <cell r="B522"/>
          <cell r="C522"/>
          <cell r="D522"/>
          <cell r="E522"/>
          <cell r="F522"/>
          <cell r="G522"/>
          <cell r="H522"/>
          <cell r="I522"/>
        </row>
        <row r="523">
          <cell r="B523"/>
          <cell r="C523"/>
          <cell r="D523"/>
          <cell r="E523" t="str">
            <v>UNIDAD</v>
          </cell>
          <cell r="F523" t="str">
            <v>V.UNIT</v>
          </cell>
          <cell r="G523" t="str">
            <v>CANT</v>
          </cell>
          <cell r="H523" t="str">
            <v>V.TOTAL</v>
          </cell>
          <cell r="I523"/>
        </row>
        <row r="524">
          <cell r="B524" t="str">
            <v>M007</v>
          </cell>
          <cell r="C524" t="str">
            <v>Concreto 3000psi en obra</v>
          </cell>
          <cell r="D524"/>
          <cell r="E524" t="str">
            <v>M3</v>
          </cell>
          <cell r="F524">
            <v>498450</v>
          </cell>
          <cell r="G524">
            <v>0.6</v>
          </cell>
          <cell r="H524">
            <v>299070</v>
          </cell>
          <cell r="I524"/>
        </row>
        <row r="525">
          <cell r="B525" t="str">
            <v>M016</v>
          </cell>
          <cell r="C525" t="str">
            <v>herraje para caj reg. 1x1 con tapa</v>
          </cell>
          <cell r="D525"/>
          <cell r="E525" t="str">
            <v>UND</v>
          </cell>
          <cell r="F525">
            <v>290000</v>
          </cell>
          <cell r="G525">
            <v>1</v>
          </cell>
          <cell r="H525">
            <v>290000</v>
          </cell>
          <cell r="I525"/>
        </row>
        <row r="526">
          <cell r="B526" t="str">
            <v>M002</v>
          </cell>
          <cell r="C526" t="str">
            <v>Acero  60000 psi</v>
          </cell>
          <cell r="D526"/>
          <cell r="E526" t="str">
            <v>KG</v>
          </cell>
          <cell r="F526">
            <v>6913</v>
          </cell>
          <cell r="G526">
            <v>14.4</v>
          </cell>
          <cell r="H526">
            <v>99547.199999999997</v>
          </cell>
          <cell r="I526"/>
        </row>
        <row r="527">
          <cell r="B527" t="str">
            <v>M001</v>
          </cell>
          <cell r="C527" t="str">
            <v>Alambre quemado</v>
          </cell>
          <cell r="D527"/>
          <cell r="E527" t="str">
            <v>KG</v>
          </cell>
          <cell r="F527">
            <v>8321</v>
          </cell>
          <cell r="G527">
            <v>0.57600000000000007</v>
          </cell>
          <cell r="H527">
            <v>4792.8960000000006</v>
          </cell>
          <cell r="I527"/>
        </row>
        <row r="528">
          <cell r="B528"/>
          <cell r="C528"/>
          <cell r="D528"/>
          <cell r="E528"/>
          <cell r="F528" t="str">
            <v>Sub-Total</v>
          </cell>
          <cell r="G528" t="str">
            <v>2.11</v>
          </cell>
          <cell r="H528" t="str">
            <v>MAT-2.11</v>
          </cell>
          <cell r="I528">
            <v>693410.0959999999</v>
          </cell>
        </row>
        <row r="529">
          <cell r="B529"/>
          <cell r="C529"/>
          <cell r="D529"/>
          <cell r="E529"/>
          <cell r="F529"/>
          <cell r="G529"/>
          <cell r="H529"/>
          <cell r="I529"/>
        </row>
        <row r="530">
          <cell r="B530"/>
          <cell r="C530"/>
          <cell r="D530" t="str">
            <v xml:space="preserve">CAN </v>
          </cell>
          <cell r="E530" t="str">
            <v>DISTANCIA</v>
          </cell>
          <cell r="F530" t="str">
            <v>M3-Km / UN-KM</v>
          </cell>
          <cell r="G530" t="str">
            <v>TARIFA</v>
          </cell>
          <cell r="H530" t="str">
            <v>Valor-Unit.</v>
          </cell>
          <cell r="I530"/>
        </row>
        <row r="531">
          <cell r="B531"/>
          <cell r="C531"/>
          <cell r="D531"/>
          <cell r="E531"/>
          <cell r="F531"/>
          <cell r="G531"/>
          <cell r="H531">
            <v>0</v>
          </cell>
          <cell r="I531"/>
        </row>
        <row r="532">
          <cell r="B532"/>
          <cell r="C532"/>
          <cell r="D532"/>
          <cell r="E532"/>
          <cell r="F532" t="str">
            <v>Sub-Total</v>
          </cell>
          <cell r="G532" t="str">
            <v>2.11</v>
          </cell>
          <cell r="H532" t="str">
            <v>TRAN-2.11</v>
          </cell>
          <cell r="I532">
            <v>0</v>
          </cell>
        </row>
        <row r="533">
          <cell r="B533"/>
          <cell r="C533"/>
          <cell r="D533"/>
          <cell r="E533"/>
          <cell r="F533"/>
          <cell r="G533"/>
          <cell r="H533"/>
          <cell r="I533"/>
        </row>
        <row r="534">
          <cell r="B534"/>
          <cell r="C534"/>
          <cell r="D534" t="str">
            <v>JORNAL-HORA</v>
          </cell>
          <cell r="E534" t="str">
            <v>PRES</v>
          </cell>
          <cell r="F534" t="str">
            <v>Jornal Total</v>
          </cell>
          <cell r="G534" t="str">
            <v>Rendimiento</v>
          </cell>
          <cell r="H534" t="str">
            <v>Valor-Unit.</v>
          </cell>
          <cell r="I534"/>
        </row>
        <row r="535">
          <cell r="B535" t="str">
            <v>MO004</v>
          </cell>
          <cell r="C535" t="str">
            <v xml:space="preserve">oficial </v>
          </cell>
          <cell r="D535">
            <v>4833.333333333333</v>
          </cell>
          <cell r="E535"/>
          <cell r="F535">
            <v>4833.333333333333</v>
          </cell>
          <cell r="G535">
            <v>9</v>
          </cell>
          <cell r="H535">
            <v>43500</v>
          </cell>
          <cell r="I535"/>
        </row>
        <row r="536">
          <cell r="B536" t="str">
            <v>MO005</v>
          </cell>
          <cell r="C536" t="str">
            <v xml:space="preserve">ayudante entendido </v>
          </cell>
          <cell r="D536">
            <v>4833.333333333333</v>
          </cell>
          <cell r="E536"/>
          <cell r="F536">
            <v>4833.333333333333</v>
          </cell>
          <cell r="G536">
            <v>9</v>
          </cell>
          <cell r="H536">
            <v>43500</v>
          </cell>
          <cell r="I536"/>
        </row>
        <row r="537">
          <cell r="B537" t="str">
            <v>MO006</v>
          </cell>
          <cell r="C537" t="str">
            <v xml:space="preserve">ayudante </v>
          </cell>
          <cell r="D537">
            <v>4833.333333333333</v>
          </cell>
          <cell r="E537"/>
          <cell r="F537">
            <v>4833.333333333333</v>
          </cell>
          <cell r="G537">
            <v>18</v>
          </cell>
          <cell r="H537">
            <v>87000</v>
          </cell>
          <cell r="I537"/>
        </row>
        <row r="538">
          <cell r="B538" t="str">
            <v>MO007</v>
          </cell>
          <cell r="C538" t="str">
            <v>contra maestro</v>
          </cell>
          <cell r="D538">
            <v>5208.333333333333</v>
          </cell>
          <cell r="E538"/>
          <cell r="F538">
            <v>5208.333333333333</v>
          </cell>
          <cell r="G538">
            <v>0.9</v>
          </cell>
          <cell r="H538">
            <v>4687.5</v>
          </cell>
          <cell r="I538"/>
        </row>
        <row r="539">
          <cell r="B539"/>
          <cell r="C539"/>
          <cell r="D539"/>
          <cell r="E539"/>
          <cell r="F539" t="str">
            <v>Sub-Total</v>
          </cell>
          <cell r="G539" t="str">
            <v>2.11</v>
          </cell>
          <cell r="H539" t="str">
            <v>MDEO-2.11</v>
          </cell>
          <cell r="I539">
            <v>178687.5</v>
          </cell>
        </row>
        <row r="540">
          <cell r="B540"/>
          <cell r="C540"/>
          <cell r="D540"/>
          <cell r="E540"/>
          <cell r="F540"/>
          <cell r="G540"/>
          <cell r="H540"/>
          <cell r="I540">
            <v>8934.375</v>
          </cell>
        </row>
        <row r="541">
          <cell r="B541"/>
          <cell r="C541"/>
          <cell r="D541"/>
          <cell r="E541"/>
          <cell r="F541" t="str">
            <v>Total Costo Directo</v>
          </cell>
          <cell r="G541"/>
          <cell r="H541"/>
          <cell r="I541">
            <v>896032</v>
          </cell>
        </row>
        <row r="542">
          <cell r="B542"/>
          <cell r="C542"/>
          <cell r="D542"/>
          <cell r="E542" t="str">
            <v>PORCENTAJE</v>
          </cell>
          <cell r="F542"/>
          <cell r="G542" t="str">
            <v>V. COSTO INDERECTO</v>
          </cell>
          <cell r="H542"/>
          <cell r="I542"/>
        </row>
        <row r="543">
          <cell r="B543"/>
          <cell r="C543"/>
          <cell r="D543"/>
          <cell r="E543">
            <v>0.02</v>
          </cell>
          <cell r="F543"/>
          <cell r="G543">
            <v>17920.64</v>
          </cell>
          <cell r="H543"/>
          <cell r="I543"/>
        </row>
        <row r="544">
          <cell r="B544"/>
          <cell r="C544"/>
          <cell r="D544"/>
          <cell r="E544">
            <v>0.23</v>
          </cell>
          <cell r="F544"/>
          <cell r="G544">
            <v>206087.36000000002</v>
          </cell>
          <cell r="H544"/>
          <cell r="I544"/>
        </row>
        <row r="545">
          <cell r="B545"/>
          <cell r="C545"/>
          <cell r="D545"/>
          <cell r="E545">
            <v>0.05</v>
          </cell>
          <cell r="F545"/>
          <cell r="G545">
            <v>44801.600000000006</v>
          </cell>
          <cell r="H545"/>
          <cell r="I545"/>
        </row>
        <row r="546">
          <cell r="B546"/>
          <cell r="C546"/>
          <cell r="D546"/>
          <cell r="E546">
            <v>0.02</v>
          </cell>
          <cell r="F546"/>
          <cell r="G546">
            <v>17920.64</v>
          </cell>
          <cell r="H546"/>
          <cell r="I546"/>
        </row>
        <row r="547">
          <cell r="B547"/>
          <cell r="C547"/>
          <cell r="D547"/>
          <cell r="E547"/>
          <cell r="F547"/>
          <cell r="G547"/>
          <cell r="H547"/>
          <cell r="I547">
            <v>286730.23999999999</v>
          </cell>
        </row>
        <row r="548">
          <cell r="B548"/>
          <cell r="C548"/>
          <cell r="D548"/>
          <cell r="E548"/>
          <cell r="F548"/>
          <cell r="G548"/>
          <cell r="H548"/>
          <cell r="I548">
            <v>1182762.24</v>
          </cell>
        </row>
        <row r="549">
          <cell r="B549"/>
          <cell r="C549"/>
          <cell r="D549"/>
          <cell r="E549"/>
          <cell r="F549"/>
          <cell r="G549"/>
          <cell r="H549"/>
          <cell r="I549"/>
        </row>
        <row r="550">
          <cell r="B550"/>
          <cell r="C550"/>
          <cell r="D550"/>
          <cell r="E550"/>
          <cell r="F550" t="str">
            <v>REVISA</v>
          </cell>
          <cell r="G550"/>
          <cell r="H550"/>
          <cell r="I550"/>
        </row>
        <row r="551">
          <cell r="B551"/>
          <cell r="C551"/>
          <cell r="D551"/>
          <cell r="E551"/>
          <cell r="F551" t="str">
            <v>FIRMA:</v>
          </cell>
          <cell r="G551"/>
          <cell r="H551"/>
          <cell r="I551"/>
        </row>
        <row r="552">
          <cell r="B552" t="str">
            <v>JHON EMIR GAMBOA MENA</v>
          </cell>
          <cell r="C552"/>
          <cell r="F552" t="str">
            <v>NOMBRE</v>
          </cell>
          <cell r="G552"/>
          <cell r="H552"/>
          <cell r="I552"/>
        </row>
        <row r="553">
          <cell r="B553" t="str">
            <v>05202-316814 ANT</v>
          </cell>
          <cell r="C553"/>
          <cell r="F553" t="str">
            <v>MAT:</v>
          </cell>
          <cell r="G553"/>
          <cell r="H553"/>
          <cell r="I553"/>
        </row>
        <row r="554">
          <cell r="B554"/>
          <cell r="C554"/>
          <cell r="F554"/>
          <cell r="G554"/>
          <cell r="H554"/>
          <cell r="I554"/>
        </row>
        <row r="555">
          <cell r="B555"/>
          <cell r="C555"/>
          <cell r="D555"/>
          <cell r="E555"/>
          <cell r="F555"/>
          <cell r="G555"/>
          <cell r="H555"/>
          <cell r="I555"/>
        </row>
        <row r="556">
          <cell r="B556"/>
          <cell r="C556"/>
          <cell r="D556"/>
          <cell r="E556"/>
          <cell r="F556"/>
          <cell r="G556"/>
          <cell r="H556"/>
          <cell r="I556"/>
        </row>
        <row r="557">
          <cell r="B557"/>
          <cell r="C557"/>
          <cell r="D557"/>
          <cell r="E557"/>
          <cell r="F557"/>
          <cell r="G557"/>
          <cell r="H557"/>
          <cell r="I557"/>
        </row>
        <row r="559">
          <cell r="B559"/>
          <cell r="C559"/>
          <cell r="D559"/>
          <cell r="E559"/>
          <cell r="F559"/>
          <cell r="G559"/>
          <cell r="H559"/>
          <cell r="I559"/>
        </row>
        <row r="560">
          <cell r="B560" t="str">
            <v>2.12</v>
          </cell>
          <cell r="C560" t="str">
            <v>DESCRIPCION:</v>
          </cell>
          <cell r="D560" t="str">
            <v>LLENO DE MATERIAL GRANULAR RIO PARA CIMIENTO DE LA TUBERIA</v>
          </cell>
          <cell r="E560"/>
          <cell r="F560"/>
          <cell r="G560"/>
          <cell r="H560"/>
          <cell r="I560"/>
        </row>
        <row r="561">
          <cell r="B561" t="str">
            <v>803C-EPM</v>
          </cell>
          <cell r="C561"/>
          <cell r="D561" t="str">
            <v>UNIDAD</v>
          </cell>
          <cell r="E561" t="str">
            <v>M3</v>
          </cell>
          <cell r="F561" t="str">
            <v>CANTIDAD</v>
          </cell>
          <cell r="G561">
            <v>1890</v>
          </cell>
          <cell r="H561" t="str">
            <v>V. UNITARIO:</v>
          </cell>
          <cell r="I561">
            <v>77911</v>
          </cell>
        </row>
        <row r="562">
          <cell r="B562"/>
          <cell r="C562"/>
          <cell r="D562"/>
          <cell r="E562"/>
          <cell r="F562"/>
          <cell r="G562"/>
          <cell r="H562"/>
          <cell r="I562"/>
        </row>
        <row r="563">
          <cell r="B563"/>
          <cell r="C563"/>
          <cell r="D563"/>
          <cell r="E563"/>
          <cell r="F563" t="str">
            <v>Tarifa/Hora</v>
          </cell>
          <cell r="G563" t="str">
            <v>Rendimiento</v>
          </cell>
          <cell r="H563" t="str">
            <v>Valor-Unit.</v>
          </cell>
          <cell r="I563"/>
        </row>
        <row r="564">
          <cell r="B564" t="str">
            <v>E001</v>
          </cell>
          <cell r="C564" t="str">
            <v>COMPACTADOR TIPO CANGURO</v>
          </cell>
          <cell r="D564"/>
          <cell r="E564"/>
          <cell r="F564">
            <v>7500</v>
          </cell>
          <cell r="G564">
            <v>0.5</v>
          </cell>
          <cell r="H564">
            <v>3750</v>
          </cell>
          <cell r="I564"/>
        </row>
        <row r="565">
          <cell r="B565"/>
          <cell r="C565"/>
          <cell r="D565"/>
          <cell r="E565"/>
          <cell r="F565" t="str">
            <v>Sub-Total</v>
          </cell>
          <cell r="G565" t="str">
            <v>2.12</v>
          </cell>
          <cell r="H565" t="str">
            <v>EQUI-2.12</v>
          </cell>
          <cell r="I565">
            <v>3750</v>
          </cell>
        </row>
        <row r="566">
          <cell r="B566"/>
          <cell r="C566"/>
          <cell r="D566"/>
          <cell r="E566"/>
          <cell r="F566"/>
          <cell r="G566"/>
          <cell r="H566"/>
          <cell r="I566"/>
        </row>
        <row r="567">
          <cell r="B567"/>
          <cell r="C567"/>
          <cell r="D567"/>
          <cell r="E567" t="str">
            <v>UNIDAD</v>
          </cell>
          <cell r="F567" t="str">
            <v>V.UNIT</v>
          </cell>
          <cell r="G567" t="str">
            <v>CANT</v>
          </cell>
          <cell r="H567" t="str">
            <v>V.TOTAL</v>
          </cell>
          <cell r="I567"/>
        </row>
        <row r="568">
          <cell r="B568" t="str">
            <v>M010</v>
          </cell>
          <cell r="C568" t="str">
            <v>Material granular de préstamo</v>
          </cell>
          <cell r="D568"/>
          <cell r="E568" t="str">
            <v>M3</v>
          </cell>
          <cell r="F568">
            <v>29500</v>
          </cell>
          <cell r="G568">
            <v>1.25</v>
          </cell>
          <cell r="H568">
            <v>36875</v>
          </cell>
          <cell r="I568"/>
        </row>
        <row r="569">
          <cell r="B569"/>
          <cell r="C569"/>
          <cell r="D569"/>
          <cell r="E569"/>
          <cell r="F569" t="str">
            <v>Sub-Total</v>
          </cell>
          <cell r="G569" t="str">
            <v>2.12</v>
          </cell>
          <cell r="H569" t="str">
            <v>MAT-2.12</v>
          </cell>
          <cell r="I569">
            <v>36875</v>
          </cell>
        </row>
        <row r="570">
          <cell r="B570"/>
          <cell r="C570"/>
          <cell r="D570"/>
          <cell r="E570"/>
          <cell r="F570"/>
          <cell r="G570"/>
          <cell r="H570"/>
          <cell r="I570"/>
        </row>
        <row r="571">
          <cell r="B571"/>
          <cell r="C571"/>
          <cell r="D571" t="str">
            <v xml:space="preserve">CAN </v>
          </cell>
          <cell r="E571" t="str">
            <v>DISTANCIA</v>
          </cell>
          <cell r="F571" t="str">
            <v>M3-Km / UN-KM</v>
          </cell>
          <cell r="G571" t="str">
            <v>TARIFA</v>
          </cell>
          <cell r="H571" t="str">
            <v>Valor-Unit.</v>
          </cell>
          <cell r="I571"/>
        </row>
        <row r="572">
          <cell r="B572" t="str">
            <v>T008</v>
          </cell>
          <cell r="C572" t="str">
            <v>TRANS MATERIAL &gt; 10 KM</v>
          </cell>
          <cell r="D572">
            <v>1.25</v>
          </cell>
          <cell r="E572">
            <v>24</v>
          </cell>
          <cell r="F572">
            <v>30</v>
          </cell>
          <cell r="G572">
            <v>980</v>
          </cell>
          <cell r="H572">
            <v>29400</v>
          </cell>
          <cell r="I572"/>
        </row>
        <row r="573">
          <cell r="B573"/>
          <cell r="C573"/>
          <cell r="D573"/>
          <cell r="E573"/>
          <cell r="F573" t="str">
            <v>Sub-Total</v>
          </cell>
          <cell r="G573" t="str">
            <v>2.12</v>
          </cell>
          <cell r="H573" t="str">
            <v>TRAN-2.12</v>
          </cell>
          <cell r="I573">
            <v>29400</v>
          </cell>
        </row>
        <row r="574">
          <cell r="B574"/>
          <cell r="C574"/>
          <cell r="D574"/>
          <cell r="E574"/>
          <cell r="F574"/>
          <cell r="G574"/>
          <cell r="H574"/>
          <cell r="I574"/>
        </row>
        <row r="575">
          <cell r="B575"/>
          <cell r="C575"/>
          <cell r="D575" t="str">
            <v>JORNAL-HORA</v>
          </cell>
          <cell r="E575" t="str">
            <v>PRES</v>
          </cell>
          <cell r="F575" t="str">
            <v>Jornal Total</v>
          </cell>
          <cell r="G575" t="str">
            <v>Rendimiento</v>
          </cell>
          <cell r="H575" t="str">
            <v>Valor-Unit.</v>
          </cell>
          <cell r="I575"/>
        </row>
        <row r="576">
          <cell r="B576" t="str">
            <v>MO004</v>
          </cell>
          <cell r="C576" t="str">
            <v xml:space="preserve">oficial </v>
          </cell>
          <cell r="D576">
            <v>4833.333333333333</v>
          </cell>
          <cell r="E576"/>
          <cell r="F576">
            <v>4833.333333333333</v>
          </cell>
          <cell r="G576">
            <v>0.5</v>
          </cell>
          <cell r="H576">
            <v>2416.6666666666665</v>
          </cell>
          <cell r="I576"/>
        </row>
        <row r="577">
          <cell r="B577" t="str">
            <v>MO005</v>
          </cell>
          <cell r="C577" t="str">
            <v xml:space="preserve">ayudante entendido </v>
          </cell>
          <cell r="D577">
            <v>4833.333333333333</v>
          </cell>
          <cell r="E577"/>
          <cell r="F577">
            <v>4833.333333333333</v>
          </cell>
          <cell r="G577">
            <v>0.5</v>
          </cell>
          <cell r="H577">
            <v>2416.6666666666665</v>
          </cell>
          <cell r="I577"/>
        </row>
        <row r="578">
          <cell r="B578" t="str">
            <v>MO006</v>
          </cell>
          <cell r="C578" t="str">
            <v xml:space="preserve">ayudante </v>
          </cell>
          <cell r="D578">
            <v>4833.333333333333</v>
          </cell>
          <cell r="E578"/>
          <cell r="F578">
            <v>4833.333333333333</v>
          </cell>
          <cell r="G578">
            <v>0.5</v>
          </cell>
          <cell r="H578">
            <v>2416.6666666666665</v>
          </cell>
          <cell r="I578"/>
        </row>
        <row r="579">
          <cell r="B579" t="str">
            <v>MO007</v>
          </cell>
          <cell r="C579" t="str">
            <v>contra maestro</v>
          </cell>
          <cell r="D579">
            <v>5208.333333333333</v>
          </cell>
          <cell r="E579"/>
          <cell r="F579">
            <v>5208.333333333333</v>
          </cell>
          <cell r="G579">
            <v>0.05</v>
          </cell>
          <cell r="H579">
            <v>260.41666666666669</v>
          </cell>
          <cell r="I579"/>
        </row>
        <row r="580">
          <cell r="B580"/>
          <cell r="C580"/>
          <cell r="D580"/>
          <cell r="E580"/>
          <cell r="F580"/>
          <cell r="G580"/>
          <cell r="H580"/>
          <cell r="I580"/>
        </row>
        <row r="581">
          <cell r="B581"/>
          <cell r="C581"/>
          <cell r="D581"/>
          <cell r="E581"/>
          <cell r="F581" t="str">
            <v>Sub-Total</v>
          </cell>
          <cell r="G581" t="str">
            <v>2.12</v>
          </cell>
          <cell r="H581" t="str">
            <v>MDEO-2.12</v>
          </cell>
          <cell r="I581">
            <v>7510.416666666667</v>
          </cell>
        </row>
        <row r="582">
          <cell r="B582"/>
          <cell r="C582"/>
          <cell r="D582"/>
          <cell r="E582"/>
          <cell r="F582"/>
          <cell r="G582"/>
          <cell r="H582"/>
          <cell r="I582">
            <v>375.52083333333337</v>
          </cell>
        </row>
        <row r="583">
          <cell r="B583"/>
          <cell r="C583"/>
          <cell r="D583"/>
          <cell r="E583"/>
          <cell r="F583" t="str">
            <v>Total Costo Directo</v>
          </cell>
          <cell r="G583"/>
          <cell r="H583"/>
          <cell r="I583">
            <v>77911</v>
          </cell>
        </row>
        <row r="584">
          <cell r="B584"/>
          <cell r="C584"/>
          <cell r="D584"/>
          <cell r="E584" t="str">
            <v>PORCENTAJE</v>
          </cell>
          <cell r="F584"/>
          <cell r="G584" t="str">
            <v>V. COSTO INDERECTO</v>
          </cell>
          <cell r="H584"/>
          <cell r="I584"/>
        </row>
        <row r="585">
          <cell r="B585"/>
          <cell r="C585"/>
          <cell r="D585"/>
          <cell r="E585">
            <v>0.02</v>
          </cell>
          <cell r="F585"/>
          <cell r="G585">
            <v>1558.22</v>
          </cell>
          <cell r="H585"/>
          <cell r="I585"/>
        </row>
        <row r="586">
          <cell r="B586"/>
          <cell r="C586"/>
          <cell r="D586"/>
          <cell r="E586">
            <v>0.23</v>
          </cell>
          <cell r="F586"/>
          <cell r="G586">
            <v>17919.530000000002</v>
          </cell>
          <cell r="H586"/>
          <cell r="I586"/>
        </row>
        <row r="587">
          <cell r="B587"/>
          <cell r="C587"/>
          <cell r="D587"/>
          <cell r="E587">
            <v>0.05</v>
          </cell>
          <cell r="F587"/>
          <cell r="G587">
            <v>3895.55</v>
          </cell>
          <cell r="H587"/>
          <cell r="I587"/>
        </row>
        <row r="588">
          <cell r="B588"/>
          <cell r="C588"/>
          <cell r="D588"/>
          <cell r="E588">
            <v>0.02</v>
          </cell>
          <cell r="F588"/>
          <cell r="G588">
            <v>1558.22</v>
          </cell>
          <cell r="H588"/>
          <cell r="I588"/>
        </row>
        <row r="589">
          <cell r="B589"/>
          <cell r="C589"/>
          <cell r="D589"/>
          <cell r="E589"/>
          <cell r="F589"/>
          <cell r="G589"/>
          <cell r="H589"/>
          <cell r="I589">
            <v>24931.520000000004</v>
          </cell>
        </row>
        <row r="590">
          <cell r="B590"/>
          <cell r="C590"/>
          <cell r="D590"/>
          <cell r="E590"/>
          <cell r="F590"/>
          <cell r="G590"/>
          <cell r="H590"/>
          <cell r="I590">
            <v>102842.52</v>
          </cell>
        </row>
        <row r="591">
          <cell r="B591"/>
          <cell r="C591"/>
          <cell r="D591"/>
          <cell r="E591"/>
          <cell r="F591"/>
          <cell r="G591"/>
          <cell r="H591"/>
          <cell r="I591"/>
        </row>
        <row r="592">
          <cell r="B592"/>
          <cell r="C592"/>
          <cell r="D592"/>
          <cell r="E592"/>
          <cell r="F592" t="str">
            <v>REVISA</v>
          </cell>
          <cell r="G592"/>
          <cell r="H592"/>
          <cell r="I592"/>
        </row>
        <row r="593">
          <cell r="B593"/>
          <cell r="C593"/>
          <cell r="D593"/>
          <cell r="E593"/>
          <cell r="F593" t="str">
            <v>FIRMA:</v>
          </cell>
          <cell r="G593"/>
          <cell r="H593"/>
          <cell r="I593"/>
        </row>
        <row r="594">
          <cell r="B594" t="str">
            <v>JHON EMIR GAMBOA MENA</v>
          </cell>
          <cell r="C594"/>
          <cell r="F594" t="str">
            <v>NOMBRE</v>
          </cell>
          <cell r="G594"/>
          <cell r="H594"/>
          <cell r="I594"/>
        </row>
        <row r="595">
          <cell r="B595" t="str">
            <v>05202-316814 ANT</v>
          </cell>
          <cell r="C595"/>
          <cell r="F595" t="str">
            <v>MAT:</v>
          </cell>
          <cell r="G595"/>
          <cell r="H595"/>
          <cell r="I595"/>
        </row>
        <row r="596">
          <cell r="B596"/>
          <cell r="C596"/>
          <cell r="F596"/>
          <cell r="G596"/>
          <cell r="H596"/>
          <cell r="I596"/>
        </row>
        <row r="597">
          <cell r="B597"/>
          <cell r="C597"/>
          <cell r="D597"/>
          <cell r="E597"/>
          <cell r="F597"/>
          <cell r="G597"/>
          <cell r="H597"/>
          <cell r="I597"/>
        </row>
        <row r="598">
          <cell r="B598"/>
          <cell r="C598"/>
          <cell r="D598"/>
          <cell r="E598"/>
          <cell r="F598"/>
          <cell r="G598"/>
          <cell r="H598"/>
          <cell r="I598"/>
        </row>
        <row r="599">
          <cell r="B599"/>
          <cell r="C599"/>
          <cell r="D599"/>
          <cell r="E599"/>
          <cell r="F599"/>
          <cell r="G599"/>
          <cell r="H599"/>
          <cell r="I599"/>
        </row>
        <row r="600">
          <cell r="B600"/>
          <cell r="C600"/>
          <cell r="D600"/>
          <cell r="E600"/>
          <cell r="F600"/>
          <cell r="G600"/>
          <cell r="H600"/>
          <cell r="I600"/>
        </row>
        <row r="601">
          <cell r="B601" t="str">
            <v>2.13</v>
          </cell>
          <cell r="C601" t="str">
            <v>DESCRIPCION:</v>
          </cell>
          <cell r="D601" t="str">
            <v xml:space="preserve">LLENO CON MATERIAL DE PRESTAMO LIMO </v>
          </cell>
          <cell r="E601"/>
          <cell r="F601"/>
          <cell r="G601"/>
          <cell r="H601"/>
          <cell r="I601"/>
        </row>
        <row r="602">
          <cell r="B602" t="str">
            <v>PAR-20</v>
          </cell>
          <cell r="C602"/>
          <cell r="D602" t="str">
            <v>UNIDAD</v>
          </cell>
          <cell r="E602" t="str">
            <v>M3</v>
          </cell>
          <cell r="F602" t="str">
            <v>CANTIDAD</v>
          </cell>
          <cell r="G602">
            <v>6</v>
          </cell>
          <cell r="H602" t="str">
            <v>V. UNITARIO:</v>
          </cell>
          <cell r="I602">
            <v>44460</v>
          </cell>
        </row>
        <row r="603">
          <cell r="B603"/>
          <cell r="C603"/>
          <cell r="D603"/>
          <cell r="E603"/>
          <cell r="F603"/>
          <cell r="G603"/>
          <cell r="H603"/>
          <cell r="I603"/>
        </row>
        <row r="604">
          <cell r="B604"/>
          <cell r="C604"/>
          <cell r="D604"/>
          <cell r="E604"/>
          <cell r="F604" t="str">
            <v>Tarifa/Hora</v>
          </cell>
          <cell r="G604" t="str">
            <v>Rendimiento</v>
          </cell>
          <cell r="H604" t="str">
            <v>Valor-Unit.</v>
          </cell>
          <cell r="I604"/>
        </row>
        <row r="605">
          <cell r="B605" t="str">
            <v>E001</v>
          </cell>
          <cell r="C605" t="str">
            <v>COMPACTADOR TIPO CANGURO</v>
          </cell>
          <cell r="D605"/>
          <cell r="E605" t="str">
            <v>HORA</v>
          </cell>
          <cell r="F605">
            <v>7500</v>
          </cell>
          <cell r="G605">
            <v>0.5</v>
          </cell>
          <cell r="H605">
            <v>3750</v>
          </cell>
          <cell r="I605"/>
        </row>
        <row r="606">
          <cell r="B606"/>
          <cell r="C606"/>
          <cell r="D606"/>
          <cell r="E606"/>
          <cell r="F606" t="str">
            <v>Sub-Total</v>
          </cell>
          <cell r="G606" t="str">
            <v>2.13</v>
          </cell>
          <cell r="H606" t="str">
            <v>EQUI-2.13</v>
          </cell>
          <cell r="I606">
            <v>3750</v>
          </cell>
        </row>
        <row r="607">
          <cell r="B607"/>
          <cell r="C607"/>
          <cell r="D607"/>
          <cell r="E607"/>
          <cell r="F607"/>
          <cell r="G607"/>
          <cell r="H607"/>
          <cell r="I607"/>
        </row>
        <row r="608">
          <cell r="B608"/>
          <cell r="C608"/>
          <cell r="D608"/>
          <cell r="E608" t="str">
            <v>UNIDAD</v>
          </cell>
          <cell r="F608" t="str">
            <v>V.UNIT</v>
          </cell>
          <cell r="G608" t="str">
            <v>CANT</v>
          </cell>
          <cell r="H608" t="str">
            <v>V.TOTAL</v>
          </cell>
          <cell r="I608"/>
        </row>
        <row r="609">
          <cell r="B609" t="str">
            <v>M012</v>
          </cell>
          <cell r="C609" t="str">
            <v>Material tipo limo de préstamo</v>
          </cell>
          <cell r="D609"/>
          <cell r="E609" t="str">
            <v>M3</v>
          </cell>
          <cell r="F609">
            <v>22000</v>
          </cell>
          <cell r="G609">
            <v>1.1000000000000001</v>
          </cell>
          <cell r="H609">
            <v>24200.000000000004</v>
          </cell>
          <cell r="I609"/>
        </row>
        <row r="610">
          <cell r="B610"/>
          <cell r="C610"/>
          <cell r="D610"/>
          <cell r="E610"/>
          <cell r="F610" t="str">
            <v>Sub-Total</v>
          </cell>
          <cell r="G610" t="str">
            <v>2.13</v>
          </cell>
          <cell r="H610" t="str">
            <v>MAT-2.13</v>
          </cell>
          <cell r="I610">
            <v>24200.000000000004</v>
          </cell>
        </row>
        <row r="611">
          <cell r="B611"/>
          <cell r="C611"/>
          <cell r="D611"/>
          <cell r="E611"/>
          <cell r="F611"/>
          <cell r="G611"/>
          <cell r="H611"/>
          <cell r="I611"/>
        </row>
        <row r="612">
          <cell r="B612"/>
          <cell r="C612"/>
          <cell r="D612" t="str">
            <v xml:space="preserve">CAN </v>
          </cell>
          <cell r="E612" t="str">
            <v>DISTANCIA</v>
          </cell>
          <cell r="F612" t="str">
            <v>M3-Km / UN-KM</v>
          </cell>
          <cell r="G612" t="str">
            <v>TARIFA</v>
          </cell>
          <cell r="H612" t="str">
            <v>Valor-Unit.</v>
          </cell>
          <cell r="I612"/>
        </row>
        <row r="613">
          <cell r="B613" t="str">
            <v>T008</v>
          </cell>
          <cell r="C613" t="str">
            <v>TRANS MATERIAL &gt; 10 KM</v>
          </cell>
          <cell r="D613">
            <v>1.1000000000000001</v>
          </cell>
          <cell r="E613">
            <v>8</v>
          </cell>
          <cell r="F613">
            <v>8.8000000000000007</v>
          </cell>
          <cell r="G613">
            <v>980</v>
          </cell>
          <cell r="H613">
            <v>8624</v>
          </cell>
          <cell r="I613"/>
        </row>
        <row r="614">
          <cell r="B614"/>
          <cell r="C614"/>
          <cell r="D614"/>
          <cell r="E614"/>
          <cell r="F614" t="str">
            <v>Sub-Total</v>
          </cell>
          <cell r="G614" t="str">
            <v>2.13</v>
          </cell>
          <cell r="H614" t="str">
            <v>TRAN-2.13</v>
          </cell>
          <cell r="I614">
            <v>8624</v>
          </cell>
        </row>
        <row r="615">
          <cell r="B615"/>
          <cell r="C615"/>
          <cell r="D615"/>
          <cell r="E615"/>
          <cell r="F615"/>
          <cell r="G615"/>
          <cell r="H615"/>
          <cell r="I615"/>
        </row>
        <row r="616">
          <cell r="B616"/>
          <cell r="C616"/>
          <cell r="D616" t="str">
            <v>JORNAL-HORA</v>
          </cell>
          <cell r="E616" t="str">
            <v>PRES</v>
          </cell>
          <cell r="F616" t="str">
            <v>Jornal Total</v>
          </cell>
          <cell r="G616" t="str">
            <v>Rendimiento</v>
          </cell>
          <cell r="H616" t="str">
            <v>Valor-Unit.</v>
          </cell>
          <cell r="I616"/>
        </row>
        <row r="617">
          <cell r="B617" t="str">
            <v>MO004</v>
          </cell>
          <cell r="C617" t="str">
            <v xml:space="preserve">oficial </v>
          </cell>
          <cell r="D617">
            <v>4833.333333333333</v>
          </cell>
          <cell r="E617"/>
          <cell r="F617">
            <v>4833.333333333333</v>
          </cell>
          <cell r="G617">
            <v>0.5</v>
          </cell>
          <cell r="H617">
            <v>2416.6666666666665</v>
          </cell>
          <cell r="I617"/>
        </row>
        <row r="618">
          <cell r="B618" t="str">
            <v>MO005</v>
          </cell>
          <cell r="C618" t="str">
            <v xml:space="preserve">ayudante entendido </v>
          </cell>
          <cell r="D618">
            <v>4833.333333333333</v>
          </cell>
          <cell r="E618"/>
          <cell r="F618">
            <v>4833.333333333333</v>
          </cell>
          <cell r="G618">
            <v>0</v>
          </cell>
          <cell r="H618">
            <v>0</v>
          </cell>
          <cell r="I618"/>
        </row>
        <row r="619">
          <cell r="B619" t="str">
            <v>MO006</v>
          </cell>
          <cell r="C619" t="str">
            <v xml:space="preserve">ayudante </v>
          </cell>
          <cell r="D619">
            <v>4833.333333333333</v>
          </cell>
          <cell r="E619"/>
          <cell r="F619">
            <v>4833.333333333333</v>
          </cell>
          <cell r="G619">
            <v>1</v>
          </cell>
          <cell r="H619">
            <v>4833.333333333333</v>
          </cell>
          <cell r="I619"/>
        </row>
        <row r="620">
          <cell r="B620" t="str">
            <v>MO007</v>
          </cell>
          <cell r="C620" t="str">
            <v>contra maestro</v>
          </cell>
          <cell r="D620">
            <v>5208.333333333333</v>
          </cell>
          <cell r="E620"/>
          <cell r="F620">
            <v>5208.333333333333</v>
          </cell>
          <cell r="G620">
            <v>0.05</v>
          </cell>
          <cell r="H620">
            <v>260.41666666666669</v>
          </cell>
          <cell r="I620"/>
        </row>
        <row r="621">
          <cell r="B621"/>
          <cell r="C621"/>
          <cell r="D621"/>
          <cell r="E621"/>
          <cell r="F621"/>
          <cell r="G621"/>
          <cell r="H621"/>
          <cell r="I621"/>
        </row>
        <row r="622">
          <cell r="B622"/>
          <cell r="C622"/>
          <cell r="D622"/>
          <cell r="E622"/>
          <cell r="F622" t="str">
            <v>Sub-Total</v>
          </cell>
          <cell r="G622" t="str">
            <v>2.13</v>
          </cell>
          <cell r="H622" t="str">
            <v>MDEO-2.13</v>
          </cell>
          <cell r="I622">
            <v>7510.416666666667</v>
          </cell>
        </row>
        <row r="623">
          <cell r="B623"/>
          <cell r="C623"/>
          <cell r="D623"/>
          <cell r="E623"/>
          <cell r="F623"/>
          <cell r="G623"/>
          <cell r="H623"/>
          <cell r="I623">
            <v>375.52083333333337</v>
          </cell>
        </row>
        <row r="624">
          <cell r="B624"/>
          <cell r="C624"/>
          <cell r="D624"/>
          <cell r="E624"/>
          <cell r="F624" t="str">
            <v>Total Costo Directo</v>
          </cell>
          <cell r="G624"/>
          <cell r="H624"/>
          <cell r="I624">
            <v>44460</v>
          </cell>
        </row>
        <row r="625">
          <cell r="B625"/>
          <cell r="C625"/>
          <cell r="D625"/>
          <cell r="E625" t="str">
            <v>PORCENTAJE</v>
          </cell>
          <cell r="F625"/>
          <cell r="G625" t="str">
            <v>V. COSTO INDERECTO</v>
          </cell>
          <cell r="H625"/>
          <cell r="I625"/>
        </row>
        <row r="626">
          <cell r="B626"/>
          <cell r="C626"/>
          <cell r="D626"/>
          <cell r="E626">
            <v>0.02</v>
          </cell>
          <cell r="F626"/>
          <cell r="G626">
            <v>889.2</v>
          </cell>
          <cell r="H626"/>
          <cell r="I626"/>
        </row>
        <row r="627">
          <cell r="B627"/>
          <cell r="C627"/>
          <cell r="D627"/>
          <cell r="E627">
            <v>0.23</v>
          </cell>
          <cell r="F627"/>
          <cell r="G627">
            <v>10225.800000000001</v>
          </cell>
          <cell r="H627"/>
          <cell r="I627"/>
        </row>
        <row r="628">
          <cell r="B628"/>
          <cell r="C628"/>
          <cell r="D628"/>
          <cell r="E628">
            <v>0.05</v>
          </cell>
          <cell r="F628"/>
          <cell r="G628">
            <v>2223</v>
          </cell>
          <cell r="H628"/>
          <cell r="I628"/>
        </row>
        <row r="629">
          <cell r="B629"/>
          <cell r="C629"/>
          <cell r="D629"/>
          <cell r="E629">
            <v>0.02</v>
          </cell>
          <cell r="F629"/>
          <cell r="G629">
            <v>889.2</v>
          </cell>
          <cell r="H629"/>
          <cell r="I629"/>
        </row>
        <row r="630">
          <cell r="B630"/>
          <cell r="C630"/>
          <cell r="D630"/>
          <cell r="E630"/>
          <cell r="F630"/>
          <cell r="G630"/>
          <cell r="H630"/>
          <cell r="I630">
            <v>14227.200000000003</v>
          </cell>
        </row>
        <row r="631">
          <cell r="B631"/>
          <cell r="C631"/>
          <cell r="D631"/>
          <cell r="E631"/>
          <cell r="F631"/>
          <cell r="G631"/>
          <cell r="H631"/>
          <cell r="I631">
            <v>58687.200000000004</v>
          </cell>
        </row>
        <row r="632">
          <cell r="B632"/>
          <cell r="C632"/>
          <cell r="D632"/>
          <cell r="E632"/>
          <cell r="F632"/>
          <cell r="G632"/>
          <cell r="H632"/>
          <cell r="I632"/>
        </row>
        <row r="633">
          <cell r="B633"/>
          <cell r="C633"/>
          <cell r="D633"/>
          <cell r="E633"/>
          <cell r="F633" t="str">
            <v>REVISA</v>
          </cell>
          <cell r="G633"/>
          <cell r="H633"/>
          <cell r="I633"/>
        </row>
        <row r="634">
          <cell r="B634"/>
          <cell r="C634"/>
          <cell r="D634"/>
          <cell r="E634"/>
          <cell r="F634" t="str">
            <v>FIRMA:</v>
          </cell>
          <cell r="G634"/>
          <cell r="H634"/>
          <cell r="I634"/>
        </row>
        <row r="635">
          <cell r="B635" t="str">
            <v>JHON EMIR GAMBOA MENA</v>
          </cell>
          <cell r="C635"/>
          <cell r="F635" t="str">
            <v>NOMBRE</v>
          </cell>
          <cell r="G635"/>
          <cell r="H635"/>
          <cell r="I635"/>
        </row>
        <row r="636">
          <cell r="B636" t="str">
            <v>05202-316814 ANT</v>
          </cell>
          <cell r="C636"/>
          <cell r="F636" t="str">
            <v>MAT:</v>
          </cell>
          <cell r="G636"/>
          <cell r="H636"/>
          <cell r="I636"/>
        </row>
        <row r="637">
          <cell r="B637"/>
          <cell r="C637"/>
          <cell r="F637"/>
          <cell r="G637"/>
          <cell r="H637"/>
          <cell r="I637"/>
        </row>
        <row r="638">
          <cell r="B638"/>
          <cell r="C638"/>
          <cell r="D638"/>
          <cell r="E638"/>
          <cell r="F638"/>
          <cell r="G638"/>
          <cell r="H638"/>
          <cell r="I638"/>
        </row>
        <row r="639">
          <cell r="B639"/>
          <cell r="C639"/>
          <cell r="D639"/>
          <cell r="E639"/>
          <cell r="F639"/>
          <cell r="G639"/>
          <cell r="H639"/>
          <cell r="I639"/>
        </row>
        <row r="640">
          <cell r="B640"/>
          <cell r="C640"/>
          <cell r="D640"/>
          <cell r="E640"/>
          <cell r="F640"/>
          <cell r="G640"/>
          <cell r="H640"/>
          <cell r="I640"/>
        </row>
        <row r="641">
          <cell r="B641"/>
          <cell r="C641"/>
          <cell r="D641"/>
          <cell r="E641"/>
          <cell r="F641"/>
          <cell r="G641"/>
          <cell r="H641"/>
          <cell r="I641"/>
        </row>
        <row r="642">
          <cell r="B642"/>
          <cell r="C642"/>
          <cell r="D642"/>
          <cell r="E642"/>
          <cell r="F642"/>
          <cell r="G642"/>
          <cell r="H642"/>
          <cell r="I642"/>
        </row>
        <row r="643">
          <cell r="B643" t="str">
            <v>2.14</v>
          </cell>
          <cell r="C643" t="str">
            <v>DESCRIPCION:</v>
          </cell>
          <cell r="D643" t="str">
            <v xml:space="preserve">CAJA TIPO SUMIDERO </v>
          </cell>
          <cell r="E643"/>
          <cell r="F643"/>
          <cell r="G643"/>
          <cell r="H643"/>
          <cell r="I643"/>
        </row>
        <row r="644">
          <cell r="B644" t="str">
            <v>PAR-17</v>
          </cell>
          <cell r="C644"/>
          <cell r="D644" t="str">
            <v>UNIDAD</v>
          </cell>
          <cell r="E644" t="str">
            <v>UNIDAD</v>
          </cell>
          <cell r="F644" t="str">
            <v>CANTIDAD</v>
          </cell>
          <cell r="G644">
            <v>426</v>
          </cell>
          <cell r="H644" t="str">
            <v>V. UNITARIO:</v>
          </cell>
          <cell r="I644">
            <v>925056</v>
          </cell>
        </row>
        <row r="645">
          <cell r="B645"/>
          <cell r="C645"/>
          <cell r="D645"/>
          <cell r="E645"/>
          <cell r="F645"/>
          <cell r="G645"/>
          <cell r="H645"/>
          <cell r="I645"/>
        </row>
        <row r="646">
          <cell r="B646"/>
          <cell r="C646"/>
          <cell r="D646"/>
          <cell r="E646"/>
          <cell r="F646" t="str">
            <v>Tarifa/Hora</v>
          </cell>
          <cell r="G646" t="str">
            <v>Rendimiento</v>
          </cell>
          <cell r="H646" t="str">
            <v>Valor-Unit.</v>
          </cell>
          <cell r="I646"/>
        </row>
        <row r="647">
          <cell r="B647" t="str">
            <v>E016</v>
          </cell>
          <cell r="C647" t="str">
            <v>FORMALETA PARA CAJA</v>
          </cell>
          <cell r="D647"/>
          <cell r="E647"/>
          <cell r="F647">
            <v>7500</v>
          </cell>
          <cell r="G647">
            <v>2</v>
          </cell>
          <cell r="H647">
            <v>15000</v>
          </cell>
          <cell r="I647"/>
        </row>
        <row r="648">
          <cell r="B648"/>
          <cell r="C648"/>
          <cell r="D648"/>
          <cell r="E648"/>
          <cell r="F648" t="str">
            <v>Sub-Total</v>
          </cell>
          <cell r="G648" t="str">
            <v>2.14</v>
          </cell>
          <cell r="H648" t="str">
            <v>EQUI-2.14</v>
          </cell>
          <cell r="I648">
            <v>15000</v>
          </cell>
        </row>
        <row r="649">
          <cell r="B649"/>
          <cell r="C649"/>
          <cell r="D649"/>
          <cell r="E649"/>
          <cell r="F649"/>
          <cell r="G649"/>
          <cell r="H649"/>
          <cell r="I649"/>
        </row>
        <row r="650">
          <cell r="B650"/>
          <cell r="C650"/>
          <cell r="D650"/>
          <cell r="E650" t="str">
            <v>UNIDAD</v>
          </cell>
          <cell r="F650" t="str">
            <v>V.UNIT</v>
          </cell>
          <cell r="G650" t="str">
            <v>CANT</v>
          </cell>
          <cell r="H650" t="str">
            <v>V.TOTAL</v>
          </cell>
          <cell r="I650"/>
        </row>
        <row r="651">
          <cell r="B651" t="str">
            <v>M028</v>
          </cell>
          <cell r="C651" t="str">
            <v>rejilla tipo sumidero</v>
          </cell>
          <cell r="D651"/>
          <cell r="E651" t="str">
            <v>Unidad</v>
          </cell>
          <cell r="F651">
            <v>455700</v>
          </cell>
          <cell r="G651">
            <v>1</v>
          </cell>
          <cell r="H651">
            <v>455700</v>
          </cell>
          <cell r="I651"/>
        </row>
        <row r="652">
          <cell r="B652" t="str">
            <v>M007</v>
          </cell>
          <cell r="C652" t="str">
            <v>Concreto 3000psi en obra</v>
          </cell>
          <cell r="D652"/>
          <cell r="E652" t="str">
            <v>M3</v>
          </cell>
          <cell r="F652">
            <v>498450</v>
          </cell>
          <cell r="G652">
            <v>0.5</v>
          </cell>
          <cell r="H652">
            <v>249225</v>
          </cell>
          <cell r="I652"/>
        </row>
        <row r="653">
          <cell r="B653" t="str">
            <v>M002</v>
          </cell>
          <cell r="C653" t="str">
            <v>Acero  60000 psi</v>
          </cell>
          <cell r="D653"/>
          <cell r="E653" t="str">
            <v>KG</v>
          </cell>
          <cell r="F653">
            <v>6913</v>
          </cell>
          <cell r="G653">
            <v>6</v>
          </cell>
          <cell r="H653">
            <v>41478</v>
          </cell>
          <cell r="I653"/>
        </row>
        <row r="654">
          <cell r="B654" t="str">
            <v>M001</v>
          </cell>
          <cell r="C654" t="str">
            <v>Alambre quemado</v>
          </cell>
          <cell r="D654"/>
          <cell r="E654" t="str">
            <v>KG</v>
          </cell>
          <cell r="F654">
            <v>8321</v>
          </cell>
          <cell r="G654">
            <v>0.24</v>
          </cell>
          <cell r="H654">
            <v>1997.04</v>
          </cell>
          <cell r="I654"/>
        </row>
        <row r="655">
          <cell r="B655"/>
          <cell r="C655"/>
          <cell r="D655"/>
          <cell r="E655"/>
          <cell r="F655" t="str">
            <v>Sub-Total</v>
          </cell>
          <cell r="G655" t="str">
            <v>2.14</v>
          </cell>
          <cell r="H655" t="str">
            <v>MAT-2.14</v>
          </cell>
          <cell r="I655">
            <v>748400.04</v>
          </cell>
        </row>
        <row r="656">
          <cell r="B656"/>
          <cell r="C656"/>
          <cell r="D656"/>
          <cell r="E656"/>
          <cell r="F656"/>
          <cell r="G656"/>
          <cell r="H656"/>
          <cell r="I656"/>
        </row>
        <row r="657">
          <cell r="B657"/>
          <cell r="C657"/>
          <cell r="D657" t="str">
            <v xml:space="preserve">CAN </v>
          </cell>
          <cell r="E657" t="str">
            <v>DISTANCIA</v>
          </cell>
          <cell r="F657" t="str">
            <v>M3-Km / UN-KM</v>
          </cell>
          <cell r="G657" t="str">
            <v>TARIFA</v>
          </cell>
          <cell r="H657" t="str">
            <v>Valor-Unit.</v>
          </cell>
          <cell r="I657"/>
        </row>
        <row r="658">
          <cell r="B658"/>
          <cell r="C658"/>
          <cell r="D658"/>
          <cell r="E658"/>
          <cell r="F658"/>
          <cell r="G658"/>
          <cell r="H658"/>
          <cell r="I658"/>
        </row>
        <row r="659">
          <cell r="B659"/>
          <cell r="C659"/>
          <cell r="D659"/>
          <cell r="E659"/>
          <cell r="F659" t="str">
            <v>Sub-Total</v>
          </cell>
          <cell r="G659" t="str">
            <v>2.14</v>
          </cell>
          <cell r="H659" t="str">
            <v>TRAN-2.14</v>
          </cell>
          <cell r="I659">
            <v>0</v>
          </cell>
        </row>
        <row r="660">
          <cell r="B660"/>
          <cell r="C660"/>
          <cell r="D660"/>
          <cell r="E660"/>
          <cell r="F660"/>
          <cell r="G660"/>
          <cell r="H660"/>
          <cell r="I660"/>
        </row>
        <row r="661">
          <cell r="B661"/>
          <cell r="C661"/>
          <cell r="D661" t="str">
            <v>JORNAL-HORA</v>
          </cell>
          <cell r="E661" t="str">
            <v>PRES</v>
          </cell>
          <cell r="F661" t="str">
            <v>JORNAL TOTAL</v>
          </cell>
          <cell r="G661" t="str">
            <v>RENDIEMIENTO</v>
          </cell>
          <cell r="H661" t="str">
            <v>VALOR-UNIT</v>
          </cell>
          <cell r="I661"/>
        </row>
        <row r="662">
          <cell r="B662" t="str">
            <v>MO004</v>
          </cell>
          <cell r="C662" t="str">
            <v xml:space="preserve">oficial </v>
          </cell>
          <cell r="D662">
            <v>4833.333333333333</v>
          </cell>
          <cell r="E662"/>
          <cell r="F662">
            <v>4833.333333333333</v>
          </cell>
          <cell r="G662">
            <v>5</v>
          </cell>
          <cell r="H662">
            <v>24166.666666666664</v>
          </cell>
          <cell r="I662"/>
        </row>
        <row r="663">
          <cell r="B663" t="str">
            <v>MO005</v>
          </cell>
          <cell r="C663" t="str">
            <v xml:space="preserve">ayudante entendido </v>
          </cell>
          <cell r="D663">
            <v>4833.333333333333</v>
          </cell>
          <cell r="E663"/>
          <cell r="F663">
            <v>4833.333333333333</v>
          </cell>
          <cell r="G663">
            <v>5</v>
          </cell>
          <cell r="H663">
            <v>24166.666666666664</v>
          </cell>
          <cell r="I663"/>
        </row>
        <row r="664">
          <cell r="B664" t="str">
            <v>MO006</v>
          </cell>
          <cell r="C664" t="str">
            <v xml:space="preserve">ayudante </v>
          </cell>
          <cell r="D664">
            <v>4833.333333333333</v>
          </cell>
          <cell r="E664"/>
          <cell r="F664">
            <v>4833.333333333333</v>
          </cell>
          <cell r="G664">
            <v>10</v>
          </cell>
          <cell r="H664">
            <v>48333.333333333328</v>
          </cell>
          <cell r="I664"/>
        </row>
        <row r="665">
          <cell r="B665" t="str">
            <v>MO007</v>
          </cell>
          <cell r="C665" t="str">
            <v>contra maestro</v>
          </cell>
          <cell r="D665">
            <v>5208.333333333333</v>
          </cell>
          <cell r="E665"/>
          <cell r="F665">
            <v>5208.333333333333</v>
          </cell>
          <cell r="G665">
            <v>11</v>
          </cell>
          <cell r="H665">
            <v>57291.666666666664</v>
          </cell>
          <cell r="I665"/>
        </row>
        <row r="666">
          <cell r="B666"/>
          <cell r="C666"/>
          <cell r="D666"/>
          <cell r="E666"/>
          <cell r="F666" t="str">
            <v>Sub-Total</v>
          </cell>
          <cell r="G666" t="str">
            <v>2.14</v>
          </cell>
          <cell r="H666" t="str">
            <v>MDEO-2.14</v>
          </cell>
          <cell r="I666">
            <v>153958.33333333331</v>
          </cell>
        </row>
        <row r="667">
          <cell r="B667"/>
          <cell r="C667"/>
          <cell r="D667"/>
          <cell r="E667"/>
          <cell r="F667"/>
          <cell r="G667"/>
          <cell r="H667"/>
          <cell r="I667">
            <v>7697.9166666666661</v>
          </cell>
        </row>
        <row r="668">
          <cell r="B668"/>
          <cell r="C668"/>
          <cell r="D668"/>
          <cell r="E668"/>
          <cell r="F668" t="str">
            <v>Total Costo Directo</v>
          </cell>
          <cell r="G668"/>
          <cell r="H668"/>
          <cell r="I668">
            <v>925056</v>
          </cell>
        </row>
        <row r="669">
          <cell r="B669"/>
          <cell r="C669"/>
          <cell r="D669"/>
          <cell r="E669" t="str">
            <v>PORCENTAJE</v>
          </cell>
          <cell r="F669"/>
          <cell r="G669" t="str">
            <v>V. COSTO INDERECTO</v>
          </cell>
          <cell r="H669"/>
          <cell r="I669"/>
        </row>
        <row r="670">
          <cell r="B670"/>
          <cell r="C670"/>
          <cell r="D670"/>
          <cell r="E670">
            <v>0.02</v>
          </cell>
          <cell r="F670"/>
          <cell r="G670">
            <v>18501.12</v>
          </cell>
          <cell r="H670"/>
          <cell r="I670"/>
        </row>
        <row r="671">
          <cell r="B671"/>
          <cell r="C671"/>
          <cell r="D671"/>
          <cell r="E671">
            <v>0.23</v>
          </cell>
          <cell r="F671"/>
          <cell r="G671">
            <v>212762.88</v>
          </cell>
          <cell r="H671"/>
          <cell r="I671"/>
        </row>
        <row r="672">
          <cell r="B672"/>
          <cell r="C672"/>
          <cell r="D672"/>
          <cell r="E672">
            <v>0.05</v>
          </cell>
          <cell r="F672"/>
          <cell r="G672">
            <v>46252.800000000003</v>
          </cell>
          <cell r="H672"/>
          <cell r="I672"/>
        </row>
        <row r="673">
          <cell r="B673"/>
          <cell r="C673"/>
          <cell r="D673"/>
          <cell r="E673">
            <v>0.02</v>
          </cell>
          <cell r="F673"/>
          <cell r="G673">
            <v>18501.12</v>
          </cell>
          <cell r="H673"/>
          <cell r="I673"/>
        </row>
        <row r="674">
          <cell r="B674"/>
          <cell r="C674"/>
          <cell r="D674"/>
          <cell r="E674"/>
          <cell r="F674"/>
          <cell r="G674"/>
          <cell r="H674"/>
          <cell r="I674">
            <v>296017.91999999998</v>
          </cell>
        </row>
        <row r="675">
          <cell r="B675"/>
          <cell r="C675"/>
          <cell r="D675"/>
          <cell r="E675"/>
          <cell r="F675"/>
          <cell r="G675"/>
          <cell r="H675"/>
          <cell r="I675">
            <v>1221073.9199999999</v>
          </cell>
        </row>
        <row r="676">
          <cell r="B676"/>
          <cell r="C676"/>
          <cell r="D676"/>
          <cell r="E676"/>
          <cell r="F676"/>
          <cell r="G676"/>
          <cell r="H676"/>
          <cell r="I676"/>
        </row>
        <row r="677">
          <cell r="B677"/>
          <cell r="C677"/>
          <cell r="D677"/>
          <cell r="E677"/>
          <cell r="F677" t="str">
            <v>REVISA</v>
          </cell>
          <cell r="G677"/>
          <cell r="H677"/>
          <cell r="I677"/>
        </row>
        <row r="678">
          <cell r="B678"/>
          <cell r="C678"/>
          <cell r="D678"/>
          <cell r="E678"/>
          <cell r="F678" t="str">
            <v>FIRMA:</v>
          </cell>
          <cell r="G678"/>
          <cell r="H678"/>
          <cell r="I678"/>
        </row>
        <row r="679">
          <cell r="B679" t="str">
            <v>JHON EMIR GAMBOA MENA</v>
          </cell>
          <cell r="C679"/>
          <cell r="F679" t="str">
            <v>NOMBRE</v>
          </cell>
          <cell r="G679"/>
          <cell r="H679"/>
          <cell r="I679"/>
        </row>
        <row r="680">
          <cell r="B680" t="str">
            <v>05202-316814 ANT</v>
          </cell>
          <cell r="C680"/>
          <cell r="F680" t="str">
            <v>MAT:</v>
          </cell>
          <cell r="G680"/>
          <cell r="H680"/>
          <cell r="I680"/>
        </row>
        <row r="681">
          <cell r="B681"/>
          <cell r="C681"/>
          <cell r="F681"/>
          <cell r="G681"/>
          <cell r="H681"/>
          <cell r="I681"/>
        </row>
        <row r="682">
          <cell r="B682"/>
          <cell r="C682"/>
          <cell r="D682"/>
          <cell r="E682"/>
          <cell r="F682"/>
          <cell r="G682"/>
          <cell r="H682"/>
          <cell r="I682"/>
        </row>
        <row r="683">
          <cell r="B683"/>
          <cell r="C683"/>
          <cell r="D683"/>
          <cell r="E683"/>
          <cell r="F683"/>
          <cell r="G683"/>
          <cell r="H683"/>
          <cell r="I683"/>
        </row>
        <row r="684">
          <cell r="B684"/>
          <cell r="C684"/>
          <cell r="D684"/>
          <cell r="E684"/>
          <cell r="F684"/>
          <cell r="G684"/>
          <cell r="H684"/>
          <cell r="I684"/>
        </row>
        <row r="685">
          <cell r="B685"/>
          <cell r="C685"/>
          <cell r="D685"/>
          <cell r="E685"/>
          <cell r="F685"/>
          <cell r="G685"/>
          <cell r="H685"/>
          <cell r="I685"/>
        </row>
        <row r="686">
          <cell r="B686" t="str">
            <v>3.1</v>
          </cell>
          <cell r="C686" t="str">
            <v>DESCRIPCION:</v>
          </cell>
          <cell r="D686" t="str">
            <v>EXCAVACION DE LA EXPLANEACION, CANALES Y PRESTAMOS, CAJEOS</v>
          </cell>
          <cell r="E686"/>
          <cell r="F686"/>
          <cell r="G686"/>
          <cell r="H686"/>
          <cell r="I686"/>
        </row>
        <row r="687">
          <cell r="B687" t="str">
            <v>210-13</v>
          </cell>
          <cell r="C687"/>
          <cell r="D687" t="str">
            <v>UNIDAD</v>
          </cell>
          <cell r="E687" t="str">
            <v>M3</v>
          </cell>
          <cell r="F687" t="str">
            <v>CANTIDAD</v>
          </cell>
          <cell r="G687">
            <v>2205</v>
          </cell>
          <cell r="H687" t="str">
            <v>V. UNITARIO:</v>
          </cell>
          <cell r="I687">
            <v>33215</v>
          </cell>
        </row>
        <row r="688">
          <cell r="B688"/>
          <cell r="C688"/>
          <cell r="D688"/>
          <cell r="E688"/>
          <cell r="F688"/>
          <cell r="G688"/>
          <cell r="H688"/>
          <cell r="I688"/>
        </row>
        <row r="689">
          <cell r="B689"/>
          <cell r="C689"/>
          <cell r="D689"/>
          <cell r="E689"/>
          <cell r="F689" t="str">
            <v>Tarifa/Hora/DIA</v>
          </cell>
          <cell r="G689" t="str">
            <v>Rendimiento</v>
          </cell>
          <cell r="H689" t="str">
            <v>Valor-Unit.</v>
          </cell>
          <cell r="I689"/>
        </row>
        <row r="690">
          <cell r="B690" t="str">
            <v>E003</v>
          </cell>
          <cell r="C690" t="str">
            <v>Retrocargador</v>
          </cell>
          <cell r="D690"/>
          <cell r="E690"/>
          <cell r="F690">
            <v>120000</v>
          </cell>
          <cell r="G690">
            <v>0.23668639053254434</v>
          </cell>
          <cell r="H690">
            <v>28402.366863905321</v>
          </cell>
          <cell r="I690"/>
        </row>
        <row r="691">
          <cell r="B691" t="str">
            <v>E005</v>
          </cell>
          <cell r="C691" t="str">
            <v xml:space="preserve">Nivel de precisión </v>
          </cell>
          <cell r="D691"/>
          <cell r="E691"/>
          <cell r="F691">
            <v>25000</v>
          </cell>
          <cell r="G691">
            <v>2.9585798816568001E-2</v>
          </cell>
          <cell r="H691">
            <v>739.64497041419997</v>
          </cell>
          <cell r="I691"/>
        </row>
        <row r="692">
          <cell r="B692" t="str">
            <v>E028</v>
          </cell>
          <cell r="C692" t="str">
            <v>vibro compactador</v>
          </cell>
          <cell r="D692"/>
          <cell r="E692"/>
          <cell r="F692">
            <v>120000</v>
          </cell>
          <cell r="G692">
            <v>2.9585798816568001E-2</v>
          </cell>
          <cell r="H692">
            <v>3550.2958579881602</v>
          </cell>
          <cell r="I692"/>
        </row>
        <row r="693">
          <cell r="B693"/>
          <cell r="C693"/>
          <cell r="D693"/>
          <cell r="E693"/>
          <cell r="F693" t="str">
            <v>Sub-Total</v>
          </cell>
          <cell r="G693" t="str">
            <v>3.1</v>
          </cell>
          <cell r="H693" t="str">
            <v>EQUI-3.1</v>
          </cell>
          <cell r="I693">
            <v>32692.307692307681</v>
          </cell>
        </row>
        <row r="694">
          <cell r="B694"/>
          <cell r="C694"/>
          <cell r="D694"/>
          <cell r="E694"/>
          <cell r="F694"/>
          <cell r="G694"/>
          <cell r="H694"/>
          <cell r="I694"/>
        </row>
        <row r="695">
          <cell r="B695"/>
          <cell r="C695"/>
          <cell r="D695"/>
          <cell r="E695" t="str">
            <v>UNIDAD</v>
          </cell>
          <cell r="F695" t="str">
            <v>V.UNIT</v>
          </cell>
          <cell r="G695" t="str">
            <v>CANT</v>
          </cell>
          <cell r="H695" t="str">
            <v>V.TOTAL</v>
          </cell>
          <cell r="I695"/>
        </row>
        <row r="696">
          <cell r="B696"/>
          <cell r="C696"/>
          <cell r="D696"/>
          <cell r="E696"/>
          <cell r="F696"/>
          <cell r="G696"/>
          <cell r="H696">
            <v>0</v>
          </cell>
          <cell r="I696"/>
        </row>
        <row r="697">
          <cell r="B697"/>
          <cell r="C697"/>
          <cell r="D697"/>
          <cell r="E697"/>
          <cell r="F697" t="str">
            <v>Sub-Total</v>
          </cell>
          <cell r="G697" t="str">
            <v>3.1</v>
          </cell>
          <cell r="H697" t="str">
            <v>MAT-3.1</v>
          </cell>
          <cell r="I697">
            <v>0</v>
          </cell>
        </row>
        <row r="698">
          <cell r="B698"/>
          <cell r="C698"/>
          <cell r="D698"/>
          <cell r="E698"/>
          <cell r="F698"/>
          <cell r="G698"/>
          <cell r="H698"/>
          <cell r="I698"/>
        </row>
        <row r="699">
          <cell r="B699"/>
          <cell r="C699"/>
          <cell r="D699" t="str">
            <v xml:space="preserve">CAN </v>
          </cell>
          <cell r="E699" t="str">
            <v>DISTANCIA</v>
          </cell>
          <cell r="F699" t="str">
            <v>M3-Km / UN-KM</v>
          </cell>
          <cell r="G699" t="str">
            <v>TARIFA</v>
          </cell>
          <cell r="H699" t="str">
            <v>Valor-Unit.</v>
          </cell>
          <cell r="I699"/>
        </row>
        <row r="700">
          <cell r="B700"/>
          <cell r="C700"/>
          <cell r="D700"/>
          <cell r="E700"/>
          <cell r="F700"/>
          <cell r="G700"/>
          <cell r="H700">
            <v>0</v>
          </cell>
          <cell r="I700"/>
        </row>
        <row r="701">
          <cell r="B701"/>
          <cell r="C701"/>
          <cell r="D701"/>
          <cell r="E701"/>
          <cell r="F701" t="str">
            <v>Sub-Total</v>
          </cell>
          <cell r="G701" t="str">
            <v>3.1</v>
          </cell>
          <cell r="H701" t="str">
            <v>TRAN-3.1</v>
          </cell>
          <cell r="I701">
            <v>0</v>
          </cell>
        </row>
        <row r="702">
          <cell r="B702"/>
          <cell r="C702"/>
          <cell r="D702"/>
          <cell r="E702"/>
          <cell r="F702"/>
          <cell r="G702"/>
          <cell r="H702"/>
          <cell r="I702"/>
        </row>
        <row r="703">
          <cell r="B703"/>
          <cell r="C703"/>
          <cell r="D703" t="str">
            <v>JORNAL-HORA</v>
          </cell>
          <cell r="E703" t="str">
            <v>PRES</v>
          </cell>
          <cell r="F703" t="str">
            <v>Jornal Total</v>
          </cell>
          <cell r="G703" t="str">
            <v>Rendimiento</v>
          </cell>
          <cell r="H703" t="str">
            <v>Valor-Unit.</v>
          </cell>
          <cell r="I703"/>
        </row>
        <row r="704">
          <cell r="B704" t="str">
            <v>MO004</v>
          </cell>
          <cell r="C704" t="str">
            <v xml:space="preserve">oficial </v>
          </cell>
          <cell r="D704">
            <v>4833.333333333333</v>
          </cell>
          <cell r="E704"/>
          <cell r="F704">
            <v>4833.333333333333</v>
          </cell>
          <cell r="G704">
            <v>0</v>
          </cell>
          <cell r="H704">
            <v>0</v>
          </cell>
          <cell r="I704"/>
        </row>
        <row r="705">
          <cell r="B705" t="str">
            <v>MO007</v>
          </cell>
          <cell r="C705" t="str">
            <v>contra maestro</v>
          </cell>
          <cell r="D705">
            <v>5208.333333333333</v>
          </cell>
          <cell r="E705"/>
          <cell r="F705">
            <v>5208.333333333333</v>
          </cell>
          <cell r="G705">
            <v>2.9585798816568003E-3</v>
          </cell>
          <cell r="H705">
            <v>15.409270216962501</v>
          </cell>
          <cell r="I705"/>
        </row>
        <row r="706">
          <cell r="B706" t="str">
            <v>MO006</v>
          </cell>
          <cell r="C706" t="str">
            <v xml:space="preserve">ayudante </v>
          </cell>
          <cell r="D706">
            <v>4833.333333333333</v>
          </cell>
          <cell r="E706"/>
          <cell r="F706">
            <v>4833.333333333333</v>
          </cell>
          <cell r="G706">
            <v>2.9585798816568001E-2</v>
          </cell>
          <cell r="H706">
            <v>142.99802761341201</v>
          </cell>
          <cell r="I706"/>
        </row>
        <row r="707">
          <cell r="B707" t="str">
            <v>MO002</v>
          </cell>
          <cell r="C707" t="str">
            <v>cadenero 1</v>
          </cell>
          <cell r="D707">
            <v>5208.333333333333</v>
          </cell>
          <cell r="E707"/>
          <cell r="F707">
            <v>5208.333333333333</v>
          </cell>
          <cell r="G707">
            <v>2.9585798816568001E-2</v>
          </cell>
          <cell r="H707">
            <v>154.092702169625</v>
          </cell>
          <cell r="I707"/>
        </row>
        <row r="708">
          <cell r="B708" t="str">
            <v>MO001</v>
          </cell>
          <cell r="C708" t="str">
            <v>topógrafo</v>
          </cell>
          <cell r="D708">
            <v>6250</v>
          </cell>
          <cell r="E708"/>
          <cell r="F708">
            <v>6250</v>
          </cell>
          <cell r="G708">
            <v>2.9585798816568001E-2</v>
          </cell>
          <cell r="H708">
            <v>184.91124260354999</v>
          </cell>
          <cell r="I708"/>
        </row>
        <row r="709">
          <cell r="B709"/>
          <cell r="C709"/>
          <cell r="D709"/>
          <cell r="E709"/>
          <cell r="F709"/>
          <cell r="G709"/>
          <cell r="H709"/>
          <cell r="I709"/>
        </row>
        <row r="710">
          <cell r="B710"/>
          <cell r="C710"/>
          <cell r="D710"/>
          <cell r="E710"/>
          <cell r="F710" t="str">
            <v>Sub-Total</v>
          </cell>
          <cell r="G710" t="str">
            <v>3.1</v>
          </cell>
          <cell r="H710" t="str">
            <v>MDEO-3.1</v>
          </cell>
          <cell r="I710">
            <v>497.41124260354957</v>
          </cell>
        </row>
        <row r="711">
          <cell r="B711"/>
          <cell r="C711"/>
          <cell r="D711"/>
          <cell r="E711"/>
          <cell r="F711"/>
          <cell r="G711"/>
          <cell r="H711"/>
          <cell r="I711">
            <v>24.870562130177479</v>
          </cell>
        </row>
        <row r="712">
          <cell r="B712"/>
          <cell r="C712"/>
          <cell r="D712"/>
          <cell r="E712"/>
          <cell r="F712" t="str">
            <v>Total Costo Directo</v>
          </cell>
          <cell r="G712"/>
          <cell r="H712"/>
          <cell r="I712">
            <v>33215</v>
          </cell>
        </row>
        <row r="713">
          <cell r="B713"/>
          <cell r="C713"/>
          <cell r="D713"/>
          <cell r="E713" t="str">
            <v>PORCENTAJE</v>
          </cell>
          <cell r="F713"/>
          <cell r="G713" t="str">
            <v>V. COSTO INDERECTO</v>
          </cell>
          <cell r="H713"/>
          <cell r="I713"/>
        </row>
        <row r="714">
          <cell r="B714"/>
          <cell r="C714"/>
          <cell r="D714"/>
          <cell r="E714">
            <v>0.02</v>
          </cell>
          <cell r="F714"/>
          <cell r="G714">
            <v>664.30000000000007</v>
          </cell>
          <cell r="H714"/>
          <cell r="I714"/>
        </row>
        <row r="715">
          <cell r="B715"/>
          <cell r="C715"/>
          <cell r="D715"/>
          <cell r="E715">
            <v>0.23</v>
          </cell>
          <cell r="F715"/>
          <cell r="G715">
            <v>7639.4500000000007</v>
          </cell>
          <cell r="H715"/>
          <cell r="I715"/>
        </row>
        <row r="716">
          <cell r="B716"/>
          <cell r="C716"/>
          <cell r="D716"/>
          <cell r="E716">
            <v>0.05</v>
          </cell>
          <cell r="F716"/>
          <cell r="G716">
            <v>1660.75</v>
          </cell>
          <cell r="H716"/>
          <cell r="I716"/>
        </row>
        <row r="717">
          <cell r="B717"/>
          <cell r="C717"/>
          <cell r="D717"/>
          <cell r="E717">
            <v>0.02</v>
          </cell>
          <cell r="F717"/>
          <cell r="G717">
            <v>664.30000000000007</v>
          </cell>
          <cell r="H717"/>
          <cell r="I717"/>
        </row>
        <row r="718">
          <cell r="B718"/>
          <cell r="C718"/>
          <cell r="D718"/>
          <cell r="E718"/>
          <cell r="F718"/>
          <cell r="G718"/>
          <cell r="H718"/>
          <cell r="I718">
            <v>10628.8</v>
          </cell>
        </row>
        <row r="719">
          <cell r="B719"/>
          <cell r="C719"/>
          <cell r="D719"/>
          <cell r="E719"/>
          <cell r="F719"/>
          <cell r="G719"/>
          <cell r="H719"/>
          <cell r="I719">
            <v>43843.8</v>
          </cell>
        </row>
        <row r="720">
          <cell r="B720"/>
          <cell r="C720"/>
          <cell r="D720"/>
          <cell r="E720"/>
          <cell r="F720"/>
          <cell r="G720"/>
          <cell r="H720"/>
          <cell r="I720"/>
        </row>
        <row r="721">
          <cell r="B721"/>
          <cell r="C721"/>
          <cell r="D721"/>
          <cell r="E721"/>
          <cell r="F721" t="str">
            <v>REVISA</v>
          </cell>
          <cell r="G721"/>
          <cell r="H721"/>
          <cell r="I721"/>
        </row>
        <row r="722">
          <cell r="B722"/>
          <cell r="C722"/>
          <cell r="D722"/>
          <cell r="E722"/>
          <cell r="F722" t="str">
            <v>FIRMA:</v>
          </cell>
          <cell r="G722"/>
          <cell r="H722"/>
          <cell r="I722"/>
        </row>
        <row r="723">
          <cell r="B723" t="str">
            <v>LINA MARCELA</v>
          </cell>
          <cell r="C723"/>
          <cell r="F723" t="str">
            <v>NOMBRE</v>
          </cell>
          <cell r="G723"/>
          <cell r="H723"/>
          <cell r="I723"/>
        </row>
        <row r="724">
          <cell r="B724" t="str">
            <v>05202-316814 ANT</v>
          </cell>
          <cell r="C724"/>
          <cell r="F724" t="str">
            <v>MAT:</v>
          </cell>
          <cell r="G724"/>
          <cell r="H724"/>
          <cell r="I724"/>
        </row>
        <row r="725">
          <cell r="B725"/>
          <cell r="C725"/>
          <cell r="F725"/>
          <cell r="G725"/>
          <cell r="H725"/>
          <cell r="I725"/>
        </row>
        <row r="726">
          <cell r="B726"/>
          <cell r="C726"/>
          <cell r="D726"/>
          <cell r="E726"/>
          <cell r="F726"/>
          <cell r="G726"/>
          <cell r="H726"/>
          <cell r="I726"/>
        </row>
        <row r="727">
          <cell r="B727"/>
          <cell r="C727"/>
          <cell r="D727"/>
          <cell r="E727"/>
          <cell r="F727"/>
          <cell r="G727"/>
          <cell r="H727"/>
          <cell r="I727"/>
        </row>
        <row r="728">
          <cell r="B728"/>
          <cell r="C728"/>
          <cell r="D728"/>
          <cell r="E728"/>
          <cell r="F728"/>
          <cell r="G728"/>
          <cell r="H728"/>
          <cell r="I728"/>
        </row>
        <row r="729">
          <cell r="B729"/>
          <cell r="C729"/>
          <cell r="D729"/>
          <cell r="E729"/>
          <cell r="F729"/>
          <cell r="G729"/>
          <cell r="H729"/>
          <cell r="I729"/>
        </row>
        <row r="730">
          <cell r="B730" t="str">
            <v>3.2</v>
          </cell>
          <cell r="C730" t="str">
            <v>DESCRIPCION:</v>
          </cell>
          <cell r="D730" t="str">
            <v>ESTABILIZACION DE LOS SUELOS DE SUBRASANTE  CON GEOTEXTIL TEJIDO 2400</v>
          </cell>
          <cell r="E730"/>
          <cell r="F730"/>
          <cell r="G730"/>
          <cell r="H730"/>
          <cell r="I730"/>
        </row>
        <row r="731">
          <cell r="B731" t="str">
            <v>232-13</v>
          </cell>
          <cell r="C731"/>
          <cell r="D731" t="str">
            <v>UNIDAD</v>
          </cell>
          <cell r="E731" t="str">
            <v>M2</v>
          </cell>
          <cell r="F731" t="str">
            <v>CANTIDAD</v>
          </cell>
          <cell r="G731">
            <v>14703</v>
          </cell>
          <cell r="H731" t="str">
            <v>V. UNITARIO:</v>
          </cell>
          <cell r="I731">
            <v>9220</v>
          </cell>
        </row>
        <row r="732">
          <cell r="B732"/>
          <cell r="C732"/>
          <cell r="D732"/>
          <cell r="E732"/>
          <cell r="F732"/>
          <cell r="G732"/>
          <cell r="H732"/>
          <cell r="I732"/>
        </row>
        <row r="733">
          <cell r="B733"/>
          <cell r="C733"/>
          <cell r="D733"/>
          <cell r="E733"/>
          <cell r="F733" t="str">
            <v>Tarifa/Hora</v>
          </cell>
          <cell r="G733" t="str">
            <v>Rendimiento</v>
          </cell>
          <cell r="H733" t="str">
            <v>Valor-Unit.</v>
          </cell>
          <cell r="I733"/>
        </row>
        <row r="734">
          <cell r="B734"/>
          <cell r="C734"/>
          <cell r="D734"/>
          <cell r="E734"/>
          <cell r="F734"/>
          <cell r="G734"/>
          <cell r="H734">
            <v>0</v>
          </cell>
          <cell r="I734"/>
        </row>
        <row r="735">
          <cell r="B735"/>
          <cell r="C735"/>
          <cell r="D735"/>
          <cell r="E735"/>
          <cell r="F735" t="str">
            <v>Sub-Total</v>
          </cell>
          <cell r="G735" t="str">
            <v>3.2</v>
          </cell>
          <cell r="H735" t="str">
            <v>EQUI-3.2</v>
          </cell>
          <cell r="I735">
            <v>0</v>
          </cell>
        </row>
        <row r="736">
          <cell r="B736"/>
          <cell r="C736"/>
          <cell r="D736"/>
          <cell r="E736"/>
          <cell r="F736"/>
          <cell r="G736"/>
          <cell r="H736"/>
          <cell r="I736"/>
        </row>
        <row r="737">
          <cell r="B737"/>
          <cell r="C737"/>
          <cell r="D737"/>
          <cell r="E737" t="str">
            <v>UNIDAD</v>
          </cell>
          <cell r="F737" t="str">
            <v>V.UNIT</v>
          </cell>
          <cell r="G737" t="str">
            <v>CANT</v>
          </cell>
          <cell r="H737" t="str">
            <v>V.TOTAL</v>
          </cell>
          <cell r="I737"/>
        </row>
        <row r="738">
          <cell r="B738" t="str">
            <v>M015</v>
          </cell>
          <cell r="C738" t="str">
            <v>geotextil tejido 2400 t</v>
          </cell>
          <cell r="D738"/>
          <cell r="E738" t="str">
            <v>M2</v>
          </cell>
          <cell r="F738">
            <v>8500</v>
          </cell>
          <cell r="G738">
            <v>1</v>
          </cell>
          <cell r="H738">
            <v>8500</v>
          </cell>
          <cell r="I738"/>
        </row>
        <row r="739">
          <cell r="B739" t="str">
            <v>M019</v>
          </cell>
          <cell r="C739" t="str">
            <v>listón 2*2 madera tipo choiba</v>
          </cell>
          <cell r="D739"/>
          <cell r="E739" t="str">
            <v>UNIDAD</v>
          </cell>
          <cell r="F739">
            <v>10000</v>
          </cell>
          <cell r="G739">
            <v>1E-3</v>
          </cell>
          <cell r="H739">
            <v>10</v>
          </cell>
          <cell r="I739"/>
        </row>
        <row r="740">
          <cell r="B740"/>
          <cell r="C740"/>
          <cell r="D740"/>
          <cell r="E740"/>
          <cell r="F740" t="str">
            <v>Sub-Total</v>
          </cell>
          <cell r="G740" t="str">
            <v>3.2</v>
          </cell>
          <cell r="H740" t="str">
            <v>MAT-3.2</v>
          </cell>
          <cell r="I740">
            <v>8510</v>
          </cell>
        </row>
        <row r="741">
          <cell r="B741"/>
          <cell r="C741"/>
          <cell r="D741"/>
          <cell r="E741"/>
          <cell r="F741"/>
          <cell r="G741"/>
          <cell r="H741"/>
          <cell r="I741"/>
        </row>
        <row r="742">
          <cell r="B742"/>
          <cell r="C742"/>
          <cell r="D742" t="str">
            <v xml:space="preserve">CAN </v>
          </cell>
          <cell r="E742" t="str">
            <v>DISTANCIA</v>
          </cell>
          <cell r="F742" t="str">
            <v>M3-Km / UN-KM</v>
          </cell>
          <cell r="G742" t="str">
            <v>TARIFA</v>
          </cell>
          <cell r="H742" t="str">
            <v>Valor-Unit.</v>
          </cell>
          <cell r="I742"/>
        </row>
        <row r="743">
          <cell r="B743"/>
          <cell r="C743"/>
          <cell r="D743"/>
          <cell r="E743"/>
          <cell r="F743"/>
          <cell r="G743"/>
          <cell r="H743"/>
          <cell r="I743"/>
        </row>
        <row r="744">
          <cell r="B744"/>
          <cell r="C744"/>
          <cell r="D744"/>
          <cell r="E744"/>
          <cell r="F744" t="str">
            <v>Sub-Total</v>
          </cell>
          <cell r="G744" t="str">
            <v>3.2</v>
          </cell>
          <cell r="H744" t="str">
            <v>TRAN-3.2</v>
          </cell>
          <cell r="I744">
            <v>0</v>
          </cell>
        </row>
        <row r="745">
          <cell r="B745"/>
          <cell r="C745"/>
          <cell r="D745"/>
          <cell r="E745"/>
          <cell r="F745"/>
          <cell r="G745"/>
          <cell r="H745"/>
          <cell r="I745"/>
        </row>
        <row r="746">
          <cell r="B746"/>
          <cell r="C746"/>
          <cell r="D746" t="str">
            <v>JORNAL-HORA</v>
          </cell>
          <cell r="E746" t="str">
            <v>PRES</v>
          </cell>
          <cell r="F746" t="str">
            <v>JORNAL TOTAL</v>
          </cell>
          <cell r="G746" t="str">
            <v>RENDIEMIENTO</v>
          </cell>
          <cell r="H746" t="str">
            <v>VALOR-UNIT</v>
          </cell>
          <cell r="I746"/>
        </row>
        <row r="747">
          <cell r="B747" t="str">
            <v>MO004</v>
          </cell>
          <cell r="C747" t="str">
            <v xml:space="preserve">oficial </v>
          </cell>
          <cell r="D747">
            <v>4833.333333333333</v>
          </cell>
          <cell r="E747">
            <v>0</v>
          </cell>
          <cell r="F747">
            <v>4833.333333333333</v>
          </cell>
          <cell r="G747">
            <v>4.4999999999999998E-2</v>
          </cell>
          <cell r="H747">
            <v>217.49999999999997</v>
          </cell>
          <cell r="I747"/>
        </row>
        <row r="748">
          <cell r="B748" t="str">
            <v>MO005</v>
          </cell>
          <cell r="C748" t="str">
            <v xml:space="preserve">ayudante entendido </v>
          </cell>
          <cell r="D748">
            <v>4833.333333333333</v>
          </cell>
          <cell r="E748">
            <v>0</v>
          </cell>
          <cell r="F748">
            <v>4833.333333333333</v>
          </cell>
          <cell r="G748">
            <v>4.4999999999999998E-2</v>
          </cell>
          <cell r="H748">
            <v>217.49999999999997</v>
          </cell>
          <cell r="I748"/>
        </row>
        <row r="749">
          <cell r="B749" t="str">
            <v>MO006</v>
          </cell>
          <cell r="C749" t="str">
            <v xml:space="preserve">ayudante </v>
          </cell>
          <cell r="D749">
            <v>4833.333333333333</v>
          </cell>
          <cell r="E749">
            <v>0</v>
          </cell>
          <cell r="F749">
            <v>4833.333333333333</v>
          </cell>
          <cell r="G749">
            <v>4.4999999999999998E-2</v>
          </cell>
          <cell r="H749">
            <v>217.49999999999997</v>
          </cell>
          <cell r="I749"/>
        </row>
        <row r="750">
          <cell r="B750" t="str">
            <v>MO007</v>
          </cell>
          <cell r="C750" t="str">
            <v>contra maestro</v>
          </cell>
          <cell r="D750">
            <v>5208.333333333333</v>
          </cell>
          <cell r="E750"/>
          <cell r="F750">
            <v>5208.333333333333</v>
          </cell>
          <cell r="G750">
            <v>4.4999999999999997E-3</v>
          </cell>
          <cell r="H750">
            <v>23.437499999999996</v>
          </cell>
          <cell r="I750"/>
        </row>
        <row r="751">
          <cell r="B751"/>
          <cell r="C751"/>
          <cell r="D751"/>
          <cell r="E751"/>
          <cell r="F751"/>
          <cell r="G751"/>
          <cell r="H751"/>
          <cell r="I751"/>
        </row>
        <row r="752">
          <cell r="B752"/>
          <cell r="C752"/>
          <cell r="D752"/>
          <cell r="E752"/>
          <cell r="F752" t="str">
            <v>Sub-Total</v>
          </cell>
          <cell r="G752" t="str">
            <v>3.2</v>
          </cell>
          <cell r="H752" t="str">
            <v>MDEO-3.2</v>
          </cell>
          <cell r="I752">
            <v>675.93749999999989</v>
          </cell>
        </row>
        <row r="753">
          <cell r="B753"/>
          <cell r="C753"/>
          <cell r="D753"/>
          <cell r="E753"/>
          <cell r="F753"/>
          <cell r="G753"/>
          <cell r="H753"/>
          <cell r="I753">
            <v>33.796874999999993</v>
          </cell>
        </row>
        <row r="754">
          <cell r="B754"/>
          <cell r="C754"/>
          <cell r="D754"/>
          <cell r="E754"/>
          <cell r="F754" t="str">
            <v>Total Costo Directo</v>
          </cell>
          <cell r="G754"/>
          <cell r="H754"/>
          <cell r="I754">
            <v>9220</v>
          </cell>
        </row>
        <row r="755">
          <cell r="B755"/>
          <cell r="C755"/>
          <cell r="D755"/>
          <cell r="E755" t="str">
            <v>PORCENTAJE</v>
          </cell>
          <cell r="F755"/>
          <cell r="G755" t="str">
            <v>V. COSTO INDERECTO</v>
          </cell>
          <cell r="H755"/>
          <cell r="I755"/>
        </row>
        <row r="756">
          <cell r="B756"/>
          <cell r="C756"/>
          <cell r="D756"/>
          <cell r="E756">
            <v>0.02</v>
          </cell>
          <cell r="F756"/>
          <cell r="G756">
            <v>184.4</v>
          </cell>
          <cell r="H756"/>
          <cell r="I756"/>
        </row>
        <row r="757">
          <cell r="B757"/>
          <cell r="C757"/>
          <cell r="D757"/>
          <cell r="E757">
            <v>0.23</v>
          </cell>
          <cell r="F757"/>
          <cell r="G757">
            <v>2120.6</v>
          </cell>
          <cell r="H757"/>
          <cell r="I757"/>
        </row>
        <row r="758">
          <cell r="B758"/>
          <cell r="C758"/>
          <cell r="D758"/>
          <cell r="E758">
            <v>0.05</v>
          </cell>
          <cell r="F758"/>
          <cell r="G758">
            <v>461</v>
          </cell>
          <cell r="H758"/>
          <cell r="I758"/>
        </row>
        <row r="759">
          <cell r="B759"/>
          <cell r="C759"/>
          <cell r="D759"/>
          <cell r="E759">
            <v>0.02</v>
          </cell>
          <cell r="F759"/>
          <cell r="G759">
            <v>184.4</v>
          </cell>
          <cell r="H759"/>
          <cell r="I759"/>
        </row>
        <row r="760">
          <cell r="B760"/>
          <cell r="C760"/>
          <cell r="D760"/>
          <cell r="E760"/>
          <cell r="F760"/>
          <cell r="G760"/>
          <cell r="H760"/>
          <cell r="I760">
            <v>2950.4</v>
          </cell>
        </row>
        <row r="761">
          <cell r="B761"/>
          <cell r="C761"/>
          <cell r="D761"/>
          <cell r="E761"/>
          <cell r="F761"/>
          <cell r="G761"/>
          <cell r="H761"/>
          <cell r="I761">
            <v>12170.4</v>
          </cell>
        </row>
        <row r="762">
          <cell r="B762"/>
          <cell r="C762"/>
          <cell r="D762"/>
          <cell r="E762"/>
          <cell r="F762"/>
          <cell r="G762"/>
          <cell r="H762"/>
          <cell r="I762"/>
        </row>
        <row r="763">
          <cell r="B763"/>
          <cell r="C763"/>
          <cell r="D763"/>
          <cell r="E763"/>
          <cell r="F763" t="str">
            <v>REVISA</v>
          </cell>
          <cell r="G763"/>
          <cell r="H763"/>
          <cell r="I763"/>
        </row>
        <row r="764">
          <cell r="B764"/>
          <cell r="C764"/>
          <cell r="D764"/>
          <cell r="E764"/>
          <cell r="F764" t="str">
            <v>FIRMA:</v>
          </cell>
          <cell r="G764"/>
          <cell r="H764"/>
          <cell r="I764"/>
        </row>
        <row r="765">
          <cell r="B765" t="str">
            <v>LINA MARCELA</v>
          </cell>
          <cell r="C765"/>
          <cell r="F765" t="str">
            <v>NOMBRE</v>
          </cell>
          <cell r="G765"/>
          <cell r="H765"/>
          <cell r="I765"/>
        </row>
        <row r="766">
          <cell r="B766" t="str">
            <v>05202-316814 ANT</v>
          </cell>
          <cell r="C766"/>
          <cell r="F766" t="str">
            <v>MAT:</v>
          </cell>
          <cell r="G766"/>
          <cell r="H766"/>
          <cell r="I766"/>
        </row>
        <row r="767">
          <cell r="B767"/>
          <cell r="C767"/>
          <cell r="F767"/>
          <cell r="G767"/>
          <cell r="H767"/>
          <cell r="I767"/>
        </row>
        <row r="768">
          <cell r="B768"/>
          <cell r="C768"/>
          <cell r="D768"/>
          <cell r="E768"/>
          <cell r="F768"/>
          <cell r="G768"/>
          <cell r="H768"/>
          <cell r="I768"/>
        </row>
        <row r="769">
          <cell r="B769"/>
          <cell r="C769"/>
          <cell r="D769"/>
          <cell r="E769"/>
          <cell r="F769"/>
          <cell r="G769"/>
          <cell r="H769"/>
          <cell r="I769"/>
        </row>
        <row r="770">
          <cell r="B770"/>
          <cell r="C770"/>
          <cell r="D770"/>
          <cell r="E770"/>
          <cell r="F770"/>
          <cell r="G770"/>
          <cell r="H770"/>
          <cell r="I770"/>
        </row>
        <row r="771">
          <cell r="B771"/>
          <cell r="C771"/>
          <cell r="D771"/>
          <cell r="E771"/>
          <cell r="F771"/>
          <cell r="G771"/>
          <cell r="H771"/>
          <cell r="I771"/>
        </row>
        <row r="772">
          <cell r="B772" t="str">
            <v>3.3</v>
          </cell>
          <cell r="C772" t="str">
            <v>DESCRIPCION:</v>
          </cell>
          <cell r="D772" t="str">
            <v xml:space="preserve">MEJORAMIENTO DE LA SUBRASANTE CON ADICION DE MATEIRALES GRANULAR DE PRESTAMO PARA REMPLAZO </v>
          </cell>
          <cell r="E772"/>
          <cell r="F772"/>
          <cell r="G772"/>
          <cell r="H772"/>
          <cell r="I772"/>
        </row>
        <row r="773">
          <cell r="B773" t="str">
            <v>230-13</v>
          </cell>
          <cell r="C773"/>
          <cell r="D773" t="str">
            <v>UNIDAD</v>
          </cell>
          <cell r="E773" t="str">
            <v>M3</v>
          </cell>
          <cell r="F773" t="str">
            <v>CANTIDAD</v>
          </cell>
          <cell r="G773">
            <v>2205</v>
          </cell>
          <cell r="H773" t="str">
            <v>V. UNITARIO:</v>
          </cell>
          <cell r="I773">
            <v>116586</v>
          </cell>
        </row>
        <row r="774">
          <cell r="B774"/>
          <cell r="C774"/>
          <cell r="D774"/>
          <cell r="E774"/>
          <cell r="F774"/>
          <cell r="G774"/>
          <cell r="H774"/>
          <cell r="I774"/>
        </row>
        <row r="775">
          <cell r="B775"/>
          <cell r="C775"/>
          <cell r="D775"/>
          <cell r="E775"/>
          <cell r="F775" t="str">
            <v>Tarifa/Hora</v>
          </cell>
          <cell r="G775" t="str">
            <v>Rendimiento</v>
          </cell>
          <cell r="H775" t="str">
            <v>Valor-Unit.</v>
          </cell>
          <cell r="I775"/>
        </row>
        <row r="776">
          <cell r="B776" t="str">
            <v>E019</v>
          </cell>
          <cell r="C776" t="str">
            <v>motoniveladora</v>
          </cell>
          <cell r="D776"/>
          <cell r="E776"/>
          <cell r="F776">
            <v>155000</v>
          </cell>
          <cell r="G776">
            <v>0.05</v>
          </cell>
          <cell r="H776">
            <v>7750</v>
          </cell>
          <cell r="I776"/>
        </row>
        <row r="777">
          <cell r="B777" t="str">
            <v>E028</v>
          </cell>
          <cell r="C777" t="str">
            <v>vibro compactador</v>
          </cell>
          <cell r="D777"/>
          <cell r="E777"/>
          <cell r="F777">
            <v>120000</v>
          </cell>
          <cell r="G777">
            <v>0.05</v>
          </cell>
          <cell r="H777">
            <v>6000</v>
          </cell>
          <cell r="I777"/>
        </row>
        <row r="778">
          <cell r="B778" t="str">
            <v>E026</v>
          </cell>
          <cell r="C778" t="str">
            <v>tanque de almacenamiento de agua</v>
          </cell>
          <cell r="D778"/>
          <cell r="E778"/>
          <cell r="F778">
            <v>1000</v>
          </cell>
          <cell r="G778">
            <v>0.04</v>
          </cell>
          <cell r="H778">
            <v>40</v>
          </cell>
          <cell r="I778"/>
        </row>
        <row r="779">
          <cell r="B779" t="str">
            <v>E005</v>
          </cell>
          <cell r="C779" t="str">
            <v xml:space="preserve">Nivel de precisión </v>
          </cell>
          <cell r="D779"/>
          <cell r="E779"/>
          <cell r="F779">
            <v>25000</v>
          </cell>
          <cell r="G779">
            <v>0.04</v>
          </cell>
          <cell r="H779">
            <v>1000</v>
          </cell>
          <cell r="I779"/>
        </row>
        <row r="780">
          <cell r="B780"/>
          <cell r="C780"/>
          <cell r="D780"/>
          <cell r="E780"/>
          <cell r="F780" t="str">
            <v>Sub-Total</v>
          </cell>
          <cell r="G780" t="str">
            <v>3.3</v>
          </cell>
          <cell r="H780" t="str">
            <v>EQUI-3.3</v>
          </cell>
          <cell r="I780">
            <v>14790</v>
          </cell>
        </row>
        <row r="781">
          <cell r="B781"/>
          <cell r="C781"/>
          <cell r="D781"/>
          <cell r="E781"/>
          <cell r="F781"/>
          <cell r="G781"/>
          <cell r="H781"/>
          <cell r="I781"/>
        </row>
        <row r="782">
          <cell r="B782"/>
          <cell r="C782"/>
          <cell r="D782"/>
          <cell r="E782" t="str">
            <v>UNIDAD</v>
          </cell>
          <cell r="F782" t="str">
            <v>V.UNIT</v>
          </cell>
          <cell r="G782" t="str">
            <v>CANT</v>
          </cell>
          <cell r="H782" t="str">
            <v>V.TOTAL</v>
          </cell>
          <cell r="I782"/>
        </row>
        <row r="783">
          <cell r="B783" t="str">
            <v>M002</v>
          </cell>
          <cell r="C783" t="str">
            <v>agua</v>
          </cell>
          <cell r="D783"/>
          <cell r="E783" t="str">
            <v>M3</v>
          </cell>
          <cell r="F783">
            <v>2750</v>
          </cell>
          <cell r="G783">
            <v>0.2</v>
          </cell>
          <cell r="H783">
            <v>550</v>
          </cell>
          <cell r="I783"/>
        </row>
        <row r="784">
          <cell r="B784" t="str">
            <v>M010</v>
          </cell>
          <cell r="C784" t="str">
            <v>Material granular de préstamo</v>
          </cell>
          <cell r="D784"/>
          <cell r="E784" t="str">
            <v>M3</v>
          </cell>
          <cell r="F784">
            <v>29500</v>
          </cell>
          <cell r="G784">
            <v>0.78</v>
          </cell>
          <cell r="H784">
            <v>23010</v>
          </cell>
          <cell r="I784"/>
        </row>
        <row r="785">
          <cell r="B785" t="str">
            <v>M011</v>
          </cell>
          <cell r="C785" t="str">
            <v>Material granular piedra &gt;3"</v>
          </cell>
          <cell r="D785"/>
          <cell r="E785" t="str">
            <v>M3</v>
          </cell>
          <cell r="F785">
            <v>44000</v>
          </cell>
          <cell r="G785">
            <v>0.52</v>
          </cell>
          <cell r="H785">
            <v>22880</v>
          </cell>
          <cell r="I785"/>
        </row>
        <row r="786">
          <cell r="B786"/>
          <cell r="C786"/>
          <cell r="D786"/>
          <cell r="E786"/>
          <cell r="F786" t="str">
            <v>Sub-Total</v>
          </cell>
          <cell r="G786" t="str">
            <v>3.3</v>
          </cell>
          <cell r="H786" t="str">
            <v>MAT-3.3</v>
          </cell>
          <cell r="I786">
            <v>46440</v>
          </cell>
        </row>
        <row r="787">
          <cell r="B787"/>
          <cell r="C787"/>
          <cell r="D787"/>
          <cell r="E787"/>
          <cell r="F787"/>
          <cell r="G787"/>
          <cell r="H787"/>
          <cell r="I787"/>
        </row>
        <row r="788">
          <cell r="B788"/>
          <cell r="C788"/>
          <cell r="D788" t="str">
            <v xml:space="preserve">CAN </v>
          </cell>
          <cell r="E788" t="str">
            <v>DISTANCIA</v>
          </cell>
          <cell r="F788" t="str">
            <v>M3-Km / UN-KM</v>
          </cell>
          <cell r="G788" t="str">
            <v>TARIFA</v>
          </cell>
          <cell r="H788" t="str">
            <v>Valor-Unit.</v>
          </cell>
          <cell r="I788"/>
        </row>
        <row r="789">
          <cell r="B789" t="str">
            <v>T003</v>
          </cell>
          <cell r="C789" t="str">
            <v>trans agua 0-5km</v>
          </cell>
          <cell r="D789">
            <v>0.2</v>
          </cell>
          <cell r="E789">
            <v>5</v>
          </cell>
          <cell r="F789">
            <v>1</v>
          </cell>
          <cell r="G789">
            <v>1095</v>
          </cell>
          <cell r="H789">
            <v>1095</v>
          </cell>
          <cell r="I789"/>
        </row>
        <row r="790">
          <cell r="B790" t="str">
            <v>T012</v>
          </cell>
          <cell r="C790" t="str">
            <v>trans material necocli &gt; 10 km</v>
          </cell>
          <cell r="D790">
            <v>0.78</v>
          </cell>
          <cell r="E790">
            <v>50</v>
          </cell>
          <cell r="F790">
            <v>39</v>
          </cell>
          <cell r="G790">
            <v>650</v>
          </cell>
          <cell r="H790">
            <v>25350</v>
          </cell>
          <cell r="I790"/>
        </row>
        <row r="791">
          <cell r="B791" t="str">
            <v>T008</v>
          </cell>
          <cell r="C791" t="str">
            <v>trans material &gt; 10 km</v>
          </cell>
          <cell r="D791">
            <v>0.52</v>
          </cell>
          <cell r="E791">
            <v>55</v>
          </cell>
          <cell r="F791">
            <v>28.6</v>
          </cell>
          <cell r="G791">
            <v>980</v>
          </cell>
          <cell r="H791">
            <v>28028</v>
          </cell>
          <cell r="I791"/>
        </row>
        <row r="792">
          <cell r="B792"/>
          <cell r="C792"/>
          <cell r="D792"/>
          <cell r="E792"/>
          <cell r="F792" t="str">
            <v>Sub-Total</v>
          </cell>
          <cell r="G792" t="str">
            <v>3.3</v>
          </cell>
          <cell r="H792" t="str">
            <v>TRAN-3.3</v>
          </cell>
          <cell r="I792">
            <v>54473</v>
          </cell>
        </row>
        <row r="793">
          <cell r="B793"/>
          <cell r="C793"/>
          <cell r="D793"/>
          <cell r="E793"/>
          <cell r="F793"/>
          <cell r="G793"/>
          <cell r="H793"/>
          <cell r="I793"/>
        </row>
        <row r="794">
          <cell r="B794"/>
          <cell r="C794"/>
          <cell r="D794" t="str">
            <v>JORNAL-HORA</v>
          </cell>
          <cell r="E794" t="str">
            <v>PRES</v>
          </cell>
          <cell r="F794" t="str">
            <v>JORNAL TOTAL</v>
          </cell>
          <cell r="G794" t="str">
            <v>RENDIEMIENTO</v>
          </cell>
          <cell r="H794" t="str">
            <v>VALOR-UNIT</v>
          </cell>
          <cell r="I794"/>
        </row>
        <row r="795">
          <cell r="B795" t="str">
            <v>MO004</v>
          </cell>
          <cell r="C795" t="str">
            <v xml:space="preserve">oficial </v>
          </cell>
          <cell r="D795">
            <v>4833.333333333333</v>
          </cell>
          <cell r="E795"/>
          <cell r="F795">
            <v>4833.333333333333</v>
          </cell>
          <cell r="G795">
            <v>0</v>
          </cell>
          <cell r="H795">
            <v>0</v>
          </cell>
          <cell r="I795"/>
        </row>
        <row r="796">
          <cell r="B796" t="str">
            <v>MO005</v>
          </cell>
          <cell r="C796" t="str">
            <v xml:space="preserve">ayudante entendido </v>
          </cell>
          <cell r="D796">
            <v>4833.333333333333</v>
          </cell>
          <cell r="E796"/>
          <cell r="F796">
            <v>4833.333333333333</v>
          </cell>
          <cell r="G796">
            <v>0</v>
          </cell>
          <cell r="H796">
            <v>0</v>
          </cell>
          <cell r="I796"/>
        </row>
        <row r="797">
          <cell r="B797" t="str">
            <v>MO006</v>
          </cell>
          <cell r="C797" t="str">
            <v xml:space="preserve">ayudante </v>
          </cell>
          <cell r="D797">
            <v>4833.333333333333</v>
          </cell>
          <cell r="E797"/>
          <cell r="F797">
            <v>4833.333333333333</v>
          </cell>
          <cell r="G797">
            <v>0.04</v>
          </cell>
          <cell r="H797">
            <v>193.33333333333331</v>
          </cell>
          <cell r="I797"/>
        </row>
        <row r="798">
          <cell r="B798" t="str">
            <v>MO007</v>
          </cell>
          <cell r="C798" t="str">
            <v>contra maestro</v>
          </cell>
          <cell r="D798">
            <v>5208.333333333333</v>
          </cell>
          <cell r="E798"/>
          <cell r="F798">
            <v>5208.333333333333</v>
          </cell>
          <cell r="G798">
            <v>0.04</v>
          </cell>
          <cell r="H798">
            <v>208.33333333333331</v>
          </cell>
          <cell r="I798"/>
        </row>
        <row r="799">
          <cell r="B799" t="str">
            <v>MO002</v>
          </cell>
          <cell r="C799" t="str">
            <v>CADENERO 1</v>
          </cell>
          <cell r="D799">
            <v>10985.571938383713</v>
          </cell>
          <cell r="E799"/>
          <cell r="F799">
            <v>10985.571938383713</v>
          </cell>
          <cell r="G799">
            <v>0.04</v>
          </cell>
          <cell r="H799">
            <v>439.42287753534856</v>
          </cell>
          <cell r="I799"/>
        </row>
        <row r="800">
          <cell r="B800"/>
          <cell r="C800"/>
          <cell r="D800"/>
          <cell r="E800"/>
          <cell r="F800"/>
          <cell r="G800"/>
          <cell r="H800"/>
          <cell r="I800"/>
        </row>
        <row r="801">
          <cell r="B801"/>
          <cell r="C801"/>
          <cell r="D801"/>
          <cell r="E801"/>
          <cell r="F801" t="str">
            <v>Sub-Total</v>
          </cell>
          <cell r="G801" t="str">
            <v>3.3</v>
          </cell>
          <cell r="H801" t="str">
            <v>MDEO-3.3</v>
          </cell>
          <cell r="I801">
            <v>841.08954420201519</v>
          </cell>
        </row>
        <row r="802">
          <cell r="B802"/>
          <cell r="C802"/>
          <cell r="D802"/>
          <cell r="E802"/>
          <cell r="F802"/>
          <cell r="G802"/>
          <cell r="H802"/>
          <cell r="I802">
            <v>42.054477210100764</v>
          </cell>
        </row>
        <row r="803">
          <cell r="B803"/>
          <cell r="C803"/>
          <cell r="D803"/>
          <cell r="E803"/>
          <cell r="F803" t="str">
            <v>Total Costo Directo</v>
          </cell>
          <cell r="G803"/>
          <cell r="H803"/>
          <cell r="I803">
            <v>116586</v>
          </cell>
        </row>
        <row r="804">
          <cell r="B804"/>
          <cell r="C804"/>
          <cell r="D804"/>
          <cell r="E804" t="str">
            <v>PORCENTAJE</v>
          </cell>
          <cell r="F804"/>
          <cell r="G804" t="str">
            <v>V. COSTO INDERECTO</v>
          </cell>
          <cell r="H804"/>
          <cell r="I804"/>
        </row>
        <row r="805">
          <cell r="B805"/>
          <cell r="C805"/>
          <cell r="D805"/>
          <cell r="E805">
            <v>0.02</v>
          </cell>
          <cell r="F805"/>
          <cell r="G805">
            <v>2331.7200000000003</v>
          </cell>
          <cell r="H805"/>
          <cell r="I805"/>
        </row>
        <row r="806">
          <cell r="B806"/>
          <cell r="C806"/>
          <cell r="D806"/>
          <cell r="E806">
            <v>0.23</v>
          </cell>
          <cell r="F806"/>
          <cell r="G806">
            <v>26814.780000000002</v>
          </cell>
          <cell r="H806"/>
          <cell r="I806"/>
        </row>
        <row r="807">
          <cell r="B807"/>
          <cell r="C807"/>
          <cell r="D807"/>
          <cell r="E807">
            <v>0.05</v>
          </cell>
          <cell r="F807"/>
          <cell r="G807">
            <v>5829.3</v>
          </cell>
          <cell r="H807"/>
          <cell r="I807"/>
        </row>
        <row r="808">
          <cell r="B808"/>
          <cell r="C808"/>
          <cell r="D808"/>
          <cell r="E808">
            <v>0.02</v>
          </cell>
          <cell r="F808"/>
          <cell r="G808">
            <v>2331.7200000000003</v>
          </cell>
          <cell r="H808"/>
          <cell r="I808"/>
        </row>
        <row r="809">
          <cell r="B809"/>
          <cell r="C809"/>
          <cell r="D809"/>
          <cell r="E809"/>
          <cell r="F809"/>
          <cell r="G809"/>
          <cell r="H809"/>
          <cell r="I809">
            <v>37307.520000000004</v>
          </cell>
        </row>
        <row r="810">
          <cell r="B810"/>
          <cell r="C810"/>
          <cell r="D810"/>
          <cell r="E810"/>
          <cell r="F810"/>
          <cell r="G810"/>
          <cell r="H810"/>
          <cell r="I810">
            <v>153893.52000000002</v>
          </cell>
        </row>
        <row r="811">
          <cell r="B811"/>
          <cell r="C811"/>
          <cell r="D811"/>
          <cell r="E811"/>
          <cell r="F811"/>
          <cell r="G811"/>
          <cell r="H811"/>
          <cell r="I811"/>
        </row>
        <row r="812">
          <cell r="B812"/>
          <cell r="C812"/>
          <cell r="D812"/>
          <cell r="E812"/>
          <cell r="F812" t="str">
            <v>REVISA</v>
          </cell>
          <cell r="G812"/>
          <cell r="H812"/>
          <cell r="I812"/>
        </row>
        <row r="813">
          <cell r="B813"/>
          <cell r="C813"/>
          <cell r="D813"/>
          <cell r="E813"/>
          <cell r="F813" t="str">
            <v>FIRMA:</v>
          </cell>
          <cell r="G813"/>
          <cell r="H813"/>
          <cell r="I813"/>
        </row>
        <row r="814">
          <cell r="B814" t="str">
            <v>LINA MARCELA</v>
          </cell>
          <cell r="C814"/>
          <cell r="F814" t="str">
            <v>NOMBRE</v>
          </cell>
          <cell r="G814"/>
          <cell r="H814"/>
          <cell r="I814"/>
        </row>
        <row r="815">
          <cell r="B815" t="str">
            <v>05202-316814 ANT</v>
          </cell>
          <cell r="C815"/>
          <cell r="F815" t="str">
            <v>MAT:</v>
          </cell>
          <cell r="G815"/>
          <cell r="H815"/>
          <cell r="I815"/>
        </row>
        <row r="816">
          <cell r="B816"/>
          <cell r="C816"/>
          <cell r="F816"/>
          <cell r="G816"/>
          <cell r="H816"/>
          <cell r="I816"/>
        </row>
        <row r="817">
          <cell r="B817"/>
          <cell r="C817"/>
          <cell r="D817"/>
          <cell r="E817"/>
          <cell r="F817"/>
          <cell r="G817"/>
          <cell r="H817"/>
          <cell r="I817"/>
        </row>
        <row r="818">
          <cell r="B818"/>
          <cell r="C818"/>
          <cell r="D818"/>
          <cell r="E818"/>
          <cell r="F818"/>
          <cell r="G818"/>
          <cell r="H818"/>
          <cell r="I818"/>
        </row>
        <row r="819">
          <cell r="B819"/>
          <cell r="C819"/>
          <cell r="D819"/>
          <cell r="E819"/>
          <cell r="F819"/>
          <cell r="G819"/>
          <cell r="H819"/>
          <cell r="I819"/>
        </row>
        <row r="820">
          <cell r="B820"/>
          <cell r="C820"/>
          <cell r="D820"/>
          <cell r="E820"/>
          <cell r="F820"/>
          <cell r="G820"/>
          <cell r="H820"/>
          <cell r="I820"/>
        </row>
        <row r="821">
          <cell r="B821" t="str">
            <v>3.4</v>
          </cell>
          <cell r="C821" t="str">
            <v>DESCRIPCION:</v>
          </cell>
          <cell r="D821" t="str">
            <v>MEJORAMIENTO CON CEMENTO SUB BASE GRANUALAR MATERIAL GRANULAR EXISTENTE</v>
          </cell>
          <cell r="E821"/>
          <cell r="F821"/>
          <cell r="G821"/>
          <cell r="H821"/>
          <cell r="I821"/>
        </row>
        <row r="822">
          <cell r="B822" t="str">
            <v>330-1</v>
          </cell>
          <cell r="C822"/>
          <cell r="D822" t="str">
            <v>UNIDAD</v>
          </cell>
          <cell r="E822" t="str">
            <v>M3</v>
          </cell>
          <cell r="F822" t="str">
            <v>CANTIDAD</v>
          </cell>
          <cell r="G822">
            <v>6888</v>
          </cell>
          <cell r="H822" t="str">
            <v>V. UNITARIO:</v>
          </cell>
          <cell r="I822">
            <v>92551</v>
          </cell>
        </row>
        <row r="823">
          <cell r="B823"/>
          <cell r="C823"/>
          <cell r="D823"/>
          <cell r="E823"/>
          <cell r="F823"/>
          <cell r="G823"/>
          <cell r="H823"/>
          <cell r="I823"/>
        </row>
        <row r="824">
          <cell r="B824"/>
          <cell r="C824"/>
          <cell r="D824"/>
          <cell r="E824"/>
          <cell r="F824" t="str">
            <v>Tarifa/Hora</v>
          </cell>
          <cell r="G824" t="str">
            <v>Rendimiento</v>
          </cell>
          <cell r="H824" t="str">
            <v>Valor-Unit.</v>
          </cell>
          <cell r="I824"/>
        </row>
        <row r="825">
          <cell r="B825" t="str">
            <v>E019</v>
          </cell>
          <cell r="C825" t="str">
            <v>MOTONIVELADORA</v>
          </cell>
          <cell r="D825"/>
          <cell r="E825"/>
          <cell r="F825">
            <v>155000</v>
          </cell>
          <cell r="G825">
            <v>4.6012269938650305E-2</v>
          </cell>
          <cell r="H825">
            <v>7131.9018404907974</v>
          </cell>
          <cell r="I825"/>
        </row>
        <row r="826">
          <cell r="B826" t="str">
            <v>E034</v>
          </cell>
          <cell r="C826" t="str">
            <v>VIBROCOMPACTADOR  (15 TON)</v>
          </cell>
          <cell r="D826"/>
          <cell r="E826"/>
          <cell r="F826">
            <v>127302</v>
          </cell>
          <cell r="G826">
            <v>4.6012269938650305E-2</v>
          </cell>
          <cell r="H826">
            <v>5857.4539877300613</v>
          </cell>
          <cell r="I826"/>
        </row>
        <row r="827">
          <cell r="B827" t="str">
            <v>E036</v>
          </cell>
          <cell r="C827" t="str">
            <v>CARROTANQUE DE AGUA 10000 LITROS</v>
          </cell>
          <cell r="D827"/>
          <cell r="E827"/>
          <cell r="F827">
            <v>90000</v>
          </cell>
          <cell r="G827">
            <v>4.6012269938650305E-2</v>
          </cell>
          <cell r="H827">
            <v>4141.1042944785277</v>
          </cell>
          <cell r="I827"/>
        </row>
        <row r="828">
          <cell r="B828"/>
          <cell r="C828"/>
          <cell r="D828"/>
          <cell r="E828"/>
          <cell r="F828" t="str">
            <v>Sub-Total</v>
          </cell>
          <cell r="G828" t="str">
            <v>3.4</v>
          </cell>
          <cell r="H828" t="str">
            <v>EQUI-3.4</v>
          </cell>
          <cell r="I828">
            <v>17130.460122699384</v>
          </cell>
        </row>
        <row r="829">
          <cell r="B829"/>
          <cell r="C829"/>
          <cell r="D829"/>
          <cell r="E829"/>
          <cell r="F829"/>
          <cell r="G829"/>
          <cell r="H829"/>
          <cell r="I829"/>
        </row>
        <row r="830">
          <cell r="B830"/>
          <cell r="C830"/>
          <cell r="D830"/>
          <cell r="E830" t="str">
            <v>UNIDAD</v>
          </cell>
          <cell r="F830" t="str">
            <v>V.UNIT</v>
          </cell>
          <cell r="G830" t="str">
            <v>CANT</v>
          </cell>
          <cell r="H830" t="str">
            <v>V.TOTAL</v>
          </cell>
          <cell r="I830"/>
        </row>
        <row r="831">
          <cell r="B831" t="str">
            <v>M002</v>
          </cell>
          <cell r="C831" t="str">
            <v>agua</v>
          </cell>
          <cell r="D831"/>
          <cell r="E831" t="str">
            <v>M3</v>
          </cell>
          <cell r="F831">
            <v>2750</v>
          </cell>
          <cell r="G831">
            <v>0.2</v>
          </cell>
          <cell r="H831">
            <v>550</v>
          </cell>
          <cell r="I831"/>
        </row>
        <row r="832">
          <cell r="B832" t="str">
            <v>M014</v>
          </cell>
          <cell r="C832" t="str">
            <v xml:space="preserve">Subbase granular </v>
          </cell>
          <cell r="D832"/>
          <cell r="E832" t="str">
            <v>M3</v>
          </cell>
          <cell r="F832">
            <v>39000</v>
          </cell>
          <cell r="G832">
            <v>0.75</v>
          </cell>
          <cell r="H832">
            <v>29250</v>
          </cell>
          <cell r="I832"/>
        </row>
        <row r="833">
          <cell r="B833" t="str">
            <v>M005</v>
          </cell>
          <cell r="C833" t="str">
            <v>Cemento gris</v>
          </cell>
          <cell r="D833"/>
          <cell r="E833" t="str">
            <v>SACO</v>
          </cell>
          <cell r="F833">
            <v>32700</v>
          </cell>
          <cell r="G833">
            <v>1</v>
          </cell>
          <cell r="H833">
            <v>32700</v>
          </cell>
          <cell r="I833"/>
        </row>
        <row r="834">
          <cell r="B834"/>
          <cell r="C834"/>
          <cell r="D834"/>
          <cell r="E834"/>
          <cell r="F834" t="str">
            <v>Sub-Total</v>
          </cell>
          <cell r="G834" t="str">
            <v>3.4</v>
          </cell>
          <cell r="H834" t="str">
            <v>MAT-3.4</v>
          </cell>
          <cell r="I834">
            <v>62500</v>
          </cell>
        </row>
        <row r="835">
          <cell r="B835"/>
          <cell r="C835"/>
          <cell r="D835"/>
          <cell r="E835"/>
          <cell r="F835"/>
          <cell r="G835"/>
          <cell r="H835"/>
          <cell r="I835"/>
        </row>
        <row r="836">
          <cell r="B836"/>
          <cell r="C836"/>
          <cell r="D836" t="str">
            <v xml:space="preserve">CAN </v>
          </cell>
          <cell r="E836" t="str">
            <v>DISTANCIA</v>
          </cell>
          <cell r="F836" t="str">
            <v>M3-Km / UN-KM</v>
          </cell>
          <cell r="G836" t="str">
            <v>TARIFA</v>
          </cell>
          <cell r="H836" t="str">
            <v>Valor-Unit.</v>
          </cell>
          <cell r="I836"/>
        </row>
        <row r="837">
          <cell r="B837" t="str">
            <v>T008</v>
          </cell>
          <cell r="C837" t="str">
            <v>TRANS MATERIAL &gt; 10 KM</v>
          </cell>
          <cell r="D837">
            <v>0.2</v>
          </cell>
          <cell r="E837">
            <v>55</v>
          </cell>
          <cell r="F837">
            <v>11</v>
          </cell>
          <cell r="G837">
            <v>980</v>
          </cell>
          <cell r="H837">
            <v>10780</v>
          </cell>
          <cell r="I837"/>
        </row>
        <row r="838">
          <cell r="B838" t="str">
            <v>T003</v>
          </cell>
          <cell r="C838" t="str">
            <v>TRANS AGUA 0-5KM</v>
          </cell>
          <cell r="D838">
            <v>0.2</v>
          </cell>
          <cell r="E838">
            <v>5</v>
          </cell>
          <cell r="F838">
            <v>1</v>
          </cell>
          <cell r="G838">
            <v>1095</v>
          </cell>
          <cell r="H838">
            <v>1095</v>
          </cell>
          <cell r="I838"/>
        </row>
        <row r="839">
          <cell r="B839"/>
          <cell r="C839"/>
          <cell r="D839"/>
          <cell r="E839"/>
          <cell r="F839" t="str">
            <v>Sub-Total</v>
          </cell>
          <cell r="G839" t="str">
            <v>3.4</v>
          </cell>
          <cell r="H839" t="str">
            <v>TRAN-3.4</v>
          </cell>
          <cell r="I839">
            <v>11875</v>
          </cell>
        </row>
        <row r="840">
          <cell r="B840"/>
          <cell r="C840"/>
          <cell r="D840"/>
          <cell r="E840"/>
          <cell r="F840"/>
          <cell r="G840"/>
          <cell r="H840"/>
          <cell r="I840"/>
        </row>
        <row r="841">
          <cell r="B841"/>
          <cell r="C841"/>
          <cell r="D841" t="str">
            <v>JORNAL-HORA</v>
          </cell>
          <cell r="E841" t="str">
            <v>PRES</v>
          </cell>
          <cell r="F841" t="str">
            <v>JORNAL TOTAL</v>
          </cell>
          <cell r="G841" t="str">
            <v>RENDIEMIENTO</v>
          </cell>
          <cell r="H841" t="str">
            <v>VALOR-UNIT</v>
          </cell>
          <cell r="I841"/>
        </row>
        <row r="842">
          <cell r="B842" t="str">
            <v>MO004</v>
          </cell>
          <cell r="C842" t="str">
            <v xml:space="preserve">oficial </v>
          </cell>
          <cell r="D842">
            <v>4833.333333333333</v>
          </cell>
          <cell r="E842"/>
          <cell r="F842">
            <v>4833.333333333333</v>
          </cell>
          <cell r="G842">
            <v>4.6012269938650305E-2</v>
          </cell>
          <cell r="H842">
            <v>222.39263803680979</v>
          </cell>
          <cell r="I842"/>
        </row>
        <row r="843">
          <cell r="B843" t="str">
            <v>MO007</v>
          </cell>
          <cell r="C843" t="str">
            <v>contra maestro</v>
          </cell>
          <cell r="D843">
            <v>5208.333333333333</v>
          </cell>
          <cell r="E843"/>
          <cell r="F843">
            <v>5208.333333333333</v>
          </cell>
          <cell r="G843">
            <v>4.601226993865031E-3</v>
          </cell>
          <cell r="H843">
            <v>23.964723926380369</v>
          </cell>
          <cell r="I843"/>
        </row>
        <row r="844">
          <cell r="B844" t="str">
            <v>MO006</v>
          </cell>
          <cell r="C844" t="str">
            <v xml:space="preserve">ayudante </v>
          </cell>
          <cell r="D844">
            <v>4833.333333333333</v>
          </cell>
          <cell r="E844"/>
          <cell r="F844">
            <v>4833.333333333333</v>
          </cell>
          <cell r="G844">
            <v>4.6012269938650305E-2</v>
          </cell>
          <cell r="H844">
            <v>222.39263803680979</v>
          </cell>
          <cell r="I844"/>
        </row>
        <row r="845">
          <cell r="B845" t="str">
            <v>MO001</v>
          </cell>
          <cell r="C845" t="str">
            <v>topógrafo</v>
          </cell>
          <cell r="D845">
            <v>6250</v>
          </cell>
          <cell r="E845"/>
          <cell r="F845">
            <v>6250</v>
          </cell>
          <cell r="G845">
            <v>4.6012269938650305E-2</v>
          </cell>
          <cell r="H845">
            <v>287.57668711656441</v>
          </cell>
          <cell r="I845"/>
        </row>
        <row r="846">
          <cell r="B846" t="str">
            <v>MO002</v>
          </cell>
          <cell r="C846" t="str">
            <v>cadenero 1</v>
          </cell>
          <cell r="D846">
            <v>5208.333333333333</v>
          </cell>
          <cell r="E846"/>
          <cell r="F846">
            <v>5208.333333333333</v>
          </cell>
          <cell r="G846">
            <v>4.6012269938650305E-2</v>
          </cell>
          <cell r="H846">
            <v>239.64723926380367</v>
          </cell>
          <cell r="I846"/>
        </row>
        <row r="847">
          <cell r="B847"/>
          <cell r="C847"/>
          <cell r="D847"/>
          <cell r="E847"/>
          <cell r="F847" t="str">
            <v>Sub-Total</v>
          </cell>
          <cell r="G847" t="str">
            <v>3.4</v>
          </cell>
          <cell r="H847" t="str">
            <v>MDEO-3.4</v>
          </cell>
          <cell r="I847">
            <v>995.97392638036808</v>
          </cell>
        </row>
        <row r="848">
          <cell r="B848"/>
          <cell r="C848"/>
          <cell r="D848"/>
          <cell r="E848"/>
          <cell r="F848"/>
          <cell r="G848"/>
          <cell r="H848"/>
          <cell r="I848">
            <v>49.798696319018404</v>
          </cell>
        </row>
        <row r="849">
          <cell r="B849"/>
          <cell r="C849"/>
          <cell r="D849"/>
          <cell r="E849"/>
          <cell r="F849" t="str">
            <v>Total Costo Directo</v>
          </cell>
          <cell r="G849"/>
          <cell r="H849"/>
          <cell r="I849">
            <v>92551</v>
          </cell>
        </row>
        <row r="850">
          <cell r="B850"/>
          <cell r="C850"/>
          <cell r="D850"/>
          <cell r="E850" t="str">
            <v>PORCENTAJE</v>
          </cell>
          <cell r="F850"/>
          <cell r="G850" t="str">
            <v>V. COSTO INDERECTO</v>
          </cell>
          <cell r="H850"/>
          <cell r="I850"/>
        </row>
        <row r="851">
          <cell r="B851"/>
          <cell r="C851"/>
          <cell r="D851"/>
          <cell r="E851">
            <v>0.02</v>
          </cell>
          <cell r="F851"/>
          <cell r="G851">
            <v>1851.02</v>
          </cell>
          <cell r="H851"/>
          <cell r="I851"/>
        </row>
        <row r="852">
          <cell r="B852"/>
          <cell r="C852"/>
          <cell r="D852"/>
          <cell r="E852">
            <v>0.23</v>
          </cell>
          <cell r="F852"/>
          <cell r="G852">
            <v>21286.73</v>
          </cell>
          <cell r="H852"/>
          <cell r="I852"/>
        </row>
        <row r="853">
          <cell r="B853"/>
          <cell r="C853"/>
          <cell r="D853"/>
          <cell r="E853">
            <v>0.05</v>
          </cell>
          <cell r="F853"/>
          <cell r="G853">
            <v>4627.55</v>
          </cell>
          <cell r="H853"/>
          <cell r="I853"/>
        </row>
        <row r="854">
          <cell r="B854"/>
          <cell r="C854"/>
          <cell r="D854"/>
          <cell r="E854">
            <v>0.02</v>
          </cell>
          <cell r="F854"/>
          <cell r="G854">
            <v>1851.02</v>
          </cell>
          <cell r="H854"/>
          <cell r="I854"/>
        </row>
        <row r="855">
          <cell r="B855"/>
          <cell r="C855"/>
          <cell r="D855"/>
          <cell r="E855"/>
          <cell r="F855"/>
          <cell r="G855"/>
          <cell r="H855"/>
          <cell r="I855">
            <v>29616.32</v>
          </cell>
        </row>
        <row r="856">
          <cell r="B856"/>
          <cell r="C856"/>
          <cell r="D856"/>
          <cell r="E856"/>
          <cell r="F856"/>
          <cell r="G856"/>
          <cell r="H856"/>
          <cell r="I856">
            <v>122167.32</v>
          </cell>
        </row>
        <row r="857">
          <cell r="B857"/>
          <cell r="C857"/>
          <cell r="D857"/>
          <cell r="E857"/>
          <cell r="F857"/>
          <cell r="G857"/>
          <cell r="H857"/>
          <cell r="I857"/>
        </row>
        <row r="858">
          <cell r="B858"/>
          <cell r="C858"/>
          <cell r="D858"/>
          <cell r="E858"/>
          <cell r="F858" t="str">
            <v>REVISA</v>
          </cell>
          <cell r="G858"/>
          <cell r="H858"/>
          <cell r="I858"/>
        </row>
        <row r="859">
          <cell r="B859"/>
          <cell r="C859"/>
          <cell r="D859"/>
          <cell r="E859"/>
          <cell r="F859" t="str">
            <v>FIRMA:</v>
          </cell>
          <cell r="G859"/>
          <cell r="H859"/>
          <cell r="I859"/>
        </row>
        <row r="860">
          <cell r="B860" t="str">
            <v>LINA MARCELA</v>
          </cell>
          <cell r="C860"/>
          <cell r="F860" t="str">
            <v>NOMBRE</v>
          </cell>
          <cell r="G860"/>
          <cell r="H860"/>
          <cell r="I860"/>
        </row>
        <row r="861">
          <cell r="B861" t="str">
            <v>05202-316814 ANT</v>
          </cell>
          <cell r="C861"/>
          <cell r="F861" t="str">
            <v>MAT:</v>
          </cell>
          <cell r="G861"/>
          <cell r="H861"/>
          <cell r="I861"/>
        </row>
        <row r="862">
          <cell r="B862"/>
          <cell r="C862"/>
          <cell r="F862"/>
          <cell r="G862"/>
          <cell r="H862"/>
          <cell r="I862"/>
        </row>
        <row r="863">
          <cell r="B863"/>
          <cell r="C863"/>
          <cell r="D863"/>
          <cell r="E863"/>
          <cell r="F863"/>
          <cell r="G863"/>
          <cell r="H863"/>
          <cell r="I863"/>
        </row>
        <row r="864">
          <cell r="B864"/>
          <cell r="C864"/>
          <cell r="D864"/>
          <cell r="E864"/>
          <cell r="F864"/>
          <cell r="G864"/>
          <cell r="H864"/>
          <cell r="I864"/>
        </row>
        <row r="865">
          <cell r="B865"/>
          <cell r="C865"/>
          <cell r="D865"/>
          <cell r="E865"/>
          <cell r="F865"/>
          <cell r="G865"/>
          <cell r="H865"/>
          <cell r="I865"/>
        </row>
        <row r="866">
          <cell r="B866"/>
          <cell r="C866"/>
          <cell r="D866"/>
          <cell r="E866"/>
          <cell r="F866"/>
          <cell r="G866"/>
          <cell r="H866"/>
          <cell r="I866"/>
        </row>
        <row r="867">
          <cell r="B867" t="str">
            <v>3.5</v>
          </cell>
          <cell r="C867" t="str">
            <v>DESCRIPCION:</v>
          </cell>
          <cell r="D867" t="str">
            <v>PAVIMENTO EN CONCRETO HIDRAULICO MR 39 Mpa</v>
          </cell>
          <cell r="E867"/>
          <cell r="F867"/>
          <cell r="G867"/>
          <cell r="H867"/>
          <cell r="I867"/>
        </row>
        <row r="868">
          <cell r="B868" t="str">
            <v>500-13</v>
          </cell>
          <cell r="C868"/>
          <cell r="D868" t="str">
            <v>UNIDAD</v>
          </cell>
          <cell r="E868" t="str">
            <v>M3</v>
          </cell>
          <cell r="F868" t="str">
            <v>CANTIDAD</v>
          </cell>
          <cell r="G868">
            <v>9134</v>
          </cell>
          <cell r="H868" t="str">
            <v>V. UNITARIO:</v>
          </cell>
          <cell r="I868">
            <v>808486</v>
          </cell>
        </row>
        <row r="869">
          <cell r="B869"/>
          <cell r="C869"/>
          <cell r="D869"/>
          <cell r="E869"/>
          <cell r="F869"/>
          <cell r="G869"/>
          <cell r="H869"/>
          <cell r="I869"/>
        </row>
        <row r="870">
          <cell r="B870"/>
          <cell r="C870"/>
          <cell r="D870"/>
          <cell r="E870"/>
          <cell r="F870" t="str">
            <v>Tarifa/Hora/DIA</v>
          </cell>
          <cell r="G870" t="str">
            <v>Rendimiento</v>
          </cell>
          <cell r="H870" t="str">
            <v>Valor-Unit.</v>
          </cell>
          <cell r="I870"/>
        </row>
        <row r="871">
          <cell r="B871" t="str">
            <v>E026</v>
          </cell>
          <cell r="C871" t="str">
            <v>tanque de almacenamiento de agua</v>
          </cell>
          <cell r="D871"/>
          <cell r="E871"/>
          <cell r="F871">
            <v>1000</v>
          </cell>
          <cell r="G871">
            <v>0.3</v>
          </cell>
          <cell r="H871">
            <v>300</v>
          </cell>
          <cell r="I871"/>
        </row>
        <row r="872">
          <cell r="B872" t="str">
            <v>E005</v>
          </cell>
          <cell r="C872" t="str">
            <v xml:space="preserve">Nivel de precisión </v>
          </cell>
          <cell r="D872"/>
          <cell r="E872"/>
          <cell r="F872">
            <v>25000</v>
          </cell>
          <cell r="G872">
            <v>0.05</v>
          </cell>
          <cell r="H872">
            <v>1250</v>
          </cell>
          <cell r="I872"/>
        </row>
        <row r="873">
          <cell r="B873" t="str">
            <v>E006</v>
          </cell>
          <cell r="C873" t="str">
            <v>Equipo de pavimento (flota y rastrillo)</v>
          </cell>
          <cell r="D873"/>
          <cell r="E873"/>
          <cell r="F873">
            <v>1500</v>
          </cell>
          <cell r="G873">
            <v>0.4</v>
          </cell>
          <cell r="H873">
            <v>600</v>
          </cell>
          <cell r="I873"/>
        </row>
        <row r="874">
          <cell r="B874" t="str">
            <v>E027</v>
          </cell>
          <cell r="C874" t="str">
            <v>vibrador de aguja</v>
          </cell>
          <cell r="D874"/>
          <cell r="E874"/>
          <cell r="F874">
            <v>4375</v>
          </cell>
          <cell r="G874">
            <v>0.4</v>
          </cell>
          <cell r="H874">
            <v>1750</v>
          </cell>
          <cell r="I874"/>
        </row>
        <row r="875">
          <cell r="B875" t="str">
            <v>E014</v>
          </cell>
          <cell r="C875" t="str">
            <v>formaleta metálica para pavimento</v>
          </cell>
          <cell r="D875"/>
          <cell r="E875"/>
          <cell r="F875">
            <v>1100</v>
          </cell>
          <cell r="G875">
            <v>0.4</v>
          </cell>
          <cell r="H875">
            <v>440</v>
          </cell>
          <cell r="I875"/>
        </row>
        <row r="876">
          <cell r="B876" t="str">
            <v>E021</v>
          </cell>
          <cell r="C876" t="str">
            <v>regla vibratoria</v>
          </cell>
          <cell r="D876"/>
          <cell r="E876"/>
          <cell r="F876">
            <v>2500</v>
          </cell>
          <cell r="G876">
            <v>0.4</v>
          </cell>
          <cell r="H876">
            <v>1000</v>
          </cell>
          <cell r="I876"/>
        </row>
        <row r="877">
          <cell r="B877" t="str">
            <v>E004</v>
          </cell>
          <cell r="C877" t="str">
            <v>Cortadora de pavimento</v>
          </cell>
          <cell r="D877"/>
          <cell r="E877"/>
          <cell r="F877">
            <v>7500</v>
          </cell>
          <cell r="G877">
            <v>0.2</v>
          </cell>
          <cell r="H877">
            <v>1500</v>
          </cell>
          <cell r="I877"/>
        </row>
        <row r="878">
          <cell r="B878" t="str">
            <v>E008</v>
          </cell>
          <cell r="C878" t="str">
            <v>Compresor para demolición y  limpieza a presión de junta</v>
          </cell>
          <cell r="D878"/>
          <cell r="E878"/>
          <cell r="F878">
            <v>65000</v>
          </cell>
          <cell r="G878">
            <v>2.5000000000000001E-2</v>
          </cell>
          <cell r="H878">
            <v>1625</v>
          </cell>
          <cell r="I878"/>
        </row>
        <row r="879">
          <cell r="B879"/>
          <cell r="C879"/>
          <cell r="D879"/>
          <cell r="E879"/>
          <cell r="F879" t="str">
            <v>Sub-Total</v>
          </cell>
          <cell r="G879" t="str">
            <v>3.5</v>
          </cell>
          <cell r="H879" t="str">
            <v>EQUI-3.5</v>
          </cell>
          <cell r="I879">
            <v>8465</v>
          </cell>
        </row>
        <row r="880">
          <cell r="B880"/>
          <cell r="C880"/>
          <cell r="D880"/>
          <cell r="E880"/>
          <cell r="F880"/>
          <cell r="G880"/>
          <cell r="H880"/>
          <cell r="I880"/>
        </row>
        <row r="881">
          <cell r="B881"/>
          <cell r="C881"/>
          <cell r="D881"/>
          <cell r="E881" t="str">
            <v>UNIDAD</v>
          </cell>
          <cell r="F881" t="str">
            <v>V.UNIT</v>
          </cell>
          <cell r="G881" t="str">
            <v>CANT</v>
          </cell>
          <cell r="H881" t="str">
            <v>V.TOTAL</v>
          </cell>
          <cell r="I881"/>
        </row>
        <row r="882">
          <cell r="B882" t="str">
            <v>M008</v>
          </cell>
          <cell r="C882" t="str">
            <v>Concreto premezclado Mr. 3,9 Mpa</v>
          </cell>
          <cell r="D882"/>
          <cell r="E882" t="str">
            <v>M3</v>
          </cell>
          <cell r="F882">
            <v>584766</v>
          </cell>
          <cell r="G882">
            <v>1.05</v>
          </cell>
          <cell r="H882">
            <v>614004.30000000005</v>
          </cell>
          <cell r="I882"/>
        </row>
        <row r="883">
          <cell r="B883" t="str">
            <v>M009</v>
          </cell>
          <cell r="C883" t="str">
            <v>curador tipo anti sol</v>
          </cell>
          <cell r="D883"/>
          <cell r="E883" t="str">
            <v>KG</v>
          </cell>
          <cell r="F883">
            <v>7500</v>
          </cell>
          <cell r="G883">
            <v>1.1111111111111112</v>
          </cell>
          <cell r="H883">
            <v>8333.3333333333339</v>
          </cell>
          <cell r="I883"/>
        </row>
        <row r="884">
          <cell r="B884" t="str">
            <v>M030</v>
          </cell>
          <cell r="C884" t="str">
            <v>Sika Flex</v>
          </cell>
          <cell r="D884"/>
          <cell r="E884" t="str">
            <v>CC</v>
          </cell>
          <cell r="F884">
            <v>31400</v>
          </cell>
          <cell r="G884">
            <v>2.7777777777777776E-2</v>
          </cell>
          <cell r="H884">
            <v>872.22222222222217</v>
          </cell>
          <cell r="I884"/>
        </row>
        <row r="885">
          <cell r="B885" t="str">
            <v>M031</v>
          </cell>
          <cell r="C885" t="str">
            <v>sikarod</v>
          </cell>
          <cell r="D885"/>
          <cell r="E885" t="str">
            <v>ML</v>
          </cell>
          <cell r="F885">
            <v>600</v>
          </cell>
          <cell r="G885">
            <v>2.7777777777777777</v>
          </cell>
          <cell r="H885">
            <v>1666.6666666666665</v>
          </cell>
          <cell r="I885"/>
        </row>
        <row r="886">
          <cell r="B886" t="str">
            <v>M002</v>
          </cell>
          <cell r="C886" t="str">
            <v>Acero  60000 psi</v>
          </cell>
          <cell r="D886"/>
          <cell r="E886" t="str">
            <v>KG</v>
          </cell>
          <cell r="F886">
            <v>6913</v>
          </cell>
          <cell r="G886">
            <v>6.1111111111111107</v>
          </cell>
          <cell r="H886">
            <v>42246.111111111109</v>
          </cell>
          <cell r="I886"/>
        </row>
        <row r="887">
          <cell r="B887" t="str">
            <v>M022</v>
          </cell>
          <cell r="C887" t="str">
            <v>fabricacion de pasa juntas  1ø3/4 @0,3l=,35 fabricación</v>
          </cell>
          <cell r="D887"/>
          <cell r="E887" t="str">
            <v>UN</v>
          </cell>
          <cell r="F887">
            <v>17000</v>
          </cell>
          <cell r="G887">
            <v>1</v>
          </cell>
          <cell r="H887">
            <v>17000</v>
          </cell>
          <cell r="I887"/>
        </row>
        <row r="888">
          <cell r="B888" t="str">
            <v>M010</v>
          </cell>
          <cell r="C888" t="str">
            <v>disco diamantado de 14"</v>
          </cell>
          <cell r="D888"/>
          <cell r="E888" t="str">
            <v>UN</v>
          </cell>
          <cell r="F888">
            <v>100000</v>
          </cell>
          <cell r="G888">
            <v>0.06</v>
          </cell>
          <cell r="H888">
            <v>6000</v>
          </cell>
          <cell r="I888"/>
        </row>
        <row r="889">
          <cell r="B889"/>
          <cell r="C889"/>
          <cell r="D889"/>
          <cell r="E889"/>
          <cell r="F889" t="str">
            <v>Sub-Total</v>
          </cell>
          <cell r="G889" t="str">
            <v>3.5</v>
          </cell>
          <cell r="H889" t="str">
            <v>MAT-3.5</v>
          </cell>
          <cell r="I889">
            <v>690122.63333333342</v>
          </cell>
        </row>
        <row r="890">
          <cell r="B890"/>
          <cell r="C890"/>
          <cell r="D890"/>
          <cell r="E890"/>
          <cell r="F890"/>
          <cell r="G890"/>
          <cell r="H890"/>
          <cell r="I890"/>
        </row>
        <row r="891">
          <cell r="B891"/>
          <cell r="C891"/>
          <cell r="D891" t="str">
            <v xml:space="preserve">CAN </v>
          </cell>
          <cell r="E891" t="str">
            <v>DISTANCIA</v>
          </cell>
          <cell r="F891" t="str">
            <v>M3-Km / UN-KM</v>
          </cell>
          <cell r="G891" t="str">
            <v>TARIFA</v>
          </cell>
          <cell r="H891" t="str">
            <v>Valor-Unit.</v>
          </cell>
          <cell r="I891"/>
        </row>
        <row r="892">
          <cell r="B892" t="str">
            <v>T008</v>
          </cell>
          <cell r="C892" t="str">
            <v>TRANS MATERIAL &gt; 10 KM</v>
          </cell>
          <cell r="D892">
            <v>0</v>
          </cell>
          <cell r="E892">
            <v>55</v>
          </cell>
          <cell r="F892">
            <v>0</v>
          </cell>
          <cell r="G892">
            <v>980</v>
          </cell>
          <cell r="H892">
            <v>0</v>
          </cell>
          <cell r="I892"/>
        </row>
        <row r="893">
          <cell r="B893"/>
          <cell r="C893"/>
          <cell r="D893"/>
          <cell r="E893"/>
          <cell r="F893" t="str">
            <v>Sub-Total</v>
          </cell>
          <cell r="G893" t="str">
            <v>3.5</v>
          </cell>
          <cell r="H893" t="str">
            <v>TRAN-3.5</v>
          </cell>
          <cell r="I893">
            <v>0</v>
          </cell>
        </row>
        <row r="894">
          <cell r="B894"/>
          <cell r="C894"/>
          <cell r="D894"/>
          <cell r="E894"/>
          <cell r="F894"/>
          <cell r="G894"/>
          <cell r="H894"/>
          <cell r="I894"/>
        </row>
        <row r="895">
          <cell r="B895"/>
          <cell r="C895"/>
          <cell r="D895" t="str">
            <v>JORNAL-HORA</v>
          </cell>
          <cell r="E895" t="str">
            <v>PRES</v>
          </cell>
          <cell r="F895" t="str">
            <v>JORNAL TOTAL</v>
          </cell>
          <cell r="G895" t="str">
            <v>RENDIEMIENTO</v>
          </cell>
          <cell r="H895" t="str">
            <v>VALOR-UNIT</v>
          </cell>
          <cell r="I895"/>
        </row>
        <row r="896">
          <cell r="B896" t="str">
            <v>MO004</v>
          </cell>
          <cell r="C896" t="str">
            <v>OFICIAL</v>
          </cell>
          <cell r="D896">
            <v>9301.6465000000026</v>
          </cell>
          <cell r="E896">
            <v>0</v>
          </cell>
          <cell r="F896">
            <v>9301.6465000000026</v>
          </cell>
          <cell r="G896">
            <v>1.6</v>
          </cell>
          <cell r="H896">
            <v>14882.634400000004</v>
          </cell>
          <cell r="I896"/>
        </row>
        <row r="897">
          <cell r="B897" t="str">
            <v>MO005</v>
          </cell>
          <cell r="C897" t="str">
            <v>AYUDANTE ENTENDIDO</v>
          </cell>
          <cell r="D897">
            <v>8051.6465000000007</v>
          </cell>
          <cell r="E897">
            <v>0</v>
          </cell>
          <cell r="F897">
            <v>8051.6465000000007</v>
          </cell>
          <cell r="G897">
            <v>2.4000000000000004</v>
          </cell>
          <cell r="H897">
            <v>19323.951600000004</v>
          </cell>
          <cell r="I897"/>
        </row>
        <row r="898">
          <cell r="B898" t="str">
            <v>MO006</v>
          </cell>
          <cell r="C898" t="str">
            <v>AYUDANTE</v>
          </cell>
          <cell r="D898">
            <v>6801.6465000000007</v>
          </cell>
          <cell r="E898">
            <v>0</v>
          </cell>
          <cell r="F898">
            <v>6801.6465000000007</v>
          </cell>
          <cell r="G898">
            <v>9.6000000000000014</v>
          </cell>
          <cell r="H898">
            <v>65295.806400000016</v>
          </cell>
          <cell r="I898"/>
        </row>
        <row r="899">
          <cell r="B899" t="str">
            <v>MO001</v>
          </cell>
          <cell r="C899" t="str">
            <v>TOPOGRAFO</v>
          </cell>
          <cell r="D899">
            <v>14826.936907575571</v>
          </cell>
          <cell r="E899">
            <v>0</v>
          </cell>
          <cell r="F899">
            <v>14826.936907575571</v>
          </cell>
          <cell r="G899">
            <v>0.2</v>
          </cell>
          <cell r="H899">
            <v>2965.3873815151146</v>
          </cell>
          <cell r="I899"/>
        </row>
        <row r="900">
          <cell r="B900" t="str">
            <v>MO002</v>
          </cell>
          <cell r="C900" t="str">
            <v>CADENERO 1</v>
          </cell>
          <cell r="D900">
            <v>10985.571938383713</v>
          </cell>
          <cell r="E900">
            <v>0</v>
          </cell>
          <cell r="F900">
            <v>10985.571938383713</v>
          </cell>
          <cell r="G900">
            <v>0.2</v>
          </cell>
          <cell r="H900">
            <v>2197.1143876767428</v>
          </cell>
          <cell r="I900"/>
        </row>
        <row r="901">
          <cell r="B901"/>
          <cell r="C901"/>
          <cell r="D901"/>
          <cell r="E901"/>
          <cell r="F901"/>
          <cell r="G901"/>
          <cell r="H901"/>
          <cell r="I901"/>
        </row>
        <row r="902">
          <cell r="B902"/>
          <cell r="C902"/>
          <cell r="D902"/>
          <cell r="E902"/>
          <cell r="F902" t="str">
            <v>Sub-Total</v>
          </cell>
          <cell r="G902" t="str">
            <v>3.5</v>
          </cell>
          <cell r="H902" t="str">
            <v>MDEO-3.5</v>
          </cell>
          <cell r="I902">
            <v>104664.89416919189</v>
          </cell>
        </row>
        <row r="903">
          <cell r="B903"/>
          <cell r="C903"/>
          <cell r="D903"/>
          <cell r="E903"/>
          <cell r="F903"/>
          <cell r="G903"/>
          <cell r="H903"/>
          <cell r="I903">
            <v>5233.2447084595951</v>
          </cell>
        </row>
        <row r="904">
          <cell r="B904"/>
          <cell r="C904"/>
          <cell r="D904"/>
          <cell r="E904"/>
          <cell r="F904" t="str">
            <v>Total Costo Directo</v>
          </cell>
          <cell r="G904"/>
          <cell r="H904"/>
          <cell r="I904">
            <v>808486</v>
          </cell>
        </row>
        <row r="905">
          <cell r="B905"/>
          <cell r="C905"/>
          <cell r="D905"/>
          <cell r="E905" t="str">
            <v>PORCENTAJE</v>
          </cell>
          <cell r="F905"/>
          <cell r="G905" t="str">
            <v>V. COSTO INDERECTO</v>
          </cell>
          <cell r="H905"/>
          <cell r="I905"/>
        </row>
        <row r="906">
          <cell r="B906"/>
          <cell r="C906"/>
          <cell r="D906"/>
          <cell r="E906">
            <v>0.02</v>
          </cell>
          <cell r="F906"/>
          <cell r="G906">
            <v>16169.720000000001</v>
          </cell>
          <cell r="H906"/>
          <cell r="I906"/>
        </row>
        <row r="907">
          <cell r="B907"/>
          <cell r="C907"/>
          <cell r="D907"/>
          <cell r="E907">
            <v>0.23</v>
          </cell>
          <cell r="F907"/>
          <cell r="G907">
            <v>185951.78</v>
          </cell>
          <cell r="H907"/>
          <cell r="I907"/>
        </row>
        <row r="908">
          <cell r="B908"/>
          <cell r="C908"/>
          <cell r="D908"/>
          <cell r="E908">
            <v>0.05</v>
          </cell>
          <cell r="F908"/>
          <cell r="G908">
            <v>40424.300000000003</v>
          </cell>
          <cell r="H908"/>
          <cell r="I908"/>
        </row>
        <row r="909">
          <cell r="B909"/>
          <cell r="C909"/>
          <cell r="D909"/>
          <cell r="E909">
            <v>0.02</v>
          </cell>
          <cell r="F909"/>
          <cell r="G909">
            <v>16169.720000000001</v>
          </cell>
          <cell r="H909"/>
          <cell r="I909"/>
        </row>
        <row r="910">
          <cell r="B910"/>
          <cell r="C910"/>
          <cell r="D910"/>
          <cell r="E910"/>
          <cell r="F910"/>
          <cell r="G910"/>
          <cell r="H910"/>
          <cell r="I910">
            <v>258715.51999999999</v>
          </cell>
        </row>
        <row r="911">
          <cell r="B911"/>
          <cell r="C911"/>
          <cell r="D911"/>
          <cell r="E911"/>
          <cell r="F911"/>
          <cell r="G911"/>
          <cell r="H911"/>
          <cell r="I911">
            <v>1067201.52</v>
          </cell>
        </row>
        <row r="912">
          <cell r="B912"/>
          <cell r="C912"/>
          <cell r="D912"/>
          <cell r="E912"/>
          <cell r="F912"/>
          <cell r="G912"/>
          <cell r="H912"/>
          <cell r="I912"/>
        </row>
        <row r="913">
          <cell r="B913"/>
          <cell r="C913"/>
          <cell r="D913"/>
          <cell r="E913"/>
          <cell r="F913" t="str">
            <v>REVISA</v>
          </cell>
          <cell r="G913"/>
          <cell r="H913"/>
          <cell r="I913"/>
        </row>
        <row r="914">
          <cell r="B914"/>
          <cell r="C914"/>
          <cell r="D914"/>
          <cell r="E914"/>
          <cell r="F914" t="str">
            <v>FIRMA:</v>
          </cell>
          <cell r="G914"/>
          <cell r="H914"/>
          <cell r="I914"/>
        </row>
        <row r="915">
          <cell r="B915" t="str">
            <v>LINA MARCELA</v>
          </cell>
          <cell r="C915"/>
          <cell r="F915" t="str">
            <v>NOMBRE</v>
          </cell>
          <cell r="G915"/>
          <cell r="H915"/>
          <cell r="I915"/>
        </row>
        <row r="916">
          <cell r="B916" t="str">
            <v>05202-316814 ANT</v>
          </cell>
          <cell r="C916"/>
          <cell r="F916" t="str">
            <v>MAT:</v>
          </cell>
          <cell r="G916"/>
          <cell r="H916"/>
          <cell r="I916"/>
        </row>
        <row r="917">
          <cell r="B917"/>
          <cell r="C917"/>
          <cell r="F917"/>
          <cell r="G917"/>
          <cell r="H917"/>
          <cell r="I917"/>
        </row>
        <row r="918">
          <cell r="B918"/>
          <cell r="C918"/>
          <cell r="D918"/>
          <cell r="E918"/>
          <cell r="F918"/>
          <cell r="G918"/>
          <cell r="H918"/>
          <cell r="I918"/>
        </row>
        <row r="919">
          <cell r="B919"/>
          <cell r="C919"/>
          <cell r="D919"/>
          <cell r="E919"/>
          <cell r="F919"/>
          <cell r="G919"/>
          <cell r="H919"/>
          <cell r="I919"/>
        </row>
        <row r="920">
          <cell r="B920"/>
          <cell r="C920"/>
          <cell r="D920"/>
          <cell r="E920"/>
          <cell r="F920"/>
          <cell r="G920"/>
          <cell r="H920"/>
          <cell r="I920"/>
        </row>
        <row r="921">
          <cell r="B921"/>
          <cell r="C921"/>
          <cell r="D921"/>
          <cell r="E921"/>
          <cell r="F921"/>
          <cell r="G921"/>
          <cell r="H921"/>
          <cell r="I921"/>
        </row>
        <row r="922">
          <cell r="B922" t="str">
            <v>3.6</v>
          </cell>
          <cell r="C922" t="str">
            <v>DESCRIPCION:</v>
          </cell>
          <cell r="D922" t="str">
            <v>SUMINISTRO CORTE, FIGURACIÓN Y COLOCACIÓN DE ACERO 60000 PSI</v>
          </cell>
          <cell r="E922"/>
          <cell r="F922"/>
          <cell r="G922"/>
          <cell r="H922"/>
          <cell r="I922"/>
        </row>
        <row r="923">
          <cell r="B923" t="str">
            <v>641.1-13</v>
          </cell>
          <cell r="C923"/>
          <cell r="D923" t="str">
            <v>UNIDAD</v>
          </cell>
          <cell r="E923" t="str">
            <v>KG</v>
          </cell>
          <cell r="F923" t="str">
            <v>CANTIDAD</v>
          </cell>
          <cell r="G923">
            <v>2160</v>
          </cell>
          <cell r="H923" t="str">
            <v>V. UNITARIO:</v>
          </cell>
          <cell r="I923">
            <v>11763</v>
          </cell>
        </row>
        <row r="924">
          <cell r="B924"/>
          <cell r="C924"/>
          <cell r="D924"/>
          <cell r="E924"/>
          <cell r="F924"/>
          <cell r="G924"/>
          <cell r="H924"/>
          <cell r="I924"/>
        </row>
        <row r="925">
          <cell r="B925"/>
          <cell r="C925"/>
          <cell r="D925"/>
          <cell r="E925"/>
          <cell r="F925" t="str">
            <v>Tarifa/Hora</v>
          </cell>
          <cell r="G925" t="str">
            <v>Rendimiento</v>
          </cell>
          <cell r="H925" t="str">
            <v>Valor-Unit.</v>
          </cell>
          <cell r="I925"/>
        </row>
        <row r="926">
          <cell r="B926"/>
          <cell r="C926"/>
          <cell r="D926"/>
          <cell r="E926"/>
          <cell r="F926"/>
          <cell r="G926"/>
          <cell r="H926">
            <v>0</v>
          </cell>
          <cell r="I926"/>
        </row>
        <row r="927">
          <cell r="B927"/>
          <cell r="C927"/>
          <cell r="D927"/>
          <cell r="E927"/>
          <cell r="F927" t="str">
            <v>Sub-Total</v>
          </cell>
          <cell r="G927" t="str">
            <v>3.6</v>
          </cell>
          <cell r="H927" t="str">
            <v>EQUI-3.6</v>
          </cell>
          <cell r="I927">
            <v>0</v>
          </cell>
        </row>
        <row r="928">
          <cell r="B928"/>
          <cell r="C928"/>
          <cell r="D928"/>
          <cell r="E928"/>
          <cell r="F928"/>
          <cell r="G928"/>
          <cell r="H928"/>
          <cell r="I928"/>
        </row>
        <row r="929">
          <cell r="B929"/>
          <cell r="C929"/>
          <cell r="D929"/>
          <cell r="E929" t="str">
            <v>UNIDAD</v>
          </cell>
          <cell r="F929" t="str">
            <v>V.UNIT</v>
          </cell>
          <cell r="G929" t="str">
            <v>CANT</v>
          </cell>
          <cell r="H929" t="str">
            <v>V.TOTAL</v>
          </cell>
          <cell r="I929"/>
        </row>
        <row r="930">
          <cell r="B930" t="str">
            <v>M002</v>
          </cell>
          <cell r="C930" t="str">
            <v>Acero  60000 psi</v>
          </cell>
          <cell r="D930"/>
          <cell r="E930" t="str">
            <v>KG</v>
          </cell>
          <cell r="F930">
            <v>6913</v>
          </cell>
          <cell r="G930">
            <v>1</v>
          </cell>
          <cell r="H930">
            <v>6913</v>
          </cell>
          <cell r="I930"/>
        </row>
        <row r="931">
          <cell r="B931" t="str">
            <v>M001</v>
          </cell>
          <cell r="C931" t="str">
            <v>Alambre quemado</v>
          </cell>
          <cell r="D931"/>
          <cell r="E931" t="str">
            <v>KG</v>
          </cell>
          <cell r="F931">
            <v>8321</v>
          </cell>
          <cell r="G931">
            <v>0.4</v>
          </cell>
          <cell r="H931">
            <v>3328.4</v>
          </cell>
          <cell r="I931"/>
        </row>
        <row r="932">
          <cell r="B932"/>
          <cell r="C932"/>
          <cell r="D932"/>
          <cell r="E932"/>
          <cell r="F932" t="str">
            <v>Sub-Total</v>
          </cell>
          <cell r="G932" t="str">
            <v>3.6</v>
          </cell>
          <cell r="H932" t="str">
            <v>MAT-3.6</v>
          </cell>
          <cell r="I932">
            <v>10241.4</v>
          </cell>
        </row>
        <row r="933">
          <cell r="B933"/>
          <cell r="C933"/>
          <cell r="D933"/>
          <cell r="E933"/>
          <cell r="F933"/>
          <cell r="G933"/>
          <cell r="H933"/>
          <cell r="I933"/>
        </row>
        <row r="934">
          <cell r="B934"/>
          <cell r="C934"/>
          <cell r="D934" t="str">
            <v xml:space="preserve">CAN </v>
          </cell>
          <cell r="E934" t="str">
            <v>DISTANCIA</v>
          </cell>
          <cell r="F934" t="str">
            <v>M3-Km / UN-KM</v>
          </cell>
          <cell r="G934" t="str">
            <v>TARIFA</v>
          </cell>
          <cell r="H934" t="str">
            <v>Valor-Unit.</v>
          </cell>
          <cell r="I934"/>
        </row>
        <row r="935">
          <cell r="B935" t="str">
            <v>T003</v>
          </cell>
          <cell r="C935"/>
          <cell r="D935"/>
          <cell r="E935"/>
          <cell r="F935"/>
          <cell r="G935"/>
          <cell r="H935"/>
          <cell r="I935"/>
        </row>
        <row r="936">
          <cell r="B936" t="str">
            <v>T008</v>
          </cell>
          <cell r="C936"/>
          <cell r="D936"/>
          <cell r="E936"/>
          <cell r="F936"/>
          <cell r="G936"/>
          <cell r="H936"/>
          <cell r="I936"/>
        </row>
        <row r="937">
          <cell r="B937" t="str">
            <v>T001</v>
          </cell>
          <cell r="C937"/>
          <cell r="D937"/>
          <cell r="E937"/>
          <cell r="F937"/>
          <cell r="G937"/>
          <cell r="H937"/>
          <cell r="I937"/>
        </row>
        <row r="938">
          <cell r="B938"/>
          <cell r="C938"/>
          <cell r="D938"/>
          <cell r="E938"/>
          <cell r="F938" t="str">
            <v>Sub-Total</v>
          </cell>
          <cell r="G938" t="str">
            <v>3.6</v>
          </cell>
          <cell r="H938" t="str">
            <v>TRAN-3.6</v>
          </cell>
          <cell r="I938">
            <v>0</v>
          </cell>
        </row>
        <row r="939">
          <cell r="B939"/>
          <cell r="C939"/>
          <cell r="D939"/>
          <cell r="E939"/>
          <cell r="F939"/>
          <cell r="G939"/>
          <cell r="H939"/>
          <cell r="I939"/>
        </row>
        <row r="940">
          <cell r="B940"/>
          <cell r="C940"/>
          <cell r="D940" t="str">
            <v>JORNAL-HORA</v>
          </cell>
          <cell r="E940" t="str">
            <v>PRES</v>
          </cell>
          <cell r="F940" t="str">
            <v>JORNAL TOTAL</v>
          </cell>
          <cell r="G940" t="str">
            <v>RENDIEMIENTO</v>
          </cell>
          <cell r="H940" t="str">
            <v>VALOR-UNIT</v>
          </cell>
          <cell r="I940"/>
        </row>
        <row r="941">
          <cell r="B941" t="str">
            <v>MO004</v>
          </cell>
          <cell r="C941" t="str">
            <v>OFICIAL</v>
          </cell>
          <cell r="D941">
            <v>9301.6465000000026</v>
          </cell>
          <cell r="E941">
            <v>0</v>
          </cell>
          <cell r="F941">
            <v>9301.6465000000026</v>
          </cell>
          <cell r="G941">
            <v>0.06</v>
          </cell>
          <cell r="H941">
            <v>558.09879000000012</v>
          </cell>
          <cell r="I941"/>
        </row>
        <row r="942">
          <cell r="B942" t="str">
            <v>MO005</v>
          </cell>
          <cell r="C942" t="str">
            <v>AYUDANTE ENTENDIDO</v>
          </cell>
          <cell r="D942">
            <v>8051.6465000000007</v>
          </cell>
          <cell r="E942">
            <v>0</v>
          </cell>
          <cell r="F942">
            <v>8051.6465000000007</v>
          </cell>
          <cell r="G942">
            <v>0.06</v>
          </cell>
          <cell r="H942">
            <v>483.09879000000001</v>
          </cell>
          <cell r="I942"/>
        </row>
        <row r="943">
          <cell r="B943" t="str">
            <v>MO006</v>
          </cell>
          <cell r="C943" t="str">
            <v>AYUDANTE</v>
          </cell>
          <cell r="D943">
            <v>6801.6465000000007</v>
          </cell>
          <cell r="E943">
            <v>0</v>
          </cell>
          <cell r="F943">
            <v>6801.6465000000007</v>
          </cell>
          <cell r="G943">
            <v>0.06</v>
          </cell>
          <cell r="H943">
            <v>408.09879000000001</v>
          </cell>
          <cell r="I943"/>
        </row>
        <row r="944">
          <cell r="B944"/>
          <cell r="C944"/>
          <cell r="D944"/>
          <cell r="E944"/>
          <cell r="F944"/>
          <cell r="G944"/>
          <cell r="H944"/>
          <cell r="I944"/>
        </row>
        <row r="945">
          <cell r="B945"/>
          <cell r="C945"/>
          <cell r="D945"/>
          <cell r="E945"/>
          <cell r="F945" t="str">
            <v>Sub-Total</v>
          </cell>
          <cell r="G945" t="str">
            <v>3.6</v>
          </cell>
          <cell r="H945" t="str">
            <v>MDEO-3.6</v>
          </cell>
          <cell r="I945">
            <v>1449.29637</v>
          </cell>
        </row>
        <row r="946">
          <cell r="B946"/>
          <cell r="C946"/>
          <cell r="D946"/>
          <cell r="E946"/>
          <cell r="F946"/>
          <cell r="G946"/>
          <cell r="H946"/>
          <cell r="I946">
            <v>72.464818500000007</v>
          </cell>
        </row>
        <row r="947">
          <cell r="B947"/>
          <cell r="C947"/>
          <cell r="D947"/>
          <cell r="E947"/>
          <cell r="F947" t="str">
            <v>Total Costo Directo</v>
          </cell>
          <cell r="G947"/>
          <cell r="H947"/>
          <cell r="I947">
            <v>11763</v>
          </cell>
        </row>
        <row r="948">
          <cell r="B948"/>
          <cell r="C948"/>
          <cell r="D948"/>
          <cell r="E948" t="str">
            <v>PORCENTAJE</v>
          </cell>
          <cell r="F948"/>
          <cell r="G948" t="str">
            <v>V. COSTO INDERECTO</v>
          </cell>
          <cell r="H948"/>
          <cell r="I948"/>
        </row>
        <row r="949">
          <cell r="B949"/>
          <cell r="C949"/>
          <cell r="D949"/>
          <cell r="E949">
            <v>0.02</v>
          </cell>
          <cell r="F949"/>
          <cell r="G949">
            <v>235.26</v>
          </cell>
          <cell r="H949"/>
          <cell r="I949"/>
        </row>
        <row r="950">
          <cell r="B950"/>
          <cell r="C950"/>
          <cell r="D950"/>
          <cell r="E950">
            <v>0.23</v>
          </cell>
          <cell r="F950"/>
          <cell r="G950">
            <v>2705.4900000000002</v>
          </cell>
          <cell r="H950"/>
          <cell r="I950"/>
        </row>
        <row r="951">
          <cell r="B951"/>
          <cell r="C951"/>
          <cell r="D951"/>
          <cell r="E951">
            <v>0.05</v>
          </cell>
          <cell r="F951"/>
          <cell r="G951">
            <v>588.15</v>
          </cell>
          <cell r="H951"/>
          <cell r="I951"/>
        </row>
        <row r="952">
          <cell r="B952"/>
          <cell r="C952"/>
          <cell r="D952"/>
          <cell r="E952">
            <v>0.02</v>
          </cell>
          <cell r="F952"/>
          <cell r="G952">
            <v>235.26</v>
          </cell>
          <cell r="H952"/>
          <cell r="I952"/>
        </row>
        <row r="953">
          <cell r="B953"/>
          <cell r="C953"/>
          <cell r="D953"/>
          <cell r="E953"/>
          <cell r="F953"/>
          <cell r="G953"/>
          <cell r="H953"/>
          <cell r="I953">
            <v>3764.16</v>
          </cell>
        </row>
        <row r="954">
          <cell r="B954"/>
          <cell r="C954"/>
          <cell r="D954"/>
          <cell r="E954"/>
          <cell r="F954"/>
          <cell r="G954"/>
          <cell r="H954"/>
          <cell r="I954">
            <v>15527.16</v>
          </cell>
        </row>
        <row r="955">
          <cell r="B955"/>
          <cell r="C955"/>
          <cell r="D955"/>
          <cell r="E955"/>
          <cell r="F955"/>
          <cell r="G955"/>
          <cell r="H955"/>
          <cell r="I955"/>
        </row>
        <row r="956">
          <cell r="B956"/>
          <cell r="C956"/>
          <cell r="D956"/>
          <cell r="E956"/>
          <cell r="F956" t="str">
            <v>REVISA</v>
          </cell>
          <cell r="G956"/>
          <cell r="H956"/>
          <cell r="I956"/>
        </row>
        <row r="957">
          <cell r="B957"/>
          <cell r="C957"/>
          <cell r="D957"/>
          <cell r="E957"/>
          <cell r="F957" t="str">
            <v>FIRMA:</v>
          </cell>
          <cell r="G957"/>
          <cell r="H957"/>
          <cell r="I957"/>
        </row>
        <row r="958">
          <cell r="B958" t="str">
            <v>LINA MARCELA</v>
          </cell>
          <cell r="C958"/>
          <cell r="F958" t="str">
            <v>NOMBRE</v>
          </cell>
          <cell r="G958"/>
          <cell r="H958"/>
          <cell r="I958"/>
        </row>
        <row r="959">
          <cell r="B959" t="str">
            <v>05202-316814 ANT</v>
          </cell>
          <cell r="C959"/>
          <cell r="F959" t="str">
            <v>MAT:</v>
          </cell>
          <cell r="G959"/>
          <cell r="H959"/>
          <cell r="I959"/>
        </row>
        <row r="960">
          <cell r="B960"/>
          <cell r="C960"/>
          <cell r="F960"/>
          <cell r="G960"/>
          <cell r="H960"/>
          <cell r="I960"/>
        </row>
        <row r="961">
          <cell r="B961"/>
          <cell r="C961"/>
          <cell r="D961"/>
          <cell r="E961"/>
          <cell r="F961"/>
          <cell r="G961"/>
          <cell r="H961"/>
          <cell r="I961"/>
        </row>
        <row r="962">
          <cell r="B962"/>
          <cell r="C962"/>
          <cell r="D962"/>
          <cell r="E962"/>
          <cell r="F962"/>
          <cell r="G962"/>
          <cell r="H962"/>
          <cell r="I962"/>
        </row>
        <row r="963">
          <cell r="B963"/>
          <cell r="C963"/>
          <cell r="D963"/>
          <cell r="E963"/>
          <cell r="F963"/>
          <cell r="G963"/>
          <cell r="H963"/>
          <cell r="I963"/>
        </row>
        <row r="964">
          <cell r="B964"/>
          <cell r="I964"/>
        </row>
        <row r="965">
          <cell r="B965"/>
          <cell r="C965"/>
          <cell r="D965"/>
          <cell r="E965"/>
          <cell r="F965"/>
          <cell r="G965"/>
          <cell r="H965"/>
          <cell r="I965"/>
        </row>
        <row r="966">
          <cell r="B966" t="str">
            <v>4.1</v>
          </cell>
          <cell r="C966" t="str">
            <v>DESCRIPCION:</v>
          </cell>
          <cell r="D966" t="str">
            <v>BORDILLOS EN CONCRETO</v>
          </cell>
          <cell r="E966"/>
          <cell r="F966"/>
          <cell r="G966"/>
          <cell r="H966"/>
          <cell r="I966"/>
        </row>
        <row r="967">
          <cell r="B967" t="str">
            <v>672-13</v>
          </cell>
          <cell r="C967"/>
          <cell r="D967" t="str">
            <v>UNIDAD</v>
          </cell>
          <cell r="E967" t="str">
            <v>ML</v>
          </cell>
          <cell r="F967" t="str">
            <v>CANTIDAD</v>
          </cell>
          <cell r="G967">
            <v>15131</v>
          </cell>
          <cell r="H967" t="str">
            <v>V. UNITARIO:</v>
          </cell>
          <cell r="I967">
            <v>58763</v>
          </cell>
        </row>
        <row r="968">
          <cell r="B968"/>
          <cell r="C968"/>
          <cell r="D968"/>
          <cell r="E968"/>
          <cell r="F968"/>
          <cell r="G968"/>
          <cell r="H968"/>
          <cell r="I968"/>
        </row>
        <row r="969">
          <cell r="B969"/>
          <cell r="C969"/>
          <cell r="D969"/>
          <cell r="E969"/>
          <cell r="F969" t="str">
            <v>Tarifa/Hora</v>
          </cell>
          <cell r="G969" t="str">
            <v>Rendimiento</v>
          </cell>
          <cell r="H969" t="str">
            <v>Valor-Unit.</v>
          </cell>
          <cell r="I969"/>
        </row>
        <row r="970">
          <cell r="B970" t="str">
            <v>E009</v>
          </cell>
          <cell r="C970" t="str">
            <v xml:space="preserve">EQUIPO PARA COMISION DE TOPOGRAFIA </v>
          </cell>
          <cell r="D970"/>
          <cell r="E970"/>
          <cell r="F970">
            <v>60000</v>
          </cell>
          <cell r="G970">
            <v>0.02</v>
          </cell>
          <cell r="H970">
            <v>1200</v>
          </cell>
          <cell r="I970"/>
        </row>
        <row r="971">
          <cell r="B971" t="str">
            <v>E012</v>
          </cell>
          <cell r="C971" t="str">
            <v>FORMALETA PARA BORDILLO/CUNETA</v>
          </cell>
          <cell r="D971"/>
          <cell r="E971"/>
          <cell r="F971">
            <v>2150</v>
          </cell>
          <cell r="G971">
            <v>1</v>
          </cell>
          <cell r="H971">
            <v>2150</v>
          </cell>
          <cell r="I971"/>
        </row>
        <row r="972">
          <cell r="B972" t="str">
            <v>E027</v>
          </cell>
          <cell r="C972" t="str">
            <v>VIBRADOR DE AGUJA</v>
          </cell>
          <cell r="D972"/>
          <cell r="E972"/>
          <cell r="F972">
            <v>4375</v>
          </cell>
          <cell r="G972">
            <v>0.3</v>
          </cell>
          <cell r="H972">
            <v>1312.5</v>
          </cell>
          <cell r="I972"/>
        </row>
        <row r="973">
          <cell r="B973" t="str">
            <v>E018</v>
          </cell>
          <cell r="C973" t="str">
            <v>LISTON Y VARILLA AJUS. FORMALETA METALICA</v>
          </cell>
          <cell r="D973"/>
          <cell r="E973"/>
          <cell r="F973">
            <v>1000</v>
          </cell>
          <cell r="G973">
            <v>1</v>
          </cell>
          <cell r="H973">
            <v>1000</v>
          </cell>
          <cell r="I973"/>
        </row>
        <row r="974">
          <cell r="B974"/>
          <cell r="C974"/>
          <cell r="D974"/>
          <cell r="E974"/>
          <cell r="F974" t="str">
            <v>Sub-Total</v>
          </cell>
          <cell r="G974" t="str">
            <v>4.1</v>
          </cell>
          <cell r="H974" t="str">
            <v>EQUI-4.1</v>
          </cell>
          <cell r="I974">
            <v>5662.5</v>
          </cell>
        </row>
        <row r="975">
          <cell r="B975"/>
          <cell r="C975"/>
          <cell r="D975"/>
          <cell r="E975"/>
          <cell r="F975"/>
          <cell r="G975"/>
          <cell r="H975"/>
          <cell r="I975"/>
        </row>
        <row r="976">
          <cell r="B976"/>
          <cell r="C976"/>
          <cell r="D976"/>
          <cell r="E976" t="str">
            <v>UNIDAD</v>
          </cell>
          <cell r="F976" t="str">
            <v>V.UNIT</v>
          </cell>
          <cell r="G976" t="str">
            <v>CANT</v>
          </cell>
          <cell r="H976" t="str">
            <v>V.TOTAL</v>
          </cell>
          <cell r="I976"/>
        </row>
        <row r="977">
          <cell r="B977" t="str">
            <v>M006</v>
          </cell>
          <cell r="C977" t="str">
            <v>Concreto 2500 psi en obra</v>
          </cell>
          <cell r="D977"/>
          <cell r="E977" t="str">
            <v>M3</v>
          </cell>
          <cell r="F977">
            <v>439313</v>
          </cell>
          <cell r="G977">
            <v>5.2499999999999998E-2</v>
          </cell>
          <cell r="H977">
            <v>23063.932499999999</v>
          </cell>
          <cell r="I977"/>
        </row>
        <row r="978">
          <cell r="B978" t="str">
            <v>M013</v>
          </cell>
          <cell r="C978" t="str">
            <v>Mortero 1:6 para pega y rebitada</v>
          </cell>
          <cell r="D978"/>
          <cell r="E978" t="str">
            <v>M3</v>
          </cell>
          <cell r="F978">
            <v>403352</v>
          </cell>
          <cell r="G978">
            <v>0.02</v>
          </cell>
          <cell r="H978">
            <v>8067.04</v>
          </cell>
          <cell r="I978"/>
        </row>
        <row r="979">
          <cell r="B979"/>
          <cell r="C979"/>
          <cell r="D979"/>
          <cell r="E979"/>
          <cell r="F979" t="str">
            <v>Sub-Total</v>
          </cell>
          <cell r="G979" t="str">
            <v>4.1</v>
          </cell>
          <cell r="H979" t="str">
            <v>MAT-4.1</v>
          </cell>
          <cell r="I979">
            <v>31130.9725</v>
          </cell>
        </row>
        <row r="980">
          <cell r="B980"/>
          <cell r="C980"/>
          <cell r="D980"/>
          <cell r="E980"/>
          <cell r="F980"/>
          <cell r="G980"/>
          <cell r="H980"/>
          <cell r="I980"/>
        </row>
        <row r="981">
          <cell r="B981"/>
          <cell r="C981"/>
          <cell r="D981" t="str">
            <v xml:space="preserve">CAN </v>
          </cell>
          <cell r="E981" t="str">
            <v>DISTANCIA</v>
          </cell>
          <cell r="F981" t="str">
            <v>M3-Km / UN-KM</v>
          </cell>
          <cell r="G981" t="str">
            <v>TARIFA</v>
          </cell>
          <cell r="H981" t="str">
            <v>Valor-Unit.</v>
          </cell>
          <cell r="I981"/>
        </row>
        <row r="982">
          <cell r="B982" t="str">
            <v>T005</v>
          </cell>
          <cell r="C982" t="str">
            <v>TRANS INT  BORDILLO UN</v>
          </cell>
          <cell r="D982">
            <v>1</v>
          </cell>
          <cell r="E982">
            <v>1</v>
          </cell>
          <cell r="F982">
            <v>1</v>
          </cell>
          <cell r="G982">
            <v>300</v>
          </cell>
          <cell r="H982">
            <v>300</v>
          </cell>
          <cell r="I982"/>
        </row>
        <row r="983">
          <cell r="B983"/>
          <cell r="C983"/>
          <cell r="D983"/>
          <cell r="E983"/>
          <cell r="F983" t="str">
            <v>Sub-Total</v>
          </cell>
          <cell r="G983" t="str">
            <v>4.1</v>
          </cell>
          <cell r="H983" t="str">
            <v>TRAN-4.1</v>
          </cell>
          <cell r="I983">
            <v>300</v>
          </cell>
        </row>
        <row r="984">
          <cell r="B984"/>
          <cell r="C984"/>
          <cell r="D984"/>
          <cell r="E984"/>
          <cell r="F984"/>
          <cell r="G984"/>
          <cell r="H984"/>
          <cell r="I984"/>
        </row>
        <row r="985">
          <cell r="B985"/>
          <cell r="C985"/>
          <cell r="D985" t="str">
            <v>JORNAL-HORA</v>
          </cell>
          <cell r="E985" t="str">
            <v>PRES</v>
          </cell>
          <cell r="F985" t="str">
            <v>JORNAL TOTAL</v>
          </cell>
          <cell r="G985" t="str">
            <v>RENDIEMIENTO</v>
          </cell>
          <cell r="H985" t="str">
            <v>VALOR-UNIT</v>
          </cell>
          <cell r="I985"/>
        </row>
        <row r="986">
          <cell r="B986" t="str">
            <v>MO004</v>
          </cell>
          <cell r="C986" t="str">
            <v>OFICIAL</v>
          </cell>
          <cell r="D986">
            <v>9301.6465000000026</v>
          </cell>
          <cell r="E986">
            <v>0</v>
          </cell>
          <cell r="F986">
            <v>9301.6465000000026</v>
          </cell>
          <cell r="G986">
            <v>0.65</v>
          </cell>
          <cell r="H986">
            <v>6046.0702250000022</v>
          </cell>
          <cell r="I986"/>
        </row>
        <row r="987">
          <cell r="B987" t="str">
            <v>MO005</v>
          </cell>
          <cell r="C987" t="str">
            <v>AYUDANTE ENTENDIDO</v>
          </cell>
          <cell r="D987">
            <v>8051.6465000000007</v>
          </cell>
          <cell r="E987">
            <v>0</v>
          </cell>
          <cell r="F987">
            <v>8051.6465000000007</v>
          </cell>
          <cell r="G987">
            <v>0.65</v>
          </cell>
          <cell r="H987">
            <v>5233.5702250000004</v>
          </cell>
          <cell r="I987"/>
        </row>
        <row r="988">
          <cell r="B988" t="str">
            <v>MO006</v>
          </cell>
          <cell r="C988" t="str">
            <v>AYUDANTE</v>
          </cell>
          <cell r="D988">
            <v>6801.6465000000007</v>
          </cell>
          <cell r="E988">
            <v>0</v>
          </cell>
          <cell r="F988">
            <v>6801.6465000000007</v>
          </cell>
          <cell r="G988">
            <v>1.3</v>
          </cell>
          <cell r="H988">
            <v>8842.1404500000008</v>
          </cell>
          <cell r="I988"/>
        </row>
        <row r="989">
          <cell r="B989" t="str">
            <v>MO001</v>
          </cell>
          <cell r="C989" t="str">
            <v>TOPOGRAFO</v>
          </cell>
          <cell r="D989">
            <v>14826.936907575571</v>
          </cell>
          <cell r="E989">
            <v>0</v>
          </cell>
          <cell r="F989">
            <v>14826.936907575571</v>
          </cell>
          <cell r="G989">
            <v>0.02</v>
          </cell>
          <cell r="H989">
            <v>296.53873815151144</v>
          </cell>
          <cell r="I989"/>
        </row>
        <row r="990">
          <cell r="B990" t="str">
            <v>MO002</v>
          </cell>
          <cell r="C990" t="str">
            <v>CADENERO 1</v>
          </cell>
          <cell r="D990">
            <v>10985.571938383713</v>
          </cell>
          <cell r="E990">
            <v>0</v>
          </cell>
          <cell r="F990">
            <v>10985.571938383713</v>
          </cell>
          <cell r="G990">
            <v>0.02</v>
          </cell>
          <cell r="H990">
            <v>219.71143876767428</v>
          </cell>
          <cell r="I990"/>
        </row>
        <row r="991">
          <cell r="B991"/>
          <cell r="C991"/>
          <cell r="D991"/>
          <cell r="E991"/>
          <cell r="F991" t="str">
            <v>Sub-Total</v>
          </cell>
          <cell r="G991" t="str">
            <v>4.1</v>
          </cell>
          <cell r="H991" t="str">
            <v>MDEO-4.1</v>
          </cell>
          <cell r="I991">
            <v>20638.031076919189</v>
          </cell>
        </row>
        <row r="992">
          <cell r="B992"/>
          <cell r="C992"/>
          <cell r="D992"/>
          <cell r="E992"/>
          <cell r="F992"/>
          <cell r="G992"/>
          <cell r="H992"/>
          <cell r="I992">
            <v>1031.9015538459596</v>
          </cell>
        </row>
        <row r="993">
          <cell r="B993"/>
          <cell r="C993"/>
          <cell r="D993"/>
          <cell r="E993"/>
          <cell r="F993" t="str">
            <v>Total Costo Directo</v>
          </cell>
          <cell r="G993"/>
          <cell r="H993"/>
          <cell r="I993">
            <v>58763</v>
          </cell>
        </row>
        <row r="994">
          <cell r="B994"/>
          <cell r="C994"/>
          <cell r="D994"/>
          <cell r="E994" t="str">
            <v>PORCENTAJE</v>
          </cell>
          <cell r="F994"/>
          <cell r="G994" t="str">
            <v>V. COSTO INDERECTO</v>
          </cell>
          <cell r="H994"/>
          <cell r="I994"/>
        </row>
        <row r="995">
          <cell r="B995"/>
          <cell r="C995"/>
          <cell r="D995"/>
          <cell r="E995">
            <v>0.02</v>
          </cell>
          <cell r="F995"/>
          <cell r="G995">
            <v>1175.26</v>
          </cell>
          <cell r="H995"/>
          <cell r="I995"/>
        </row>
        <row r="996">
          <cell r="B996"/>
          <cell r="C996"/>
          <cell r="D996"/>
          <cell r="E996">
            <v>0.23</v>
          </cell>
          <cell r="F996"/>
          <cell r="G996">
            <v>13515.49</v>
          </cell>
          <cell r="H996"/>
          <cell r="I996"/>
        </row>
        <row r="997">
          <cell r="B997"/>
          <cell r="C997"/>
          <cell r="D997"/>
          <cell r="E997">
            <v>0.05</v>
          </cell>
          <cell r="F997"/>
          <cell r="G997">
            <v>2938.15</v>
          </cell>
          <cell r="H997"/>
          <cell r="I997"/>
        </row>
        <row r="998">
          <cell r="B998"/>
          <cell r="C998"/>
          <cell r="D998"/>
          <cell r="E998">
            <v>0.02</v>
          </cell>
          <cell r="F998"/>
          <cell r="G998">
            <v>1175.26</v>
          </cell>
          <cell r="H998"/>
          <cell r="I998"/>
        </row>
        <row r="999">
          <cell r="B999"/>
          <cell r="C999"/>
          <cell r="D999"/>
          <cell r="E999"/>
          <cell r="F999"/>
          <cell r="G999"/>
          <cell r="H999"/>
          <cell r="I999">
            <v>18804.16</v>
          </cell>
        </row>
        <row r="1000">
          <cell r="B1000"/>
          <cell r="C1000"/>
          <cell r="D1000"/>
          <cell r="E1000"/>
          <cell r="F1000"/>
          <cell r="G1000"/>
          <cell r="H1000"/>
          <cell r="I1000">
            <v>77567.16</v>
          </cell>
        </row>
        <row r="1001">
          <cell r="B1001"/>
          <cell r="C1001"/>
          <cell r="D1001"/>
          <cell r="E1001"/>
          <cell r="F1001"/>
          <cell r="G1001"/>
          <cell r="H1001"/>
          <cell r="I1001"/>
        </row>
        <row r="1002">
          <cell r="B1002"/>
          <cell r="C1002"/>
          <cell r="D1002"/>
          <cell r="E1002"/>
          <cell r="F1002" t="str">
            <v>REVISA</v>
          </cell>
          <cell r="G1002"/>
          <cell r="H1002"/>
          <cell r="I1002"/>
        </row>
        <row r="1003">
          <cell r="B1003"/>
          <cell r="C1003"/>
          <cell r="D1003"/>
          <cell r="E1003"/>
          <cell r="F1003" t="str">
            <v>FIRMA:</v>
          </cell>
          <cell r="G1003"/>
          <cell r="H1003"/>
          <cell r="I1003"/>
        </row>
        <row r="1004">
          <cell r="B1004" t="str">
            <v>LINA MARCELA</v>
          </cell>
          <cell r="C1004"/>
          <cell r="F1004" t="str">
            <v>NOMBRE</v>
          </cell>
          <cell r="G1004"/>
          <cell r="H1004"/>
          <cell r="I1004"/>
        </row>
        <row r="1005">
          <cell r="B1005" t="str">
            <v>05202-316814 ANT</v>
          </cell>
          <cell r="C1005"/>
          <cell r="F1005" t="str">
            <v>MAT:</v>
          </cell>
          <cell r="G1005"/>
          <cell r="H1005"/>
          <cell r="I1005"/>
        </row>
        <row r="1006">
          <cell r="B1006"/>
          <cell r="C1006"/>
          <cell r="F1006"/>
          <cell r="G1006"/>
          <cell r="H1006"/>
          <cell r="I1006"/>
        </row>
        <row r="1007">
          <cell r="B1007"/>
          <cell r="C1007"/>
          <cell r="D1007"/>
          <cell r="E1007"/>
          <cell r="F1007"/>
          <cell r="G1007"/>
          <cell r="H1007"/>
          <cell r="I1007"/>
        </row>
        <row r="1008">
          <cell r="B1008"/>
          <cell r="C1008"/>
          <cell r="D1008"/>
          <cell r="E1008"/>
          <cell r="F1008"/>
          <cell r="G1008"/>
          <cell r="H1008"/>
          <cell r="I1008"/>
        </row>
        <row r="1009">
          <cell r="B1009"/>
          <cell r="C1009"/>
          <cell r="D1009"/>
          <cell r="E1009"/>
          <cell r="F1009"/>
          <cell r="G1009"/>
          <cell r="H1009"/>
          <cell r="I1009"/>
        </row>
        <row r="1010">
          <cell r="B1010"/>
          <cell r="C1010"/>
          <cell r="D1010"/>
          <cell r="E1010"/>
          <cell r="F1010"/>
          <cell r="G1010"/>
          <cell r="H1010"/>
          <cell r="I1010"/>
        </row>
        <row r="1011">
          <cell r="B1011" t="str">
            <v>4.2</v>
          </cell>
          <cell r="C1011" t="str">
            <v>DESCRIPCION:</v>
          </cell>
          <cell r="D1011" t="str">
            <v>LLENO DE CONFINAMIENTO PARA BORDILLO CON MATERIAL GRANULAR DE EXCAVACIÓN NO CONTAMINADO AL 60% Y 40% SUBBASE GRANULAR</v>
          </cell>
          <cell r="E1011"/>
          <cell r="F1011"/>
          <cell r="G1011"/>
          <cell r="H1011"/>
          <cell r="I1011"/>
        </row>
        <row r="1012">
          <cell r="B1012" t="str">
            <v>230.1-13</v>
          </cell>
          <cell r="C1012"/>
          <cell r="D1012" t="str">
            <v>UNIDAD</v>
          </cell>
          <cell r="E1012" t="str">
            <v>M3</v>
          </cell>
          <cell r="F1012" t="str">
            <v>CANTIDAD</v>
          </cell>
          <cell r="G1012">
            <v>4237</v>
          </cell>
          <cell r="H1012" t="str">
            <v>V. UNITARIO:</v>
          </cell>
          <cell r="I1012">
            <v>60221</v>
          </cell>
        </row>
        <row r="1013">
          <cell r="B1013"/>
          <cell r="C1013"/>
          <cell r="D1013"/>
          <cell r="E1013"/>
          <cell r="F1013"/>
          <cell r="G1013"/>
          <cell r="H1013"/>
          <cell r="I1013"/>
        </row>
        <row r="1014">
          <cell r="B1014"/>
          <cell r="C1014"/>
          <cell r="D1014"/>
          <cell r="E1014"/>
          <cell r="F1014" t="str">
            <v>Tarifa/Hora</v>
          </cell>
          <cell r="G1014" t="str">
            <v>Rendimiento</v>
          </cell>
          <cell r="H1014" t="str">
            <v>Valor-Unit.</v>
          </cell>
          <cell r="I1014"/>
        </row>
        <row r="1015">
          <cell r="B1015" t="str">
            <v>E026</v>
          </cell>
          <cell r="C1015" t="str">
            <v>TANQUE DE ALMACENAMIENTO DE AGUA</v>
          </cell>
          <cell r="D1015"/>
          <cell r="E1015"/>
          <cell r="F1015">
            <v>1000</v>
          </cell>
          <cell r="G1015">
            <v>0.2</v>
          </cell>
          <cell r="H1015">
            <v>200</v>
          </cell>
          <cell r="I1015"/>
        </row>
        <row r="1016">
          <cell r="B1016" t="str">
            <v>E009</v>
          </cell>
          <cell r="C1016" t="str">
            <v xml:space="preserve">EQUIPO PARA COMISION DE TOPOGRAFIA </v>
          </cell>
          <cell r="D1016"/>
          <cell r="E1016"/>
          <cell r="F1016">
            <v>60000</v>
          </cell>
          <cell r="G1016">
            <v>0.02</v>
          </cell>
          <cell r="H1016">
            <v>1200</v>
          </cell>
          <cell r="I1016"/>
        </row>
        <row r="1017">
          <cell r="B1017" t="str">
            <v>E002</v>
          </cell>
          <cell r="C1017" t="str">
            <v>COMPACTADOR TIPO RANA</v>
          </cell>
          <cell r="D1017"/>
          <cell r="E1017"/>
          <cell r="F1017">
            <v>5000</v>
          </cell>
          <cell r="G1017">
            <v>1</v>
          </cell>
          <cell r="H1017">
            <v>5000</v>
          </cell>
          <cell r="I1017"/>
        </row>
        <row r="1018">
          <cell r="B1018"/>
          <cell r="C1018"/>
          <cell r="D1018"/>
          <cell r="E1018"/>
          <cell r="F1018" t="str">
            <v>Sub-Total</v>
          </cell>
          <cell r="G1018" t="str">
            <v>4.2</v>
          </cell>
          <cell r="H1018" t="str">
            <v>EQUI-4.2</v>
          </cell>
          <cell r="I1018">
            <v>6400</v>
          </cell>
        </row>
        <row r="1019">
          <cell r="B1019"/>
          <cell r="C1019"/>
          <cell r="D1019"/>
          <cell r="E1019"/>
          <cell r="F1019"/>
          <cell r="G1019"/>
          <cell r="H1019"/>
          <cell r="I1019"/>
        </row>
        <row r="1020">
          <cell r="B1020"/>
          <cell r="C1020"/>
          <cell r="D1020"/>
          <cell r="E1020" t="str">
            <v>UNIDAD</v>
          </cell>
          <cell r="F1020" t="str">
            <v>V.UNIT</v>
          </cell>
          <cell r="G1020" t="str">
            <v>CANT</v>
          </cell>
          <cell r="H1020" t="str">
            <v>V.TOTAL</v>
          </cell>
          <cell r="I1020"/>
        </row>
        <row r="1021">
          <cell r="B1021" t="str">
            <v>M002</v>
          </cell>
          <cell r="C1021" t="str">
            <v>agua</v>
          </cell>
          <cell r="D1021"/>
          <cell r="E1021" t="str">
            <v>M3</v>
          </cell>
          <cell r="F1021">
            <v>2750</v>
          </cell>
          <cell r="G1021">
            <v>0.2</v>
          </cell>
          <cell r="H1021">
            <v>550</v>
          </cell>
          <cell r="I1021"/>
        </row>
        <row r="1022">
          <cell r="B1022" t="str">
            <v>M014</v>
          </cell>
          <cell r="C1022" t="str">
            <v xml:space="preserve">Subbase granular </v>
          </cell>
          <cell r="D1022"/>
          <cell r="E1022" t="str">
            <v>M3</v>
          </cell>
          <cell r="F1022">
            <v>39000</v>
          </cell>
          <cell r="G1022">
            <v>0.52</v>
          </cell>
          <cell r="H1022">
            <v>20280</v>
          </cell>
          <cell r="I1022"/>
        </row>
        <row r="1023">
          <cell r="B1023"/>
          <cell r="C1023"/>
          <cell r="D1023"/>
          <cell r="E1023"/>
          <cell r="F1023" t="str">
            <v>Sub-Total</v>
          </cell>
          <cell r="G1023" t="str">
            <v>4.2</v>
          </cell>
          <cell r="H1023" t="str">
            <v>MAT-4.2</v>
          </cell>
          <cell r="I1023">
            <v>20830</v>
          </cell>
        </row>
        <row r="1024">
          <cell r="B1024"/>
          <cell r="C1024"/>
          <cell r="D1024"/>
          <cell r="E1024"/>
          <cell r="F1024"/>
          <cell r="G1024"/>
          <cell r="H1024"/>
          <cell r="I1024"/>
        </row>
        <row r="1025">
          <cell r="B1025"/>
          <cell r="C1025"/>
          <cell r="D1025" t="str">
            <v xml:space="preserve">CAN </v>
          </cell>
          <cell r="E1025" t="str">
            <v>DISTANCIA</v>
          </cell>
          <cell r="F1025" t="str">
            <v>M3-Km / UN-KM</v>
          </cell>
          <cell r="G1025" t="str">
            <v>TARIFA</v>
          </cell>
          <cell r="H1025" t="str">
            <v>Valor-Unit.</v>
          </cell>
          <cell r="I1025"/>
        </row>
        <row r="1026">
          <cell r="B1026" t="str">
            <v>T003</v>
          </cell>
          <cell r="C1026" t="str">
            <v>trans agua 0-5km</v>
          </cell>
          <cell r="D1026">
            <v>0.2</v>
          </cell>
          <cell r="E1026">
            <v>5</v>
          </cell>
          <cell r="F1026">
            <v>1</v>
          </cell>
          <cell r="G1026">
            <v>1095</v>
          </cell>
          <cell r="H1026">
            <v>1095</v>
          </cell>
          <cell r="I1026"/>
        </row>
        <row r="1027">
          <cell r="B1027" t="str">
            <v>T012</v>
          </cell>
          <cell r="C1027" t="str">
            <v>trans material necocli &gt; 10 km</v>
          </cell>
          <cell r="D1027">
            <v>0.52</v>
          </cell>
          <cell r="E1027">
            <v>28</v>
          </cell>
          <cell r="F1027">
            <v>14.56</v>
          </cell>
          <cell r="G1027">
            <v>650</v>
          </cell>
          <cell r="H1027">
            <v>9464</v>
          </cell>
          <cell r="I1027"/>
        </row>
        <row r="1028">
          <cell r="B1028" t="str">
            <v>T002</v>
          </cell>
          <cell r="C1028" t="str">
            <v>trans int. Mat. granular</v>
          </cell>
          <cell r="D1028">
            <v>0.4</v>
          </cell>
          <cell r="E1028">
            <v>1</v>
          </cell>
          <cell r="F1028">
            <v>0.4</v>
          </cell>
          <cell r="G1028">
            <v>4000</v>
          </cell>
          <cell r="H1028">
            <v>1600</v>
          </cell>
          <cell r="I1028"/>
        </row>
        <row r="1029">
          <cell r="B1029"/>
          <cell r="C1029"/>
          <cell r="D1029"/>
          <cell r="E1029"/>
          <cell r="F1029" t="str">
            <v>Sub-Total</v>
          </cell>
          <cell r="G1029" t="str">
            <v>4.2</v>
          </cell>
          <cell r="H1029" t="str">
            <v>TRAN-4.2</v>
          </cell>
          <cell r="I1029">
            <v>12159</v>
          </cell>
        </row>
        <row r="1030">
          <cell r="B1030"/>
          <cell r="C1030"/>
          <cell r="D1030"/>
          <cell r="E1030"/>
          <cell r="F1030"/>
          <cell r="G1030"/>
          <cell r="H1030"/>
          <cell r="I1030"/>
        </row>
        <row r="1031">
          <cell r="B1031"/>
          <cell r="C1031"/>
          <cell r="D1031" t="str">
            <v>JORNAL-HORA</v>
          </cell>
          <cell r="E1031" t="str">
            <v>PRES</v>
          </cell>
          <cell r="F1031" t="str">
            <v>JORNAL TOTAL</v>
          </cell>
          <cell r="G1031" t="str">
            <v>RENDIEMIENTO</v>
          </cell>
          <cell r="H1031" t="str">
            <v>VALOR-UNIT</v>
          </cell>
          <cell r="I1031"/>
        </row>
        <row r="1032">
          <cell r="B1032" t="str">
            <v>MO004</v>
          </cell>
          <cell r="C1032" t="str">
            <v>OFICIAL</v>
          </cell>
          <cell r="D1032">
            <v>9301.6465000000026</v>
          </cell>
          <cell r="E1032"/>
          <cell r="F1032">
            <v>9301.6465000000026</v>
          </cell>
          <cell r="G1032">
            <v>0.8</v>
          </cell>
          <cell r="H1032">
            <v>7441.3172000000022</v>
          </cell>
          <cell r="I1032"/>
        </row>
        <row r="1033">
          <cell r="B1033" t="str">
            <v>MO005</v>
          </cell>
          <cell r="C1033" t="str">
            <v>AYUDANTE ENTENDIDO</v>
          </cell>
          <cell r="D1033">
            <v>8051.6465000000007</v>
          </cell>
          <cell r="E1033"/>
          <cell r="F1033">
            <v>8051.6465000000007</v>
          </cell>
          <cell r="G1033">
            <v>0.8</v>
          </cell>
          <cell r="H1033">
            <v>6441.3172000000013</v>
          </cell>
          <cell r="I1033"/>
        </row>
        <row r="1034">
          <cell r="B1034" t="str">
            <v>MO006</v>
          </cell>
          <cell r="C1034" t="str">
            <v>AYUDANTE</v>
          </cell>
          <cell r="D1034">
            <v>6801.6465000000007</v>
          </cell>
          <cell r="E1034"/>
          <cell r="F1034">
            <v>6801.6465000000007</v>
          </cell>
          <cell r="G1034">
            <v>0.8</v>
          </cell>
          <cell r="H1034">
            <v>5441.3172000000013</v>
          </cell>
          <cell r="I1034"/>
        </row>
        <row r="1035">
          <cell r="B1035" t="str">
            <v>MO001</v>
          </cell>
          <cell r="C1035" t="str">
            <v>TOPOGRAFO</v>
          </cell>
          <cell r="D1035">
            <v>14826.936907575571</v>
          </cell>
          <cell r="E1035"/>
          <cell r="F1035">
            <v>14826.936907575571</v>
          </cell>
          <cell r="G1035">
            <v>0.02</v>
          </cell>
          <cell r="H1035">
            <v>296.53873815151144</v>
          </cell>
          <cell r="I1035"/>
        </row>
        <row r="1036">
          <cell r="B1036" t="str">
            <v>MO002</v>
          </cell>
          <cell r="C1036" t="str">
            <v>CADENERO 1</v>
          </cell>
          <cell r="D1036">
            <v>10985.571938383713</v>
          </cell>
          <cell r="E1036"/>
          <cell r="F1036">
            <v>10985.571938383713</v>
          </cell>
          <cell r="G1036">
            <v>0.02</v>
          </cell>
          <cell r="H1036">
            <v>219.71143876767428</v>
          </cell>
          <cell r="I1036"/>
        </row>
        <row r="1037">
          <cell r="B1037"/>
          <cell r="C1037"/>
          <cell r="D1037"/>
          <cell r="E1037"/>
          <cell r="F1037"/>
          <cell r="G1037"/>
          <cell r="H1037"/>
          <cell r="I1037"/>
        </row>
        <row r="1038">
          <cell r="B1038"/>
          <cell r="C1038"/>
          <cell r="D1038"/>
          <cell r="E1038"/>
          <cell r="F1038" t="str">
            <v>Sub-Total</v>
          </cell>
          <cell r="G1038" t="str">
            <v>4.2</v>
          </cell>
          <cell r="H1038" t="str">
            <v>MDEO-4.2</v>
          </cell>
          <cell r="I1038">
            <v>19840.201776919188</v>
          </cell>
        </row>
        <row r="1039">
          <cell r="B1039"/>
          <cell r="C1039"/>
          <cell r="D1039"/>
          <cell r="E1039"/>
          <cell r="F1039"/>
          <cell r="G1039"/>
          <cell r="H1039"/>
          <cell r="I1039">
            <v>992.01008884595944</v>
          </cell>
        </row>
        <row r="1040">
          <cell r="B1040"/>
          <cell r="C1040"/>
          <cell r="D1040"/>
          <cell r="E1040"/>
          <cell r="F1040" t="str">
            <v>Total Costo Directo</v>
          </cell>
          <cell r="G1040"/>
          <cell r="H1040"/>
          <cell r="I1040">
            <v>60221</v>
          </cell>
        </row>
        <row r="1041">
          <cell r="B1041"/>
          <cell r="C1041"/>
          <cell r="D1041"/>
          <cell r="E1041" t="str">
            <v>PORCENTAJE</v>
          </cell>
          <cell r="F1041"/>
          <cell r="G1041" t="str">
            <v>V. COSTO INDERECTO</v>
          </cell>
          <cell r="H1041"/>
          <cell r="I1041"/>
        </row>
        <row r="1042">
          <cell r="B1042"/>
          <cell r="C1042"/>
          <cell r="D1042"/>
          <cell r="E1042">
            <v>0.02</v>
          </cell>
          <cell r="F1042"/>
          <cell r="G1042">
            <v>1204.42</v>
          </cell>
          <cell r="H1042"/>
          <cell r="I1042"/>
        </row>
        <row r="1043">
          <cell r="B1043"/>
          <cell r="C1043"/>
          <cell r="D1043"/>
          <cell r="E1043">
            <v>0.23</v>
          </cell>
          <cell r="F1043"/>
          <cell r="G1043">
            <v>13850.83</v>
          </cell>
          <cell r="H1043"/>
          <cell r="I1043"/>
        </row>
        <row r="1044">
          <cell r="B1044"/>
          <cell r="C1044"/>
          <cell r="D1044"/>
          <cell r="E1044">
            <v>0.05</v>
          </cell>
          <cell r="F1044"/>
          <cell r="G1044">
            <v>3011.05</v>
          </cell>
          <cell r="H1044"/>
          <cell r="I1044"/>
        </row>
        <row r="1045">
          <cell r="B1045"/>
          <cell r="C1045"/>
          <cell r="D1045"/>
          <cell r="E1045">
            <v>0.02</v>
          </cell>
          <cell r="F1045"/>
          <cell r="G1045">
            <v>1204.42</v>
          </cell>
          <cell r="H1045"/>
          <cell r="I1045"/>
        </row>
        <row r="1046">
          <cell r="B1046"/>
          <cell r="C1046"/>
          <cell r="D1046"/>
          <cell r="E1046"/>
          <cell r="F1046"/>
          <cell r="G1046"/>
          <cell r="H1046"/>
          <cell r="I1046">
            <v>19270.72</v>
          </cell>
        </row>
        <row r="1047">
          <cell r="B1047"/>
          <cell r="C1047"/>
          <cell r="D1047"/>
          <cell r="E1047"/>
          <cell r="F1047"/>
          <cell r="G1047"/>
          <cell r="H1047"/>
          <cell r="I1047">
            <v>79491.72</v>
          </cell>
        </row>
        <row r="1048">
          <cell r="B1048"/>
          <cell r="C1048"/>
          <cell r="D1048"/>
          <cell r="E1048"/>
          <cell r="F1048"/>
          <cell r="G1048"/>
          <cell r="H1048"/>
          <cell r="I1048"/>
        </row>
        <row r="1049">
          <cell r="B1049"/>
          <cell r="C1049"/>
          <cell r="D1049"/>
          <cell r="E1049"/>
          <cell r="F1049" t="str">
            <v>REVISA</v>
          </cell>
          <cell r="G1049"/>
          <cell r="H1049"/>
          <cell r="I1049"/>
        </row>
        <row r="1050">
          <cell r="B1050"/>
          <cell r="C1050"/>
          <cell r="D1050"/>
          <cell r="E1050"/>
          <cell r="F1050" t="str">
            <v>FIRMA:</v>
          </cell>
          <cell r="G1050"/>
          <cell r="H1050"/>
          <cell r="I1050"/>
        </row>
        <row r="1051">
          <cell r="B1051" t="str">
            <v>LINA MARCELA</v>
          </cell>
          <cell r="C1051"/>
          <cell r="F1051" t="str">
            <v>NOMBRE</v>
          </cell>
          <cell r="G1051"/>
          <cell r="H1051"/>
          <cell r="I1051"/>
        </row>
        <row r="1052">
          <cell r="B1052" t="str">
            <v>05202-316814 ANT</v>
          </cell>
          <cell r="C1052"/>
          <cell r="F1052" t="str">
            <v>MAT:</v>
          </cell>
          <cell r="G1052"/>
          <cell r="H1052"/>
          <cell r="I1052"/>
        </row>
        <row r="1053">
          <cell r="B1053"/>
          <cell r="C1053"/>
          <cell r="F1053"/>
          <cell r="G1053"/>
          <cell r="H1053"/>
          <cell r="I1053"/>
        </row>
        <row r="1054">
          <cell r="B1054"/>
          <cell r="C1054"/>
          <cell r="D1054"/>
          <cell r="E1054"/>
          <cell r="F1054"/>
          <cell r="G1054"/>
          <cell r="H1054"/>
          <cell r="I1054"/>
        </row>
        <row r="1055">
          <cell r="B1055"/>
          <cell r="C1055"/>
          <cell r="D1055"/>
          <cell r="E1055"/>
          <cell r="F1055"/>
          <cell r="G1055"/>
          <cell r="H1055"/>
          <cell r="I1055"/>
        </row>
        <row r="1056">
          <cell r="B1056"/>
          <cell r="C1056"/>
          <cell r="D1056"/>
          <cell r="E1056"/>
          <cell r="F1056"/>
          <cell r="G1056"/>
          <cell r="H1056"/>
          <cell r="I1056"/>
        </row>
        <row r="1057">
          <cell r="I1057"/>
        </row>
        <row r="1058">
          <cell r="B1058"/>
          <cell r="C1058"/>
          <cell r="D1058"/>
          <cell r="E1058"/>
          <cell r="F1058"/>
          <cell r="G1058"/>
          <cell r="H1058"/>
          <cell r="I1058"/>
        </row>
        <row r="1059">
          <cell r="B1059" t="str">
            <v>4.3</v>
          </cell>
          <cell r="C1059" t="str">
            <v>DESCRIPCION:</v>
          </cell>
          <cell r="D1059" t="str">
            <v>ANDEN EN CONCRE TEXTURIADO CON TABLETA 20*20 TACTIL Y 10*20 SEÑALIZADO</v>
          </cell>
          <cell r="E1059"/>
          <cell r="F1059"/>
          <cell r="G1059"/>
          <cell r="H1059"/>
          <cell r="I1059"/>
        </row>
        <row r="1060">
          <cell r="B1060" t="str">
            <v>PAR-07</v>
          </cell>
          <cell r="C1060"/>
          <cell r="D1060" t="str">
            <v>UNIDAD</v>
          </cell>
          <cell r="E1060" t="str">
            <v>M2</v>
          </cell>
          <cell r="F1060" t="str">
            <v>CANTIDAD</v>
          </cell>
          <cell r="G1060">
            <v>18157</v>
          </cell>
          <cell r="H1060" t="str">
            <v>V. UNITARIO:</v>
          </cell>
          <cell r="I1060">
            <v>97253</v>
          </cell>
        </row>
        <row r="1061">
          <cell r="B1061"/>
          <cell r="C1061"/>
          <cell r="D1061"/>
          <cell r="E1061"/>
          <cell r="F1061"/>
          <cell r="G1061"/>
          <cell r="H1061"/>
          <cell r="I1061"/>
        </row>
        <row r="1062">
          <cell r="B1062"/>
          <cell r="C1062"/>
          <cell r="D1062"/>
          <cell r="E1062"/>
          <cell r="F1062" t="str">
            <v>Tarifa/Hora</v>
          </cell>
          <cell r="G1062" t="str">
            <v>Rendimiento</v>
          </cell>
          <cell r="H1062" t="str">
            <v>Valor-Unit.</v>
          </cell>
          <cell r="I1062"/>
        </row>
        <row r="1063">
          <cell r="B1063" t="str">
            <v>E018</v>
          </cell>
          <cell r="C1063" t="str">
            <v>LISTON Y VARILLA AJUS. FORMALETA METALICA</v>
          </cell>
          <cell r="D1063"/>
          <cell r="E1063"/>
          <cell r="F1063">
            <v>1000</v>
          </cell>
          <cell r="G1063">
            <v>0.5</v>
          </cell>
          <cell r="H1063">
            <v>500</v>
          </cell>
          <cell r="I1063"/>
        </row>
        <row r="1064">
          <cell r="B1064" t="str">
            <v>E012</v>
          </cell>
          <cell r="C1064" t="str">
            <v>FORMALETA PARA BORDILLO/CUNETA</v>
          </cell>
          <cell r="D1064"/>
          <cell r="E1064"/>
          <cell r="F1064">
            <v>2150</v>
          </cell>
          <cell r="G1064">
            <v>1</v>
          </cell>
          <cell r="H1064">
            <v>2150</v>
          </cell>
          <cell r="I1064"/>
        </row>
        <row r="1065">
          <cell r="B1065"/>
          <cell r="C1065"/>
          <cell r="D1065"/>
          <cell r="E1065"/>
          <cell r="F1065"/>
          <cell r="G1065"/>
          <cell r="H1065"/>
          <cell r="I1065"/>
        </row>
        <row r="1066">
          <cell r="B1066"/>
          <cell r="C1066"/>
          <cell r="D1066"/>
          <cell r="E1066"/>
          <cell r="F1066"/>
          <cell r="G1066"/>
          <cell r="H1066"/>
          <cell r="I1066"/>
        </row>
        <row r="1067">
          <cell r="B1067"/>
          <cell r="C1067"/>
          <cell r="D1067"/>
          <cell r="E1067"/>
          <cell r="F1067"/>
          <cell r="G1067"/>
          <cell r="H1067"/>
          <cell r="I1067"/>
        </row>
        <row r="1068">
          <cell r="B1068"/>
          <cell r="C1068"/>
          <cell r="D1068"/>
          <cell r="E1068"/>
          <cell r="F1068" t="str">
            <v>Sub-Total</v>
          </cell>
          <cell r="G1068" t="str">
            <v>4.3</v>
          </cell>
          <cell r="H1068" t="str">
            <v>EQUI-4.3</v>
          </cell>
          <cell r="I1068">
            <v>2650</v>
          </cell>
        </row>
        <row r="1069">
          <cell r="B1069"/>
          <cell r="C1069"/>
          <cell r="D1069"/>
          <cell r="E1069"/>
          <cell r="F1069"/>
          <cell r="G1069"/>
          <cell r="H1069"/>
          <cell r="I1069"/>
        </row>
        <row r="1070">
          <cell r="B1070"/>
          <cell r="C1070"/>
          <cell r="D1070"/>
          <cell r="E1070" t="str">
            <v>UNIDAD</v>
          </cell>
          <cell r="F1070" t="str">
            <v>V.UNIT</v>
          </cell>
          <cell r="G1070" t="str">
            <v>CANT</v>
          </cell>
          <cell r="H1070" t="str">
            <v>V.TOTAL</v>
          </cell>
          <cell r="I1070"/>
        </row>
        <row r="1071">
          <cell r="B1071" t="str">
            <v>M007</v>
          </cell>
          <cell r="C1071" t="str">
            <v>Concreto 3000psi en obra</v>
          </cell>
          <cell r="D1071"/>
          <cell r="E1071" t="str">
            <v>M3</v>
          </cell>
          <cell r="F1071">
            <v>498450</v>
          </cell>
          <cell r="G1071">
            <v>0.08</v>
          </cell>
          <cell r="H1071">
            <v>39876</v>
          </cell>
          <cell r="I1071"/>
        </row>
        <row r="1072">
          <cell r="B1072" t="str">
            <v>M034</v>
          </cell>
          <cell r="C1072" t="str">
            <v>tableta señalización 0,1*20 m gris</v>
          </cell>
          <cell r="D1072"/>
          <cell r="E1072" t="str">
            <v>UN</v>
          </cell>
          <cell r="F1072">
            <v>1300</v>
          </cell>
          <cell r="G1072">
            <v>5</v>
          </cell>
          <cell r="H1072">
            <v>6500</v>
          </cell>
          <cell r="I1072"/>
        </row>
        <row r="1073">
          <cell r="B1073" t="str">
            <v>M035</v>
          </cell>
          <cell r="C1073" t="str">
            <v>tableta táctil  guía 0,2*,2 m color gris</v>
          </cell>
          <cell r="D1073"/>
          <cell r="E1073" t="str">
            <v>UN</v>
          </cell>
          <cell r="F1073">
            <v>2100</v>
          </cell>
          <cell r="G1073">
            <v>5</v>
          </cell>
          <cell r="H1073">
            <v>10500</v>
          </cell>
          <cell r="I1073"/>
        </row>
        <row r="1074">
          <cell r="B1074" t="str">
            <v>M009</v>
          </cell>
          <cell r="C1074" t="str">
            <v>Malla electrosoldada</v>
          </cell>
          <cell r="D1074"/>
          <cell r="E1074" t="str">
            <v>KG</v>
          </cell>
          <cell r="F1074">
            <v>6200</v>
          </cell>
          <cell r="G1074">
            <v>0.05</v>
          </cell>
          <cell r="H1074">
            <v>310</v>
          </cell>
          <cell r="I1074"/>
        </row>
        <row r="1075">
          <cell r="B1075" t="str">
            <v>M013</v>
          </cell>
          <cell r="C1075" t="str">
            <v>Mortero 1:6 para pega y rebitada</v>
          </cell>
          <cell r="D1075"/>
          <cell r="E1075" t="str">
            <v>M3</v>
          </cell>
          <cell r="F1075">
            <v>403352</v>
          </cell>
          <cell r="G1075">
            <v>6.0000000000000001E-3</v>
          </cell>
          <cell r="H1075">
            <v>2420.1120000000001</v>
          </cell>
          <cell r="I1075"/>
        </row>
        <row r="1076">
          <cell r="B1076"/>
          <cell r="C1076"/>
          <cell r="D1076"/>
          <cell r="E1076"/>
          <cell r="F1076" t="str">
            <v>Sub-Total</v>
          </cell>
          <cell r="G1076" t="str">
            <v>4.3</v>
          </cell>
          <cell r="H1076" t="str">
            <v>MAT-4.3</v>
          </cell>
          <cell r="I1076">
            <v>59606.112000000001</v>
          </cell>
        </row>
        <row r="1077">
          <cell r="B1077"/>
          <cell r="C1077"/>
          <cell r="D1077"/>
          <cell r="E1077"/>
          <cell r="F1077"/>
          <cell r="G1077"/>
          <cell r="H1077"/>
          <cell r="I1077"/>
        </row>
        <row r="1078">
          <cell r="B1078"/>
          <cell r="C1078"/>
          <cell r="D1078" t="str">
            <v xml:space="preserve">CAN </v>
          </cell>
          <cell r="E1078" t="str">
            <v>DISTANCIA</v>
          </cell>
          <cell r="F1078" t="str">
            <v>M3-Km / UN-KM</v>
          </cell>
          <cell r="G1078" t="str">
            <v>TARIFA</v>
          </cell>
          <cell r="H1078" t="str">
            <v>Valor-Unit.</v>
          </cell>
          <cell r="I1078"/>
        </row>
        <row r="1079">
          <cell r="B1079" t="str">
            <v>T007</v>
          </cell>
          <cell r="C1079" t="str">
            <v>TRANS INT TABLETA-ADOQUIN UN</v>
          </cell>
          <cell r="D1079">
            <v>10</v>
          </cell>
          <cell r="E1079">
            <v>1</v>
          </cell>
          <cell r="F1079">
            <v>20</v>
          </cell>
          <cell r="G1079">
            <v>200</v>
          </cell>
          <cell r="H1079">
            <v>4000</v>
          </cell>
          <cell r="I1079"/>
        </row>
        <row r="1080">
          <cell r="B1080"/>
          <cell r="C1080"/>
          <cell r="D1080"/>
          <cell r="E1080"/>
          <cell r="F1080" t="str">
            <v>Sub-Total</v>
          </cell>
          <cell r="G1080" t="str">
            <v>4.3</v>
          </cell>
          <cell r="H1080" t="str">
            <v>TRAN-4.3</v>
          </cell>
          <cell r="I1080">
            <v>4000</v>
          </cell>
        </row>
        <row r="1081">
          <cell r="B1081"/>
          <cell r="C1081"/>
          <cell r="D1081"/>
          <cell r="E1081"/>
          <cell r="F1081"/>
          <cell r="G1081"/>
          <cell r="H1081"/>
          <cell r="I1081"/>
        </row>
        <row r="1082">
          <cell r="B1082"/>
          <cell r="C1082"/>
          <cell r="D1082" t="str">
            <v>JORNAL-HORA</v>
          </cell>
          <cell r="E1082" t="str">
            <v>PRES</v>
          </cell>
          <cell r="F1082" t="str">
            <v>JORNAL TOTAL</v>
          </cell>
          <cell r="G1082" t="str">
            <v>RENDIEMIENTO</v>
          </cell>
          <cell r="H1082" t="str">
            <v>VALOR-UNIT</v>
          </cell>
          <cell r="I1082"/>
        </row>
        <row r="1083">
          <cell r="B1083" t="str">
            <v>MO004</v>
          </cell>
          <cell r="C1083" t="str">
            <v xml:space="preserve">oficial </v>
          </cell>
          <cell r="D1083">
            <v>4833.333333333333</v>
          </cell>
          <cell r="E1083"/>
          <cell r="F1083">
            <v>4833.333333333333</v>
          </cell>
          <cell r="G1083">
            <v>1</v>
          </cell>
          <cell r="H1083">
            <v>4833.333333333333</v>
          </cell>
          <cell r="I1083"/>
        </row>
        <row r="1084">
          <cell r="B1084" t="str">
            <v>MO005</v>
          </cell>
          <cell r="C1084" t="str">
            <v xml:space="preserve">ayudante entendido </v>
          </cell>
          <cell r="D1084">
            <v>4833.333333333333</v>
          </cell>
          <cell r="E1084"/>
          <cell r="F1084">
            <v>4833.333333333333</v>
          </cell>
          <cell r="G1084">
            <v>1</v>
          </cell>
          <cell r="H1084">
            <v>4833.333333333333</v>
          </cell>
          <cell r="I1084"/>
        </row>
        <row r="1085">
          <cell r="B1085" t="str">
            <v>MO006</v>
          </cell>
          <cell r="C1085" t="str">
            <v xml:space="preserve">ayudante </v>
          </cell>
          <cell r="D1085">
            <v>4833.333333333333</v>
          </cell>
          <cell r="E1085"/>
          <cell r="F1085">
            <v>4833.333333333333</v>
          </cell>
          <cell r="G1085">
            <v>4</v>
          </cell>
          <cell r="H1085">
            <v>19333.333333333332</v>
          </cell>
          <cell r="I1085"/>
        </row>
        <row r="1086">
          <cell r="B1086" t="str">
            <v>MO007</v>
          </cell>
          <cell r="C1086" t="str">
            <v>contra maestro</v>
          </cell>
          <cell r="D1086">
            <v>5208.333333333333</v>
          </cell>
          <cell r="E1086"/>
          <cell r="F1086">
            <v>5208.333333333333</v>
          </cell>
          <cell r="G1086">
            <v>0.1</v>
          </cell>
          <cell r="H1086">
            <v>520.83333333333337</v>
          </cell>
          <cell r="I1086"/>
        </row>
        <row r="1087">
          <cell r="B1087"/>
          <cell r="C1087"/>
          <cell r="D1087"/>
          <cell r="E1087"/>
          <cell r="F1087"/>
          <cell r="G1087"/>
          <cell r="H1087"/>
          <cell r="I1087"/>
        </row>
        <row r="1088"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B1089"/>
          <cell r="C1089"/>
          <cell r="D1089"/>
          <cell r="E1089"/>
          <cell r="F1089" t="str">
            <v>Sub-Total</v>
          </cell>
          <cell r="G1089" t="str">
            <v>4.3</v>
          </cell>
          <cell r="H1089" t="str">
            <v>MDEO-4.3</v>
          </cell>
          <cell r="I1089">
            <v>29520.833333333332</v>
          </cell>
        </row>
        <row r="1090">
          <cell r="B1090"/>
          <cell r="C1090"/>
          <cell r="D1090"/>
          <cell r="E1090"/>
          <cell r="F1090"/>
          <cell r="G1090"/>
          <cell r="H1090"/>
          <cell r="I1090">
            <v>1476.0416666666667</v>
          </cell>
        </row>
        <row r="1091">
          <cell r="B1091"/>
          <cell r="C1091"/>
          <cell r="D1091"/>
          <cell r="E1091"/>
          <cell r="F1091" t="str">
            <v>Total Costo Directo</v>
          </cell>
          <cell r="G1091"/>
          <cell r="H1091"/>
          <cell r="I1091">
            <v>97253</v>
          </cell>
        </row>
        <row r="1092">
          <cell r="B1092"/>
          <cell r="C1092"/>
          <cell r="D1092"/>
          <cell r="E1092" t="str">
            <v>PORCENTAJE</v>
          </cell>
          <cell r="F1092"/>
          <cell r="G1092" t="str">
            <v>V. COSTO INDERECTO</v>
          </cell>
          <cell r="H1092"/>
          <cell r="I1092"/>
        </row>
        <row r="1093">
          <cell r="B1093"/>
          <cell r="C1093"/>
          <cell r="D1093"/>
          <cell r="E1093">
            <v>0.02</v>
          </cell>
          <cell r="F1093"/>
          <cell r="G1093">
            <v>1945.06</v>
          </cell>
          <cell r="H1093"/>
          <cell r="I1093"/>
        </row>
        <row r="1094">
          <cell r="B1094"/>
          <cell r="C1094"/>
          <cell r="D1094"/>
          <cell r="E1094">
            <v>0.23</v>
          </cell>
          <cell r="F1094"/>
          <cell r="G1094">
            <v>22368.190000000002</v>
          </cell>
          <cell r="H1094"/>
          <cell r="I1094"/>
        </row>
        <row r="1095">
          <cell r="B1095"/>
          <cell r="C1095"/>
          <cell r="D1095"/>
          <cell r="E1095">
            <v>0.05</v>
          </cell>
          <cell r="F1095"/>
          <cell r="G1095">
            <v>4862.6500000000005</v>
          </cell>
          <cell r="H1095"/>
          <cell r="I1095"/>
        </row>
        <row r="1096">
          <cell r="B1096"/>
          <cell r="C1096"/>
          <cell r="D1096"/>
          <cell r="E1096">
            <v>0.02</v>
          </cell>
          <cell r="F1096"/>
          <cell r="G1096">
            <v>1945.06</v>
          </cell>
          <cell r="H1096"/>
          <cell r="I1096"/>
        </row>
        <row r="1097">
          <cell r="B1097"/>
          <cell r="C1097"/>
          <cell r="D1097"/>
          <cell r="E1097"/>
          <cell r="F1097"/>
          <cell r="G1097"/>
          <cell r="H1097"/>
          <cell r="I1097">
            <v>31120.960000000006</v>
          </cell>
        </row>
        <row r="1098">
          <cell r="B1098"/>
          <cell r="C1098"/>
          <cell r="D1098"/>
          <cell r="E1098"/>
          <cell r="F1098"/>
          <cell r="G1098"/>
          <cell r="H1098"/>
          <cell r="I1098">
            <v>128373.96</v>
          </cell>
        </row>
        <row r="1099">
          <cell r="B1099"/>
          <cell r="C1099"/>
          <cell r="D1099"/>
          <cell r="E1099"/>
          <cell r="F1099"/>
          <cell r="G1099"/>
          <cell r="H1099"/>
          <cell r="I1099"/>
        </row>
        <row r="1100">
          <cell r="B1100"/>
          <cell r="C1100"/>
          <cell r="D1100"/>
          <cell r="E1100"/>
          <cell r="F1100" t="str">
            <v>REVISA</v>
          </cell>
          <cell r="G1100"/>
          <cell r="H1100"/>
          <cell r="I1100"/>
        </row>
        <row r="1101">
          <cell r="B1101"/>
          <cell r="C1101"/>
          <cell r="D1101"/>
          <cell r="E1101"/>
          <cell r="F1101" t="str">
            <v>FIRMA:</v>
          </cell>
          <cell r="G1101"/>
          <cell r="H1101"/>
          <cell r="I1101"/>
        </row>
        <row r="1102">
          <cell r="B1102" t="str">
            <v>LINA MARCELA</v>
          </cell>
          <cell r="C1102"/>
          <cell r="F1102" t="str">
            <v>NOMBRE</v>
          </cell>
          <cell r="G1102"/>
          <cell r="H1102"/>
          <cell r="I1102"/>
        </row>
        <row r="1103">
          <cell r="B1103" t="str">
            <v>05202-316814 ANT</v>
          </cell>
          <cell r="C1103"/>
          <cell r="F1103" t="str">
            <v>MAT:</v>
          </cell>
          <cell r="G1103"/>
          <cell r="H1103"/>
          <cell r="I1103"/>
        </row>
        <row r="1104">
          <cell r="B1104"/>
          <cell r="C1104"/>
          <cell r="F1104"/>
          <cell r="G1104"/>
          <cell r="H1104"/>
          <cell r="I1104"/>
        </row>
        <row r="1105">
          <cell r="B1105"/>
          <cell r="C1105"/>
          <cell r="D1105"/>
          <cell r="E1105"/>
          <cell r="F1105"/>
          <cell r="G1105"/>
          <cell r="H1105"/>
          <cell r="I1105"/>
        </row>
        <row r="1106">
          <cell r="B1106"/>
          <cell r="C1106"/>
          <cell r="D1106"/>
          <cell r="E1106"/>
          <cell r="F1106"/>
          <cell r="G1106"/>
          <cell r="H1106"/>
          <cell r="I1106"/>
        </row>
        <row r="1107">
          <cell r="B1107"/>
          <cell r="C1107"/>
          <cell r="D1107"/>
          <cell r="E1107"/>
          <cell r="F1107"/>
          <cell r="G1107"/>
          <cell r="H1107"/>
          <cell r="I1107"/>
        </row>
        <row r="1108">
          <cell r="I1108"/>
        </row>
        <row r="1109">
          <cell r="B1109"/>
          <cell r="C1109"/>
          <cell r="D1109"/>
          <cell r="E1109"/>
          <cell r="F1109"/>
          <cell r="G1109"/>
          <cell r="H1109"/>
          <cell r="I1109"/>
        </row>
        <row r="1110">
          <cell r="B1110" t="str">
            <v>4.4</v>
          </cell>
          <cell r="C1110" t="str">
            <v>DESCRIPCION:</v>
          </cell>
          <cell r="D1110" t="str">
            <v>PINTURA TIPO TRAFICO, RESALTOS Y CRUCES CICLORUTA</v>
          </cell>
          <cell r="E1110"/>
          <cell r="F1110"/>
          <cell r="G1110"/>
          <cell r="H1110"/>
          <cell r="I1110"/>
        </row>
        <row r="1111">
          <cell r="B1111" t="str">
            <v>710-13</v>
          </cell>
          <cell r="C1111"/>
          <cell r="D1111" t="str">
            <v>UNIDAD</v>
          </cell>
          <cell r="E1111" t="str">
            <v>ML</v>
          </cell>
          <cell r="F1111" t="str">
            <v>CANTIDAD</v>
          </cell>
          <cell r="G1111">
            <v>540</v>
          </cell>
          <cell r="H1111" t="str">
            <v>V. UNITARIO:</v>
          </cell>
          <cell r="I1111">
            <v>13392</v>
          </cell>
        </row>
        <row r="1112">
          <cell r="B1112"/>
          <cell r="C1112"/>
          <cell r="D1112"/>
          <cell r="E1112"/>
          <cell r="F1112"/>
          <cell r="G1112"/>
          <cell r="H1112"/>
          <cell r="I1112"/>
        </row>
        <row r="1113">
          <cell r="B1113"/>
          <cell r="C1113"/>
          <cell r="D1113"/>
          <cell r="E1113"/>
          <cell r="F1113" t="str">
            <v>Tarifa/Hora</v>
          </cell>
          <cell r="G1113" t="str">
            <v>Rendimiento</v>
          </cell>
          <cell r="H1113" t="str">
            <v>Valor-Unit.</v>
          </cell>
          <cell r="I1113"/>
        </row>
        <row r="1114">
          <cell r="B1114" t="str">
            <v>E007</v>
          </cell>
          <cell r="C1114" t="str">
            <v>EQUIPO DE COMPRESOR PARA PINTURA</v>
          </cell>
          <cell r="D1114"/>
          <cell r="E1114"/>
          <cell r="F1114">
            <v>6500</v>
          </cell>
          <cell r="G1114">
            <v>0.2</v>
          </cell>
          <cell r="H1114">
            <v>1300</v>
          </cell>
          <cell r="I1114"/>
        </row>
        <row r="1115">
          <cell r="B1115" t="str">
            <v>E022</v>
          </cell>
          <cell r="C1115" t="str">
            <v>REGLETA, CODAL GUIA</v>
          </cell>
          <cell r="D1115"/>
          <cell r="E1115"/>
          <cell r="F1115">
            <v>1000</v>
          </cell>
          <cell r="G1115">
            <v>0.2</v>
          </cell>
          <cell r="H1115">
            <v>200</v>
          </cell>
          <cell r="I1115"/>
        </row>
        <row r="1116">
          <cell r="B1116"/>
          <cell r="C1116"/>
          <cell r="D1116"/>
          <cell r="E1116"/>
          <cell r="F1116"/>
          <cell r="G1116"/>
          <cell r="H1116"/>
          <cell r="I1116"/>
        </row>
        <row r="1117">
          <cell r="B1117"/>
          <cell r="C1117"/>
          <cell r="D1117"/>
          <cell r="E1117"/>
          <cell r="F1117" t="str">
            <v>Sub-Total</v>
          </cell>
          <cell r="G1117" t="str">
            <v>4.4</v>
          </cell>
          <cell r="H1117" t="str">
            <v>EQUI-4.4</v>
          </cell>
          <cell r="I1117">
            <v>1500</v>
          </cell>
        </row>
        <row r="1118">
          <cell r="B1118"/>
          <cell r="C1118"/>
          <cell r="D1118"/>
          <cell r="E1118"/>
          <cell r="F1118"/>
          <cell r="G1118"/>
          <cell r="H1118"/>
          <cell r="I1118"/>
        </row>
        <row r="1119">
          <cell r="B1119"/>
          <cell r="C1119"/>
          <cell r="D1119"/>
          <cell r="E1119" t="str">
            <v>UNIDAD</v>
          </cell>
          <cell r="F1119" t="str">
            <v>V.UNIT</v>
          </cell>
          <cell r="G1119" t="str">
            <v>CANT</v>
          </cell>
          <cell r="H1119" t="str">
            <v>V.TOTAL</v>
          </cell>
          <cell r="I1119"/>
        </row>
        <row r="1120">
          <cell r="B1120" t="str">
            <v>M023</v>
          </cell>
          <cell r="C1120" t="str">
            <v>pintura trafico</v>
          </cell>
          <cell r="D1120"/>
          <cell r="E1120" t="str">
            <v>GL</v>
          </cell>
          <cell r="F1120">
            <v>145000</v>
          </cell>
          <cell r="G1120">
            <v>0.06</v>
          </cell>
          <cell r="H1120">
            <v>8700</v>
          </cell>
          <cell r="I1120"/>
        </row>
        <row r="1121">
          <cell r="B1121" t="str">
            <v>M011</v>
          </cell>
          <cell r="C1121" t="str">
            <v>disolvente</v>
          </cell>
          <cell r="D1121"/>
          <cell r="E1121" t="str">
            <v>GL</v>
          </cell>
          <cell r="F1121">
            <v>21650</v>
          </cell>
          <cell r="G1121">
            <v>0.06</v>
          </cell>
          <cell r="H1121">
            <v>1299</v>
          </cell>
          <cell r="I1121"/>
        </row>
        <row r="1122">
          <cell r="B1122"/>
          <cell r="C1122"/>
          <cell r="D1122"/>
          <cell r="E1122"/>
          <cell r="F1122" t="str">
            <v>Sub-Total</v>
          </cell>
          <cell r="G1122" t="str">
            <v>4.4</v>
          </cell>
          <cell r="H1122" t="str">
            <v>MAT-4.4</v>
          </cell>
          <cell r="I1122">
            <v>9999</v>
          </cell>
        </row>
        <row r="1123">
          <cell r="B1123"/>
          <cell r="C1123"/>
          <cell r="D1123"/>
          <cell r="E1123"/>
          <cell r="F1123"/>
          <cell r="G1123"/>
          <cell r="H1123"/>
          <cell r="I1123"/>
        </row>
        <row r="1124">
          <cell r="B1124"/>
          <cell r="C1124"/>
          <cell r="D1124" t="str">
            <v xml:space="preserve">CAN </v>
          </cell>
          <cell r="E1124" t="str">
            <v>DISTANCIA</v>
          </cell>
          <cell r="F1124" t="str">
            <v>M3-Km / UN-KM</v>
          </cell>
          <cell r="G1124" t="str">
            <v>TARIFA</v>
          </cell>
          <cell r="H1124" t="str">
            <v>Valor-Unit.</v>
          </cell>
          <cell r="I1124"/>
        </row>
        <row r="1125">
          <cell r="B1125"/>
          <cell r="C1125"/>
          <cell r="D1125"/>
          <cell r="E1125"/>
          <cell r="F1125"/>
          <cell r="G1125"/>
          <cell r="H1125"/>
          <cell r="I1125"/>
        </row>
        <row r="1126">
          <cell r="B1126"/>
          <cell r="C1126"/>
          <cell r="D1126"/>
          <cell r="E1126"/>
          <cell r="F1126" t="str">
            <v>Sub-Total</v>
          </cell>
          <cell r="G1126" t="str">
            <v>4.4</v>
          </cell>
          <cell r="H1126" t="str">
            <v>TRAN-4.4</v>
          </cell>
          <cell r="I1126">
            <v>0</v>
          </cell>
        </row>
        <row r="1127">
          <cell r="B1127"/>
          <cell r="C1127"/>
          <cell r="D1127"/>
          <cell r="E1127"/>
          <cell r="F1127"/>
          <cell r="G1127"/>
          <cell r="H1127"/>
          <cell r="I1127"/>
        </row>
        <row r="1128">
          <cell r="B1128"/>
          <cell r="C1128"/>
          <cell r="D1128" t="str">
            <v>JORNAL-HORA</v>
          </cell>
          <cell r="E1128" t="str">
            <v>PRES</v>
          </cell>
          <cell r="F1128" t="str">
            <v>JORNAL TOTAL</v>
          </cell>
          <cell r="G1128" t="str">
            <v>RENDIEMIENTO</v>
          </cell>
          <cell r="H1128" t="str">
            <v>VALOR-UNIT</v>
          </cell>
          <cell r="I1128"/>
        </row>
        <row r="1129">
          <cell r="B1129" t="str">
            <v>MO004</v>
          </cell>
          <cell r="C1129" t="str">
            <v xml:space="preserve">oficial </v>
          </cell>
          <cell r="D1129">
            <v>4833.333333333333</v>
          </cell>
          <cell r="E1129"/>
          <cell r="F1129">
            <v>4833.333333333333</v>
          </cell>
          <cell r="G1129">
            <v>0.12</v>
          </cell>
          <cell r="H1129">
            <v>579.99999999999989</v>
          </cell>
          <cell r="I1129"/>
        </row>
        <row r="1130">
          <cell r="B1130" t="str">
            <v>MO005</v>
          </cell>
          <cell r="C1130" t="str">
            <v xml:space="preserve">ayudante entendido </v>
          </cell>
          <cell r="D1130">
            <v>4833.333333333333</v>
          </cell>
          <cell r="E1130"/>
          <cell r="F1130">
            <v>4833.333333333333</v>
          </cell>
          <cell r="G1130">
            <v>0.12</v>
          </cell>
          <cell r="H1130">
            <v>579.99999999999989</v>
          </cell>
          <cell r="I1130"/>
        </row>
        <row r="1131">
          <cell r="B1131" t="str">
            <v>MO006</v>
          </cell>
          <cell r="C1131" t="str">
            <v xml:space="preserve">ayudante </v>
          </cell>
          <cell r="D1131">
            <v>4833.333333333333</v>
          </cell>
          <cell r="E1131"/>
          <cell r="F1131">
            <v>4833.333333333333</v>
          </cell>
          <cell r="G1131">
            <v>0.12</v>
          </cell>
          <cell r="H1131">
            <v>579.99999999999989</v>
          </cell>
          <cell r="I1131"/>
        </row>
        <row r="1132">
          <cell r="B1132" t="str">
            <v>MO007</v>
          </cell>
          <cell r="C1132" t="str">
            <v>contra maestro</v>
          </cell>
          <cell r="D1132">
            <v>5208.333333333333</v>
          </cell>
          <cell r="E1132"/>
          <cell r="F1132">
            <v>5208.333333333333</v>
          </cell>
          <cell r="G1132">
            <v>1.2E-2</v>
          </cell>
          <cell r="H1132">
            <v>62.5</v>
          </cell>
          <cell r="I1132"/>
        </row>
        <row r="1133">
          <cell r="B1133"/>
          <cell r="C1133"/>
          <cell r="D1133"/>
          <cell r="E1133"/>
          <cell r="F1133" t="str">
            <v>Sub-Total</v>
          </cell>
          <cell r="G1133" t="str">
            <v>4.4</v>
          </cell>
          <cell r="H1133" t="str">
            <v>MDEO-4.4</v>
          </cell>
          <cell r="I1133">
            <v>1802.4999999999995</v>
          </cell>
        </row>
        <row r="1134">
          <cell r="B1134"/>
          <cell r="C1134"/>
          <cell r="D1134"/>
          <cell r="E1134"/>
          <cell r="F1134"/>
          <cell r="G1134"/>
          <cell r="H1134"/>
          <cell r="I1134">
            <v>90.124999999999986</v>
          </cell>
        </row>
        <row r="1135">
          <cell r="B1135"/>
          <cell r="C1135"/>
          <cell r="D1135"/>
          <cell r="E1135"/>
          <cell r="F1135" t="str">
            <v>Total Costo Directo</v>
          </cell>
          <cell r="G1135"/>
          <cell r="H1135"/>
          <cell r="I1135">
            <v>13392</v>
          </cell>
        </row>
        <row r="1136">
          <cell r="B1136"/>
          <cell r="C1136"/>
          <cell r="D1136"/>
          <cell r="E1136" t="str">
            <v>PORCENTAJE</v>
          </cell>
          <cell r="F1136"/>
          <cell r="G1136" t="str">
            <v>V. COSTO INDERECTO</v>
          </cell>
          <cell r="H1136"/>
          <cell r="I1136"/>
        </row>
        <row r="1137">
          <cell r="B1137"/>
          <cell r="C1137"/>
          <cell r="D1137"/>
          <cell r="E1137">
            <v>0.02</v>
          </cell>
          <cell r="F1137"/>
          <cell r="G1137">
            <v>267.84000000000003</v>
          </cell>
          <cell r="H1137"/>
          <cell r="I1137"/>
        </row>
        <row r="1138">
          <cell r="B1138"/>
          <cell r="C1138"/>
          <cell r="D1138"/>
          <cell r="E1138">
            <v>0.23</v>
          </cell>
          <cell r="F1138"/>
          <cell r="G1138">
            <v>3080.1600000000003</v>
          </cell>
          <cell r="H1138"/>
          <cell r="I1138"/>
        </row>
        <row r="1139">
          <cell r="B1139"/>
          <cell r="C1139"/>
          <cell r="D1139"/>
          <cell r="E1139">
            <v>0.05</v>
          </cell>
          <cell r="F1139"/>
          <cell r="G1139">
            <v>669.6</v>
          </cell>
          <cell r="H1139"/>
          <cell r="I1139"/>
        </row>
        <row r="1140">
          <cell r="B1140"/>
          <cell r="C1140"/>
          <cell r="D1140"/>
          <cell r="E1140">
            <v>0.02</v>
          </cell>
          <cell r="F1140"/>
          <cell r="G1140">
            <v>267.84000000000003</v>
          </cell>
          <cell r="H1140"/>
          <cell r="I1140"/>
        </row>
        <row r="1141">
          <cell r="B1141"/>
          <cell r="C1141"/>
          <cell r="D1141"/>
          <cell r="E1141"/>
          <cell r="F1141"/>
          <cell r="G1141"/>
          <cell r="H1141"/>
          <cell r="I1141">
            <v>4285.4400000000005</v>
          </cell>
        </row>
        <row r="1142">
          <cell r="B1142"/>
          <cell r="C1142"/>
          <cell r="D1142"/>
          <cell r="E1142"/>
          <cell r="F1142"/>
          <cell r="G1142"/>
          <cell r="H1142"/>
          <cell r="I1142">
            <v>17677.440000000002</v>
          </cell>
        </row>
        <row r="1143">
          <cell r="B1143"/>
          <cell r="C1143"/>
          <cell r="D1143"/>
          <cell r="E1143"/>
          <cell r="F1143"/>
          <cell r="G1143"/>
          <cell r="H1143"/>
          <cell r="I1143"/>
        </row>
        <row r="1144">
          <cell r="B1144"/>
          <cell r="C1144"/>
          <cell r="D1144"/>
          <cell r="E1144"/>
          <cell r="F1144" t="str">
            <v>REVISA</v>
          </cell>
          <cell r="G1144"/>
          <cell r="H1144"/>
          <cell r="I1144"/>
        </row>
        <row r="1145">
          <cell r="B1145"/>
          <cell r="C1145"/>
          <cell r="D1145"/>
          <cell r="E1145"/>
          <cell r="F1145" t="str">
            <v>FIRMA:</v>
          </cell>
          <cell r="G1145"/>
          <cell r="H1145"/>
          <cell r="I1145"/>
        </row>
        <row r="1146">
          <cell r="B1146" t="str">
            <v>LINA MARCELA</v>
          </cell>
          <cell r="C1146"/>
          <cell r="F1146" t="str">
            <v>NOMBRE</v>
          </cell>
          <cell r="G1146"/>
          <cell r="H1146"/>
          <cell r="I1146"/>
        </row>
        <row r="1147">
          <cell r="B1147" t="str">
            <v>05202-316814 ANT</v>
          </cell>
          <cell r="C1147"/>
          <cell r="F1147" t="str">
            <v>MAT:</v>
          </cell>
          <cell r="G1147"/>
          <cell r="H1147"/>
          <cell r="I1147"/>
        </row>
        <row r="1148">
          <cell r="B1148"/>
          <cell r="C1148"/>
          <cell r="F1148"/>
          <cell r="G1148"/>
          <cell r="H1148"/>
          <cell r="I1148"/>
        </row>
        <row r="1149">
          <cell r="B1149"/>
          <cell r="C1149"/>
          <cell r="D1149"/>
          <cell r="E1149"/>
          <cell r="F1149"/>
          <cell r="G1149"/>
          <cell r="H1149"/>
          <cell r="I1149"/>
        </row>
        <row r="1150">
          <cell r="B1150"/>
          <cell r="C1150"/>
          <cell r="D1150"/>
          <cell r="E1150"/>
          <cell r="F1150"/>
          <cell r="G1150"/>
          <cell r="H1150"/>
          <cell r="I1150"/>
        </row>
        <row r="1151">
          <cell r="B1151"/>
          <cell r="C1151"/>
          <cell r="D1151"/>
          <cell r="E1151"/>
          <cell r="F1151"/>
          <cell r="G1151"/>
          <cell r="H1151"/>
          <cell r="I1151"/>
        </row>
        <row r="1152">
          <cell r="B1152"/>
          <cell r="C1152"/>
          <cell r="D1152"/>
          <cell r="E1152"/>
          <cell r="F1152"/>
          <cell r="G1152"/>
          <cell r="H1152"/>
          <cell r="I1152"/>
        </row>
        <row r="1153">
          <cell r="B1153" t="str">
            <v>4.5</v>
          </cell>
          <cell r="C1153" t="str">
            <v>DESCRIPCION:</v>
          </cell>
          <cell r="D1153" t="str">
            <v>PISO EN LOSETA CUADRATICA PREFABRICADA TACTIL ALERTA, 20*20 E=60 MM-SE INSTALARÁ SOBRE UNA CAPA DE MORTERO 1:4 DE 4CM.</v>
          </cell>
          <cell r="E1153"/>
          <cell r="F1153"/>
          <cell r="G1153"/>
          <cell r="H1153"/>
          <cell r="I1153"/>
        </row>
        <row r="1154">
          <cell r="B1154" t="str">
            <v>PAR-10</v>
          </cell>
          <cell r="C1154"/>
          <cell r="D1154" t="str">
            <v>UNIDAD</v>
          </cell>
          <cell r="E1154" t="str">
            <v>m2</v>
          </cell>
          <cell r="F1154" t="str">
            <v>CANTIDAD</v>
          </cell>
          <cell r="G1154">
            <v>124</v>
          </cell>
          <cell r="H1154" t="str">
            <v>V. UNITARIO:</v>
          </cell>
          <cell r="I1154">
            <v>89406</v>
          </cell>
        </row>
        <row r="1155"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B1156"/>
          <cell r="C1156"/>
          <cell r="D1156"/>
          <cell r="E1156"/>
          <cell r="F1156" t="str">
            <v>Tarifa/Hora</v>
          </cell>
          <cell r="G1156" t="str">
            <v>Rendimiento</v>
          </cell>
          <cell r="H1156" t="str">
            <v>Valor-Unit.</v>
          </cell>
          <cell r="I1156"/>
        </row>
        <row r="1157">
          <cell r="B1157" t="str">
            <v>E007</v>
          </cell>
          <cell r="C1157"/>
          <cell r="D1157"/>
          <cell r="E1157"/>
          <cell r="F1157"/>
          <cell r="G1157"/>
          <cell r="H1157">
            <v>0</v>
          </cell>
          <cell r="I1157"/>
        </row>
        <row r="1158">
          <cell r="B1158" t="str">
            <v>E022</v>
          </cell>
          <cell r="C1158"/>
          <cell r="D1158"/>
          <cell r="E1158"/>
          <cell r="F1158"/>
          <cell r="G1158"/>
          <cell r="H1158">
            <v>0</v>
          </cell>
          <cell r="I1158"/>
        </row>
        <row r="1159">
          <cell r="B1159"/>
          <cell r="C1159"/>
          <cell r="D1159"/>
          <cell r="E1159"/>
          <cell r="F1159"/>
          <cell r="G1159"/>
          <cell r="H1159"/>
          <cell r="I1159"/>
        </row>
        <row r="1160">
          <cell r="B1160"/>
          <cell r="C1160"/>
          <cell r="D1160"/>
          <cell r="E1160"/>
          <cell r="F1160" t="str">
            <v>Sub-Total</v>
          </cell>
          <cell r="G1160" t="str">
            <v>4.5</v>
          </cell>
          <cell r="H1160" t="str">
            <v>EQUI-4.5</v>
          </cell>
          <cell r="I1160">
            <v>0</v>
          </cell>
        </row>
        <row r="1161">
          <cell r="B1161"/>
          <cell r="C1161"/>
          <cell r="D1161"/>
          <cell r="E1161"/>
          <cell r="F1161"/>
          <cell r="G1161"/>
          <cell r="H1161"/>
          <cell r="I1161"/>
        </row>
        <row r="1162">
          <cell r="B1162"/>
          <cell r="C1162"/>
          <cell r="D1162"/>
          <cell r="E1162" t="str">
            <v>UNIDAD</v>
          </cell>
          <cell r="F1162" t="str">
            <v>V.UNIT</v>
          </cell>
          <cell r="G1162" t="str">
            <v>CANT</v>
          </cell>
          <cell r="H1162" t="str">
            <v>V.TOTAL</v>
          </cell>
          <cell r="I1162"/>
        </row>
        <row r="1163">
          <cell r="B1163" t="str">
            <v>M036</v>
          </cell>
          <cell r="C1163" t="str">
            <v>tableta táctil alerta 20*20</v>
          </cell>
          <cell r="D1163"/>
          <cell r="E1163" t="str">
            <v>UN</v>
          </cell>
          <cell r="F1163">
            <v>2100</v>
          </cell>
          <cell r="G1163">
            <v>25</v>
          </cell>
          <cell r="H1163">
            <v>52500</v>
          </cell>
          <cell r="I1163"/>
        </row>
        <row r="1164">
          <cell r="B1164" t="str">
            <v>M013</v>
          </cell>
          <cell r="C1164" t="str">
            <v>Mortero 1:6 para pega y rebitada</v>
          </cell>
          <cell r="D1164"/>
          <cell r="E1164" t="str">
            <v>M3</v>
          </cell>
          <cell r="F1164">
            <v>403352</v>
          </cell>
          <cell r="G1164">
            <v>0.04</v>
          </cell>
          <cell r="H1164">
            <v>16134.08</v>
          </cell>
          <cell r="I1164"/>
        </row>
        <row r="1165">
          <cell r="B1165"/>
          <cell r="C1165"/>
          <cell r="D1165"/>
          <cell r="E1165"/>
          <cell r="F1165"/>
          <cell r="G1165"/>
          <cell r="H1165"/>
          <cell r="I1165"/>
        </row>
        <row r="1166">
          <cell r="B1166"/>
          <cell r="C1166"/>
          <cell r="D1166"/>
          <cell r="E1166"/>
          <cell r="F1166" t="str">
            <v>Sub-Total</v>
          </cell>
          <cell r="G1166" t="str">
            <v>4.5</v>
          </cell>
          <cell r="H1166" t="str">
            <v>MAT-4.5</v>
          </cell>
          <cell r="I1166">
            <v>68634.080000000002</v>
          </cell>
        </row>
        <row r="1167">
          <cell r="B1167"/>
          <cell r="C1167"/>
          <cell r="D1167"/>
          <cell r="E1167"/>
          <cell r="F1167"/>
          <cell r="G1167"/>
          <cell r="H1167"/>
          <cell r="I1167"/>
        </row>
        <row r="1168">
          <cell r="B1168"/>
          <cell r="C1168"/>
          <cell r="D1168" t="str">
            <v xml:space="preserve">CAN </v>
          </cell>
          <cell r="E1168" t="str">
            <v>DISTANCIA</v>
          </cell>
          <cell r="F1168" t="str">
            <v>M3-Km / UN-KM</v>
          </cell>
          <cell r="G1168" t="str">
            <v>TARIFA</v>
          </cell>
          <cell r="H1168" t="str">
            <v>Valor-Unit.</v>
          </cell>
          <cell r="I1168"/>
        </row>
        <row r="1169">
          <cell r="B1169" t="str">
            <v>T007</v>
          </cell>
          <cell r="C1169" t="str">
            <v>TRANS INT TABLETA-ADOQUIN UN</v>
          </cell>
          <cell r="D1169">
            <v>25</v>
          </cell>
          <cell r="E1169">
            <v>1</v>
          </cell>
          <cell r="F1169">
            <v>25</v>
          </cell>
          <cell r="G1169">
            <v>200</v>
          </cell>
          <cell r="H1169">
            <v>5000</v>
          </cell>
          <cell r="I1169"/>
        </row>
        <row r="1170">
          <cell r="B1170"/>
          <cell r="C1170"/>
          <cell r="D1170"/>
          <cell r="E1170"/>
          <cell r="F1170"/>
          <cell r="G1170"/>
          <cell r="H1170"/>
          <cell r="I1170"/>
        </row>
        <row r="1171">
          <cell r="B1171"/>
          <cell r="C1171"/>
          <cell r="D1171"/>
          <cell r="E1171"/>
          <cell r="F1171" t="str">
            <v>Sub-Total</v>
          </cell>
          <cell r="G1171" t="str">
            <v>4.5</v>
          </cell>
          <cell r="H1171" t="str">
            <v>TRAN-4.5</v>
          </cell>
          <cell r="I1171">
            <v>5000</v>
          </cell>
        </row>
        <row r="1172">
          <cell r="B1172"/>
          <cell r="C1172"/>
          <cell r="D1172"/>
          <cell r="E1172"/>
          <cell r="F1172"/>
          <cell r="G1172"/>
          <cell r="H1172"/>
          <cell r="I1172"/>
        </row>
        <row r="1173">
          <cell r="B1173"/>
          <cell r="C1173"/>
          <cell r="D1173" t="str">
            <v>JORNAL-HORA</v>
          </cell>
          <cell r="E1173" t="str">
            <v>PRES</v>
          </cell>
          <cell r="F1173" t="str">
            <v>JORNAL TOTAL</v>
          </cell>
          <cell r="G1173" t="str">
            <v>RENDIEMIENTO</v>
          </cell>
          <cell r="H1173" t="str">
            <v>VALOR-UNIT</v>
          </cell>
          <cell r="I1173"/>
        </row>
        <row r="1174">
          <cell r="B1174" t="str">
            <v>MO004</v>
          </cell>
          <cell r="C1174" t="str">
            <v xml:space="preserve">oficial </v>
          </cell>
          <cell r="D1174">
            <v>4833.333333333333</v>
          </cell>
          <cell r="E1174"/>
          <cell r="F1174">
            <v>4833.333333333333</v>
          </cell>
          <cell r="G1174">
            <v>1</v>
          </cell>
          <cell r="H1174">
            <v>4833.333333333333</v>
          </cell>
          <cell r="I1174"/>
        </row>
        <row r="1175">
          <cell r="B1175" t="str">
            <v>MO005</v>
          </cell>
          <cell r="C1175" t="str">
            <v xml:space="preserve">ayudante entendido </v>
          </cell>
          <cell r="D1175">
            <v>4833.333333333333</v>
          </cell>
          <cell r="E1175"/>
          <cell r="F1175">
            <v>4833.333333333333</v>
          </cell>
          <cell r="G1175">
            <v>0</v>
          </cell>
          <cell r="H1175">
            <v>0</v>
          </cell>
          <cell r="I1175"/>
        </row>
        <row r="1176">
          <cell r="B1176" t="str">
            <v>MO006</v>
          </cell>
          <cell r="C1176" t="str">
            <v xml:space="preserve">ayudante </v>
          </cell>
          <cell r="D1176">
            <v>4833.333333333333</v>
          </cell>
          <cell r="E1176"/>
          <cell r="F1176">
            <v>4833.333333333333</v>
          </cell>
          <cell r="G1176">
            <v>2</v>
          </cell>
          <cell r="H1176">
            <v>9666.6666666666661</v>
          </cell>
          <cell r="I1176"/>
        </row>
        <row r="1177">
          <cell r="B1177" t="str">
            <v>MO007</v>
          </cell>
          <cell r="C1177" t="str">
            <v>contra maestro</v>
          </cell>
          <cell r="D1177">
            <v>5208.333333333333</v>
          </cell>
          <cell r="E1177"/>
          <cell r="F1177">
            <v>5208.333333333333</v>
          </cell>
          <cell r="G1177">
            <v>0.1</v>
          </cell>
          <cell r="H1177">
            <v>520.83333333333337</v>
          </cell>
          <cell r="I1177"/>
        </row>
        <row r="1178">
          <cell r="B1178"/>
          <cell r="C1178"/>
          <cell r="D1178"/>
          <cell r="E1178"/>
          <cell r="F1178" t="str">
            <v>Sub-Total</v>
          </cell>
          <cell r="G1178" t="str">
            <v>4.5</v>
          </cell>
          <cell r="H1178" t="str">
            <v>MDEO-4.5</v>
          </cell>
          <cell r="I1178">
            <v>15020.833333333334</v>
          </cell>
        </row>
        <row r="1179">
          <cell r="B1179"/>
          <cell r="C1179"/>
          <cell r="D1179"/>
          <cell r="E1179"/>
          <cell r="F1179"/>
          <cell r="G1179"/>
          <cell r="H1179"/>
          <cell r="I1179">
            <v>751.04166666666674</v>
          </cell>
        </row>
        <row r="1180">
          <cell r="B1180"/>
          <cell r="C1180"/>
          <cell r="D1180"/>
          <cell r="E1180"/>
          <cell r="F1180" t="str">
            <v>Total Costo Directo</v>
          </cell>
          <cell r="G1180"/>
          <cell r="H1180"/>
          <cell r="I1180">
            <v>89406</v>
          </cell>
        </row>
        <row r="1181">
          <cell r="B1181"/>
          <cell r="C1181"/>
          <cell r="D1181"/>
          <cell r="E1181" t="str">
            <v>PORCENTAJE</v>
          </cell>
          <cell r="F1181"/>
          <cell r="G1181" t="str">
            <v>V. COSTO INDERECTO</v>
          </cell>
          <cell r="H1181"/>
          <cell r="I1181"/>
        </row>
        <row r="1182">
          <cell r="B1182"/>
          <cell r="C1182"/>
          <cell r="D1182"/>
          <cell r="E1182">
            <v>0.02</v>
          </cell>
          <cell r="F1182"/>
          <cell r="G1182">
            <v>1788.1200000000001</v>
          </cell>
          <cell r="H1182"/>
          <cell r="I1182"/>
        </row>
        <row r="1183">
          <cell r="B1183"/>
          <cell r="C1183"/>
          <cell r="D1183"/>
          <cell r="E1183">
            <v>0.23</v>
          </cell>
          <cell r="F1183"/>
          <cell r="G1183">
            <v>20563.38</v>
          </cell>
          <cell r="H1183"/>
          <cell r="I1183"/>
        </row>
        <row r="1184">
          <cell r="B1184"/>
          <cell r="C1184"/>
          <cell r="D1184"/>
          <cell r="E1184">
            <v>0.05</v>
          </cell>
          <cell r="F1184"/>
          <cell r="G1184">
            <v>4470.3</v>
          </cell>
          <cell r="H1184"/>
          <cell r="I1184"/>
        </row>
        <row r="1185">
          <cell r="B1185"/>
          <cell r="C1185"/>
          <cell r="D1185"/>
          <cell r="E1185">
            <v>0.02</v>
          </cell>
          <cell r="F1185"/>
          <cell r="G1185">
            <v>1788.1200000000001</v>
          </cell>
          <cell r="H1185"/>
          <cell r="I1185"/>
        </row>
        <row r="1186">
          <cell r="B1186"/>
          <cell r="C1186"/>
          <cell r="D1186"/>
          <cell r="E1186"/>
          <cell r="F1186"/>
          <cell r="G1186"/>
          <cell r="H1186"/>
          <cell r="I1186">
            <v>28609.919999999998</v>
          </cell>
        </row>
        <row r="1187">
          <cell r="B1187"/>
          <cell r="C1187"/>
          <cell r="D1187"/>
          <cell r="E1187"/>
          <cell r="F1187"/>
          <cell r="G1187"/>
          <cell r="H1187"/>
          <cell r="I1187">
            <v>118015.92</v>
          </cell>
        </row>
        <row r="1188">
          <cell r="B1188"/>
          <cell r="C1188"/>
          <cell r="D1188"/>
          <cell r="E1188"/>
          <cell r="F1188"/>
          <cell r="G1188"/>
          <cell r="H1188"/>
          <cell r="I1188"/>
        </row>
        <row r="1189">
          <cell r="B1189"/>
          <cell r="C1189"/>
          <cell r="D1189"/>
          <cell r="E1189"/>
          <cell r="F1189" t="str">
            <v>REVISA</v>
          </cell>
          <cell r="G1189"/>
          <cell r="H1189"/>
          <cell r="I1189"/>
        </row>
        <row r="1190">
          <cell r="B1190"/>
          <cell r="C1190"/>
          <cell r="D1190"/>
          <cell r="E1190"/>
          <cell r="F1190" t="str">
            <v>FIRMA:</v>
          </cell>
          <cell r="G1190"/>
          <cell r="H1190"/>
          <cell r="I1190"/>
        </row>
        <row r="1191">
          <cell r="B1191" t="str">
            <v>LINA MARCELA</v>
          </cell>
          <cell r="C1191"/>
          <cell r="F1191" t="str">
            <v>NOMBRE</v>
          </cell>
          <cell r="G1191"/>
          <cell r="H1191"/>
          <cell r="I1191"/>
        </row>
        <row r="1192">
          <cell r="B1192" t="str">
            <v>05202-316814 ANT</v>
          </cell>
          <cell r="C1192"/>
          <cell r="F1192" t="str">
            <v>MAT:</v>
          </cell>
          <cell r="G1192"/>
          <cell r="H1192"/>
          <cell r="I1192"/>
        </row>
        <row r="1193">
          <cell r="B1193"/>
          <cell r="C1193"/>
          <cell r="F1193"/>
          <cell r="G1193"/>
          <cell r="H1193"/>
          <cell r="I1193"/>
        </row>
        <row r="1194">
          <cell r="B1194"/>
          <cell r="C1194"/>
          <cell r="D1194"/>
          <cell r="E1194"/>
          <cell r="F1194"/>
          <cell r="G1194"/>
          <cell r="H1194"/>
          <cell r="I1194"/>
        </row>
        <row r="1195">
          <cell r="B1195"/>
          <cell r="C1195"/>
          <cell r="D1195"/>
          <cell r="E1195"/>
          <cell r="F1195"/>
          <cell r="G1195"/>
          <cell r="H1195"/>
          <cell r="I1195"/>
        </row>
        <row r="1196">
          <cell r="B1196"/>
          <cell r="C1196"/>
          <cell r="D1196"/>
          <cell r="E1196"/>
          <cell r="F1196"/>
          <cell r="G1196"/>
          <cell r="H1196"/>
          <cell r="I1196"/>
        </row>
        <row r="1197">
          <cell r="I1197"/>
        </row>
        <row r="1198">
          <cell r="B1198"/>
          <cell r="C1198"/>
          <cell r="D1198"/>
          <cell r="E1198"/>
          <cell r="F1198"/>
          <cell r="G1198"/>
          <cell r="H1198"/>
          <cell r="I1198"/>
        </row>
        <row r="1199">
          <cell r="B1199" t="str">
            <v>4.6</v>
          </cell>
          <cell r="C1199" t="str">
            <v>DESCRIPCION:</v>
          </cell>
          <cell r="D1199" t="str">
            <v>CONCRETO REFORZADO 21MPA PARA VIGA DE CIERRE ANDENES, ZONAS VERDES</v>
          </cell>
          <cell r="E1199"/>
          <cell r="F1199"/>
          <cell r="G1199"/>
          <cell r="H1199"/>
          <cell r="I1199"/>
        </row>
        <row r="1200">
          <cell r="B1200" t="str">
            <v>630-13A</v>
          </cell>
          <cell r="C1200"/>
          <cell r="D1200" t="str">
            <v>UNIDAD</v>
          </cell>
          <cell r="E1200" t="str">
            <v>M3</v>
          </cell>
          <cell r="F1200" t="str">
            <v>CANTIDAD</v>
          </cell>
          <cell r="G1200">
            <v>454</v>
          </cell>
          <cell r="H1200" t="str">
            <v>V. UNITARIO:</v>
          </cell>
          <cell r="I1200">
            <v>730651</v>
          </cell>
        </row>
        <row r="1201"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B1202"/>
          <cell r="C1202"/>
          <cell r="D1202"/>
          <cell r="E1202"/>
          <cell r="F1202" t="str">
            <v>Tarifa/Hora</v>
          </cell>
          <cell r="G1202" t="str">
            <v>Rendimiento</v>
          </cell>
          <cell r="H1202" t="str">
            <v>Valor-Unit.</v>
          </cell>
          <cell r="I1202"/>
        </row>
        <row r="1203">
          <cell r="B1203" t="str">
            <v>E027</v>
          </cell>
          <cell r="C1203" t="str">
            <v>VIBRADOR DE AGUJA</v>
          </cell>
          <cell r="D1203"/>
          <cell r="E1203"/>
          <cell r="F1203">
            <v>4375</v>
          </cell>
          <cell r="G1203">
            <v>1</v>
          </cell>
          <cell r="H1203">
            <v>4375</v>
          </cell>
          <cell r="I1203"/>
        </row>
        <row r="1204">
          <cell r="B1204" t="str">
            <v>E018</v>
          </cell>
          <cell r="C1204" t="str">
            <v>LISTON Y VARILLA AJUS. FORMALETA METALICA</v>
          </cell>
          <cell r="D1204"/>
          <cell r="E1204"/>
          <cell r="F1204">
            <v>1000</v>
          </cell>
          <cell r="G1204">
            <v>0.5</v>
          </cell>
          <cell r="H1204">
            <v>500</v>
          </cell>
          <cell r="I1204"/>
        </row>
        <row r="1205">
          <cell r="B1205" t="str">
            <v>E012</v>
          </cell>
          <cell r="C1205" t="str">
            <v>FORMALETA PARA BORDILLO/CUNETA</v>
          </cell>
          <cell r="D1205"/>
          <cell r="E1205"/>
          <cell r="F1205">
            <v>2150</v>
          </cell>
          <cell r="G1205">
            <v>1</v>
          </cell>
          <cell r="H1205">
            <v>2150</v>
          </cell>
          <cell r="I1205"/>
        </row>
        <row r="1206">
          <cell r="B1206"/>
          <cell r="C1206"/>
          <cell r="D1206"/>
          <cell r="E1206"/>
          <cell r="F1206" t="str">
            <v>Sub-Total</v>
          </cell>
          <cell r="G1206" t="str">
            <v>4.6</v>
          </cell>
          <cell r="H1206" t="str">
            <v>EQUI-4.6</v>
          </cell>
          <cell r="I1206">
            <v>7025</v>
          </cell>
        </row>
        <row r="1207">
          <cell r="B1207"/>
          <cell r="C1207"/>
          <cell r="D1207"/>
          <cell r="E1207"/>
          <cell r="F1207"/>
          <cell r="G1207"/>
          <cell r="H1207"/>
          <cell r="I1207"/>
        </row>
        <row r="1208">
          <cell r="B1208"/>
          <cell r="C1208"/>
          <cell r="D1208"/>
          <cell r="E1208" t="str">
            <v>UNIDAD</v>
          </cell>
          <cell r="F1208" t="str">
            <v>V.UNIT</v>
          </cell>
          <cell r="G1208" t="str">
            <v>CANT</v>
          </cell>
          <cell r="H1208" t="str">
            <v>V.TOTAL</v>
          </cell>
          <cell r="I1208"/>
        </row>
        <row r="1209">
          <cell r="B1209" t="str">
            <v>M007</v>
          </cell>
          <cell r="C1209" t="str">
            <v>Concreto 3000psi en obra</v>
          </cell>
          <cell r="D1209"/>
          <cell r="E1209" t="str">
            <v>M3</v>
          </cell>
          <cell r="F1209">
            <v>498450</v>
          </cell>
          <cell r="G1209">
            <v>1</v>
          </cell>
          <cell r="H1209">
            <v>498450</v>
          </cell>
          <cell r="I1209"/>
        </row>
        <row r="1210">
          <cell r="B1210" t="str">
            <v>M002</v>
          </cell>
          <cell r="C1210" t="str">
            <v>Acero  60000 psi</v>
          </cell>
          <cell r="D1210"/>
          <cell r="E1210" t="str">
            <v>KG</v>
          </cell>
          <cell r="F1210">
            <v>6913</v>
          </cell>
          <cell r="G1210">
            <v>25</v>
          </cell>
          <cell r="H1210">
            <v>172825</v>
          </cell>
          <cell r="I1210"/>
        </row>
        <row r="1211">
          <cell r="B1211" t="str">
            <v>M001</v>
          </cell>
          <cell r="C1211" t="str">
            <v>Alambre quemado</v>
          </cell>
          <cell r="D1211"/>
          <cell r="E1211" t="str">
            <v>KG</v>
          </cell>
          <cell r="F1211">
            <v>8321</v>
          </cell>
          <cell r="G1211">
            <v>0.8</v>
          </cell>
          <cell r="H1211">
            <v>6656.8</v>
          </cell>
          <cell r="I1211"/>
        </row>
        <row r="1212">
          <cell r="B1212"/>
          <cell r="C1212"/>
          <cell r="D1212"/>
          <cell r="E1212"/>
          <cell r="F1212" t="str">
            <v>Sub-Total</v>
          </cell>
          <cell r="G1212" t="str">
            <v>4.6</v>
          </cell>
          <cell r="H1212" t="str">
            <v>MAT-4.6</v>
          </cell>
          <cell r="I1212">
            <v>677931.8</v>
          </cell>
        </row>
        <row r="1213">
          <cell r="B1213"/>
          <cell r="C1213"/>
          <cell r="D1213"/>
          <cell r="E1213"/>
          <cell r="F1213"/>
          <cell r="G1213"/>
          <cell r="H1213"/>
          <cell r="I1213"/>
        </row>
        <row r="1214">
          <cell r="B1214"/>
          <cell r="C1214"/>
          <cell r="D1214" t="str">
            <v xml:space="preserve">CAN </v>
          </cell>
          <cell r="E1214" t="str">
            <v>DISTANCIA</v>
          </cell>
          <cell r="F1214" t="str">
            <v>M3-Km / UN-KM</v>
          </cell>
          <cell r="G1214" t="str">
            <v>TARIFA</v>
          </cell>
          <cell r="H1214" t="str">
            <v>Valor-Unit.</v>
          </cell>
          <cell r="I1214"/>
        </row>
        <row r="1215">
          <cell r="B1215" t="str">
            <v>T001</v>
          </cell>
          <cell r="C1215" t="str">
            <v>TRANS INT CONCRETO M3</v>
          </cell>
          <cell r="D1215">
            <v>1</v>
          </cell>
          <cell r="E1215">
            <v>1</v>
          </cell>
          <cell r="F1215">
            <v>1</v>
          </cell>
          <cell r="G1215">
            <v>4000</v>
          </cell>
          <cell r="H1215">
            <v>4000</v>
          </cell>
          <cell r="I1215"/>
        </row>
        <row r="1216">
          <cell r="B1216"/>
          <cell r="C1216"/>
          <cell r="D1216"/>
          <cell r="E1216"/>
          <cell r="F1216" t="str">
            <v>Sub-Total</v>
          </cell>
          <cell r="G1216" t="str">
            <v>4.6</v>
          </cell>
          <cell r="H1216" t="str">
            <v>TRAN-4.6</v>
          </cell>
          <cell r="I1216">
            <v>4000</v>
          </cell>
        </row>
        <row r="1217">
          <cell r="B1217"/>
          <cell r="C1217"/>
          <cell r="D1217"/>
          <cell r="E1217"/>
          <cell r="F1217"/>
          <cell r="G1217"/>
          <cell r="H1217"/>
          <cell r="I1217"/>
        </row>
        <row r="1218">
          <cell r="B1218"/>
          <cell r="C1218"/>
          <cell r="D1218" t="str">
            <v>JORNAL-HORA</v>
          </cell>
          <cell r="E1218" t="str">
            <v>PRES</v>
          </cell>
          <cell r="F1218" t="str">
            <v>JORNAL TOTAL</v>
          </cell>
          <cell r="G1218" t="str">
            <v>RENDIEMIENTO</v>
          </cell>
          <cell r="H1218" t="str">
            <v>VALOR-UNIT</v>
          </cell>
          <cell r="I1218"/>
        </row>
        <row r="1219">
          <cell r="B1219" t="str">
            <v>MO004</v>
          </cell>
          <cell r="C1219" t="str">
            <v xml:space="preserve">oficial </v>
          </cell>
          <cell r="D1219">
            <v>4833.333333333333</v>
          </cell>
          <cell r="E1219"/>
          <cell r="F1219">
            <v>4833.333333333333</v>
          </cell>
          <cell r="G1219">
            <v>2</v>
          </cell>
          <cell r="H1219">
            <v>9666.6666666666661</v>
          </cell>
          <cell r="I1219"/>
        </row>
        <row r="1220">
          <cell r="B1220" t="str">
            <v>MO005</v>
          </cell>
          <cell r="C1220" t="str">
            <v xml:space="preserve">ayudante entendido </v>
          </cell>
          <cell r="D1220">
            <v>4833.333333333333</v>
          </cell>
          <cell r="E1220"/>
          <cell r="F1220">
            <v>4833.333333333333</v>
          </cell>
          <cell r="G1220">
            <v>1</v>
          </cell>
          <cell r="H1220">
            <v>4833.333333333333</v>
          </cell>
          <cell r="I1220"/>
        </row>
        <row r="1221">
          <cell r="B1221" t="str">
            <v>MO006</v>
          </cell>
          <cell r="C1221" t="str">
            <v xml:space="preserve">ayudante </v>
          </cell>
          <cell r="D1221">
            <v>4833.333333333333</v>
          </cell>
          <cell r="E1221"/>
          <cell r="F1221">
            <v>4833.333333333333</v>
          </cell>
          <cell r="G1221">
            <v>5</v>
          </cell>
          <cell r="H1221">
            <v>24166.666666666664</v>
          </cell>
          <cell r="I1221"/>
        </row>
        <row r="1222">
          <cell r="B1222" t="str">
            <v>MO007</v>
          </cell>
          <cell r="C1222" t="str">
            <v>contra maestro</v>
          </cell>
          <cell r="D1222">
            <v>5208.333333333333</v>
          </cell>
          <cell r="E1222"/>
          <cell r="F1222">
            <v>5208.333333333333</v>
          </cell>
          <cell r="G1222">
            <v>0.2</v>
          </cell>
          <cell r="H1222">
            <v>1041.6666666666667</v>
          </cell>
          <cell r="I1222"/>
        </row>
        <row r="1223">
          <cell r="B1223"/>
          <cell r="C1223"/>
          <cell r="D1223"/>
          <cell r="E1223"/>
          <cell r="F1223" t="str">
            <v>Sub-Total</v>
          </cell>
          <cell r="G1223" t="str">
            <v>4.6</v>
          </cell>
          <cell r="H1223" t="str">
            <v>MDEO-4.6</v>
          </cell>
          <cell r="I1223">
            <v>39708.333333333328</v>
          </cell>
        </row>
        <row r="1224">
          <cell r="B1224"/>
          <cell r="C1224"/>
          <cell r="D1224"/>
          <cell r="E1224"/>
          <cell r="F1224"/>
          <cell r="G1224"/>
          <cell r="H1224"/>
          <cell r="I1224">
            <v>1985.4166666666665</v>
          </cell>
        </row>
        <row r="1225">
          <cell r="B1225"/>
          <cell r="C1225"/>
          <cell r="D1225"/>
          <cell r="E1225"/>
          <cell r="F1225" t="str">
            <v>Total Costo Directo</v>
          </cell>
          <cell r="G1225"/>
          <cell r="H1225"/>
          <cell r="I1225">
            <v>730651</v>
          </cell>
        </row>
        <row r="1226">
          <cell r="B1226"/>
          <cell r="C1226"/>
          <cell r="D1226"/>
          <cell r="E1226" t="str">
            <v>PORCENTAJE</v>
          </cell>
          <cell r="F1226"/>
          <cell r="G1226" t="str">
            <v>V. COSTO INDERECTO</v>
          </cell>
          <cell r="H1226"/>
          <cell r="I1226"/>
        </row>
        <row r="1227">
          <cell r="B1227"/>
          <cell r="C1227"/>
          <cell r="D1227"/>
          <cell r="E1227">
            <v>0.02</v>
          </cell>
          <cell r="F1227"/>
          <cell r="G1227">
            <v>14613.02</v>
          </cell>
          <cell r="H1227"/>
          <cell r="I1227"/>
        </row>
        <row r="1228">
          <cell r="B1228"/>
          <cell r="C1228"/>
          <cell r="D1228"/>
          <cell r="E1228">
            <v>0.23</v>
          </cell>
          <cell r="F1228"/>
          <cell r="G1228">
            <v>168049.73</v>
          </cell>
          <cell r="H1228"/>
          <cell r="I1228"/>
        </row>
        <row r="1229">
          <cell r="B1229"/>
          <cell r="C1229"/>
          <cell r="D1229"/>
          <cell r="E1229">
            <v>0.05</v>
          </cell>
          <cell r="F1229"/>
          <cell r="G1229">
            <v>36532.550000000003</v>
          </cell>
          <cell r="H1229"/>
          <cell r="I1229"/>
        </row>
        <row r="1230">
          <cell r="B1230"/>
          <cell r="C1230"/>
          <cell r="D1230"/>
          <cell r="E1230">
            <v>0.02</v>
          </cell>
          <cell r="F1230"/>
          <cell r="G1230">
            <v>14613.02</v>
          </cell>
          <cell r="H1230"/>
          <cell r="I1230"/>
        </row>
        <row r="1231">
          <cell r="B1231"/>
          <cell r="C1231"/>
          <cell r="D1231"/>
          <cell r="E1231"/>
          <cell r="F1231"/>
          <cell r="G1231"/>
          <cell r="H1231"/>
          <cell r="I1231">
            <v>233808.31999999998</v>
          </cell>
        </row>
        <row r="1232">
          <cell r="B1232"/>
          <cell r="C1232"/>
          <cell r="D1232"/>
          <cell r="E1232"/>
          <cell r="F1232"/>
          <cell r="G1232"/>
          <cell r="H1232"/>
          <cell r="I1232">
            <v>964459.32</v>
          </cell>
        </row>
        <row r="1233">
          <cell r="B1233"/>
          <cell r="C1233"/>
          <cell r="D1233"/>
          <cell r="E1233"/>
          <cell r="F1233"/>
          <cell r="G1233"/>
          <cell r="H1233"/>
          <cell r="I1233"/>
        </row>
        <row r="1234">
          <cell r="B1234"/>
          <cell r="C1234"/>
          <cell r="D1234"/>
          <cell r="E1234"/>
          <cell r="F1234" t="str">
            <v>REVISA</v>
          </cell>
          <cell r="G1234"/>
          <cell r="H1234"/>
          <cell r="I1234"/>
        </row>
        <row r="1235">
          <cell r="B1235"/>
          <cell r="C1235"/>
          <cell r="D1235"/>
          <cell r="E1235"/>
          <cell r="F1235" t="str">
            <v>FIRMA:</v>
          </cell>
          <cell r="G1235"/>
          <cell r="H1235"/>
          <cell r="I1235"/>
        </row>
        <row r="1236">
          <cell r="B1236" t="str">
            <v>LINA MARCELA</v>
          </cell>
          <cell r="C1236"/>
          <cell r="F1236" t="str">
            <v>NOMBRE</v>
          </cell>
          <cell r="G1236"/>
          <cell r="H1236"/>
          <cell r="I1236"/>
        </row>
        <row r="1237">
          <cell r="B1237" t="str">
            <v>05202-316814 ANT</v>
          </cell>
          <cell r="C1237"/>
          <cell r="F1237" t="str">
            <v>MAT:</v>
          </cell>
          <cell r="G1237"/>
          <cell r="H1237"/>
          <cell r="I1237"/>
        </row>
        <row r="1238">
          <cell r="B1238"/>
          <cell r="C1238"/>
          <cell r="F1238"/>
          <cell r="G1238"/>
          <cell r="H1238"/>
          <cell r="I1238"/>
        </row>
        <row r="1239">
          <cell r="B1239"/>
          <cell r="C1239"/>
          <cell r="D1239"/>
          <cell r="E1239"/>
          <cell r="F1239"/>
          <cell r="G1239"/>
          <cell r="H1239"/>
          <cell r="I1239"/>
        </row>
        <row r="1240"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B1242"/>
          <cell r="C1242"/>
          <cell r="D1242"/>
          <cell r="E1242"/>
          <cell r="F1242"/>
          <cell r="G1242"/>
          <cell r="H1242"/>
          <cell r="I1242"/>
        </row>
        <row r="1243">
          <cell r="B1243" t="str">
            <v>4.7</v>
          </cell>
          <cell r="C1243" t="str">
            <v>DESCRIPCION:</v>
          </cell>
          <cell r="D1243" t="str">
            <v xml:space="preserve">SEÑAL VERTICAL </v>
          </cell>
          <cell r="E1243"/>
          <cell r="F1243"/>
          <cell r="G1243"/>
          <cell r="H1243"/>
          <cell r="I1243"/>
        </row>
        <row r="1244">
          <cell r="B1244" t="str">
            <v>PAR-22</v>
          </cell>
          <cell r="C1244"/>
          <cell r="D1244" t="str">
            <v>UNIDAD</v>
          </cell>
          <cell r="E1244" t="str">
            <v>UNIDAD</v>
          </cell>
          <cell r="F1244" t="str">
            <v>CANTIDAD</v>
          </cell>
          <cell r="G1244">
            <v>422</v>
          </cell>
          <cell r="H1244" t="str">
            <v>V. UNITARIO:</v>
          </cell>
          <cell r="I1244">
            <v>560828</v>
          </cell>
        </row>
        <row r="1245">
          <cell r="B1245"/>
          <cell r="C1245"/>
          <cell r="D1245"/>
          <cell r="E1245"/>
          <cell r="F1245"/>
          <cell r="G1245"/>
          <cell r="H1245"/>
          <cell r="I1245"/>
        </row>
        <row r="1246">
          <cell r="B1246"/>
          <cell r="C1246"/>
          <cell r="D1246"/>
          <cell r="E1246"/>
          <cell r="F1246" t="str">
            <v>Tarifa/Hora</v>
          </cell>
          <cell r="G1246" t="str">
            <v>Rendimiento</v>
          </cell>
          <cell r="H1246" t="str">
            <v>Valor-Unit.</v>
          </cell>
          <cell r="I1246"/>
        </row>
        <row r="1247">
          <cell r="B1247" t="str">
            <v>E018</v>
          </cell>
          <cell r="C1247"/>
          <cell r="D1247"/>
          <cell r="E1247"/>
          <cell r="F1247"/>
          <cell r="G1247"/>
          <cell r="H1247"/>
          <cell r="I1247"/>
        </row>
        <row r="1248">
          <cell r="B1248"/>
          <cell r="C1248"/>
          <cell r="D1248"/>
          <cell r="E1248"/>
          <cell r="F1248" t="str">
            <v>Sub-Total</v>
          </cell>
          <cell r="G1248" t="str">
            <v>4.7</v>
          </cell>
          <cell r="H1248" t="str">
            <v>EQUI-4.7</v>
          </cell>
          <cell r="I1248">
            <v>0</v>
          </cell>
        </row>
        <row r="1249">
          <cell r="B1249"/>
          <cell r="C1249"/>
          <cell r="D1249"/>
          <cell r="E1249"/>
          <cell r="F1249"/>
          <cell r="G1249"/>
          <cell r="H1249"/>
          <cell r="I1249"/>
        </row>
        <row r="1250">
          <cell r="B1250"/>
          <cell r="C1250"/>
          <cell r="D1250"/>
          <cell r="E1250" t="str">
            <v>UNIDAD</v>
          </cell>
          <cell r="F1250" t="str">
            <v>V.UNIT</v>
          </cell>
          <cell r="G1250" t="str">
            <v>CANT</v>
          </cell>
          <cell r="H1250" t="str">
            <v>V.TOTAL</v>
          </cell>
          <cell r="I1250"/>
        </row>
        <row r="1251">
          <cell r="B1251" t="str">
            <v>M007</v>
          </cell>
          <cell r="C1251" t="str">
            <v>Concreto 3000psi en obra</v>
          </cell>
          <cell r="D1251"/>
          <cell r="E1251" t="str">
            <v>M3</v>
          </cell>
          <cell r="F1251">
            <v>498450</v>
          </cell>
          <cell r="G1251">
            <v>5.3999999999999999E-2</v>
          </cell>
          <cell r="H1251">
            <v>26916.3</v>
          </cell>
          <cell r="I1251"/>
        </row>
        <row r="1252">
          <cell r="B1252" t="str">
            <v>M029</v>
          </cell>
          <cell r="C1252" t="str">
            <v>señal vertical</v>
          </cell>
          <cell r="D1252"/>
          <cell r="E1252" t="str">
            <v>un</v>
          </cell>
          <cell r="F1252">
            <v>410000</v>
          </cell>
          <cell r="G1252">
            <v>1</v>
          </cell>
          <cell r="H1252">
            <v>410000</v>
          </cell>
          <cell r="I1252"/>
        </row>
        <row r="1253">
          <cell r="B1253"/>
          <cell r="C1253"/>
          <cell r="D1253"/>
          <cell r="E1253"/>
          <cell r="F1253" t="str">
            <v>Sub-Total</v>
          </cell>
          <cell r="G1253" t="str">
            <v>4.7</v>
          </cell>
          <cell r="H1253" t="str">
            <v>MAT-4.7</v>
          </cell>
          <cell r="I1253">
            <v>436916.3</v>
          </cell>
        </row>
        <row r="1254">
          <cell r="B1254"/>
          <cell r="C1254"/>
          <cell r="D1254"/>
          <cell r="E1254"/>
          <cell r="F1254"/>
          <cell r="G1254"/>
          <cell r="H1254"/>
          <cell r="I1254"/>
        </row>
        <row r="1255">
          <cell r="B1255"/>
          <cell r="C1255"/>
          <cell r="D1255" t="str">
            <v xml:space="preserve">CAN </v>
          </cell>
          <cell r="E1255" t="str">
            <v>DISTANCIA</v>
          </cell>
          <cell r="F1255" t="str">
            <v>M3-Km / UN-KM</v>
          </cell>
          <cell r="G1255" t="str">
            <v>TARIFA</v>
          </cell>
          <cell r="H1255" t="str">
            <v>Valor-Unit.</v>
          </cell>
          <cell r="I1255"/>
        </row>
        <row r="1256">
          <cell r="B1256" t="str">
            <v>T001</v>
          </cell>
          <cell r="C1256" t="str">
            <v>TRANS INT CONCRETO M3</v>
          </cell>
          <cell r="D1256">
            <v>5.3999999999999999E-2</v>
          </cell>
          <cell r="E1256">
            <v>1</v>
          </cell>
          <cell r="F1256">
            <v>5.3999999999999999E-2</v>
          </cell>
          <cell r="G1256">
            <v>4000</v>
          </cell>
          <cell r="H1256">
            <v>216</v>
          </cell>
          <cell r="I1256"/>
        </row>
        <row r="1257">
          <cell r="B1257"/>
          <cell r="C1257"/>
          <cell r="D1257"/>
          <cell r="E1257"/>
          <cell r="F1257"/>
          <cell r="G1257"/>
          <cell r="H1257"/>
          <cell r="I1257"/>
        </row>
        <row r="1258">
          <cell r="B1258"/>
          <cell r="C1258"/>
          <cell r="D1258"/>
          <cell r="E1258"/>
          <cell r="F1258" t="str">
            <v>Sub-Total</v>
          </cell>
          <cell r="G1258" t="str">
            <v>4.7</v>
          </cell>
          <cell r="H1258" t="str">
            <v>TRAN-4.7</v>
          </cell>
          <cell r="I1258">
            <v>216</v>
          </cell>
        </row>
        <row r="1259">
          <cell r="B1259"/>
          <cell r="C1259"/>
          <cell r="D1259"/>
          <cell r="E1259"/>
          <cell r="F1259"/>
          <cell r="G1259"/>
          <cell r="H1259"/>
          <cell r="I1259"/>
        </row>
        <row r="1260">
          <cell r="B1260"/>
          <cell r="C1260"/>
          <cell r="D1260" t="str">
            <v>JORNAL-HORA</v>
          </cell>
          <cell r="E1260" t="str">
            <v>PRES</v>
          </cell>
          <cell r="F1260" t="str">
            <v>JORNAL TOTAL</v>
          </cell>
          <cell r="G1260" t="str">
            <v>RENDIEMIENTO</v>
          </cell>
          <cell r="H1260" t="str">
            <v>VALOR-UNIT</v>
          </cell>
          <cell r="I1260"/>
        </row>
        <row r="1261">
          <cell r="B1261" t="str">
            <v>MO004</v>
          </cell>
          <cell r="C1261" t="str">
            <v>OFICIAL</v>
          </cell>
          <cell r="D1261">
            <v>9301.6465000000026</v>
          </cell>
          <cell r="E1261">
            <v>0.56000000000000005</v>
          </cell>
          <cell r="F1261">
            <v>14510.568540000004</v>
          </cell>
          <cell r="G1261">
            <v>2</v>
          </cell>
          <cell r="H1261">
            <v>29021.137080000008</v>
          </cell>
          <cell r="I1261"/>
        </row>
        <row r="1262">
          <cell r="B1262" t="str">
            <v>MO005</v>
          </cell>
          <cell r="C1262" t="str">
            <v>AYUDANTE ENTENDIDO</v>
          </cell>
          <cell r="D1262">
            <v>8051.6465000000007</v>
          </cell>
          <cell r="E1262">
            <v>0.56000000000000005</v>
          </cell>
          <cell r="F1262">
            <v>12560.568540000002</v>
          </cell>
          <cell r="G1262">
            <v>2</v>
          </cell>
          <cell r="H1262">
            <v>25121.137080000004</v>
          </cell>
          <cell r="I1262"/>
        </row>
        <row r="1263">
          <cell r="B1263" t="str">
            <v>MO006</v>
          </cell>
          <cell r="C1263" t="str">
            <v>AYUDANTE</v>
          </cell>
          <cell r="D1263">
            <v>6801.6465000000007</v>
          </cell>
          <cell r="E1263">
            <v>0.56000000000000005</v>
          </cell>
          <cell r="F1263">
            <v>10610.568540000002</v>
          </cell>
          <cell r="G1263">
            <v>6</v>
          </cell>
          <cell r="H1263">
            <v>63663.411240000016</v>
          </cell>
          <cell r="I1263"/>
        </row>
        <row r="1264">
          <cell r="B1264"/>
          <cell r="C1264"/>
          <cell r="D1264"/>
          <cell r="E1264"/>
          <cell r="F1264"/>
          <cell r="G1264"/>
          <cell r="H1264"/>
          <cell r="I1264"/>
        </row>
        <row r="1265">
          <cell r="B1265"/>
          <cell r="C1265"/>
          <cell r="D1265"/>
          <cell r="E1265"/>
          <cell r="F1265"/>
          <cell r="G1265"/>
          <cell r="H1265"/>
          <cell r="I1265"/>
        </row>
        <row r="1266">
          <cell r="B1266"/>
          <cell r="C1266"/>
          <cell r="D1266"/>
          <cell r="E1266"/>
          <cell r="F1266"/>
          <cell r="G1266"/>
          <cell r="H1266"/>
          <cell r="I1266"/>
        </row>
        <row r="1267">
          <cell r="B1267"/>
          <cell r="C1267"/>
          <cell r="D1267"/>
          <cell r="E1267"/>
          <cell r="F1267" t="str">
            <v>Sub-Total</v>
          </cell>
          <cell r="G1267" t="str">
            <v>4.7</v>
          </cell>
          <cell r="H1267" t="str">
            <v>MDEO-4.7</v>
          </cell>
          <cell r="I1267">
            <v>117805.68540000003</v>
          </cell>
        </row>
        <row r="1268">
          <cell r="B1268"/>
          <cell r="C1268"/>
          <cell r="D1268"/>
          <cell r="E1268"/>
          <cell r="F1268"/>
          <cell r="G1268"/>
          <cell r="H1268"/>
          <cell r="I1268">
            <v>5890.2842700000019</v>
          </cell>
        </row>
        <row r="1269">
          <cell r="B1269"/>
          <cell r="C1269"/>
          <cell r="D1269"/>
          <cell r="E1269"/>
          <cell r="F1269" t="str">
            <v>Total Costo Directo</v>
          </cell>
          <cell r="G1269"/>
          <cell r="H1269"/>
          <cell r="I1269">
            <v>560828</v>
          </cell>
        </row>
        <row r="1270">
          <cell r="B1270"/>
          <cell r="C1270"/>
          <cell r="D1270"/>
          <cell r="E1270" t="str">
            <v>PORCENTAJE</v>
          </cell>
          <cell r="F1270"/>
          <cell r="G1270" t="str">
            <v>V. COSTO INDERECTO</v>
          </cell>
          <cell r="H1270"/>
          <cell r="I1270"/>
        </row>
        <row r="1271">
          <cell r="B1271"/>
          <cell r="C1271"/>
          <cell r="D1271"/>
          <cell r="E1271">
            <v>0.02</v>
          </cell>
          <cell r="F1271"/>
          <cell r="G1271">
            <v>11216.56</v>
          </cell>
          <cell r="H1271"/>
          <cell r="I1271"/>
        </row>
        <row r="1272">
          <cell r="B1272"/>
          <cell r="C1272"/>
          <cell r="D1272"/>
          <cell r="E1272">
            <v>0.23</v>
          </cell>
          <cell r="F1272"/>
          <cell r="G1272">
            <v>128990.44</v>
          </cell>
          <cell r="H1272"/>
          <cell r="I1272"/>
        </row>
        <row r="1273">
          <cell r="B1273"/>
          <cell r="C1273"/>
          <cell r="D1273"/>
          <cell r="E1273">
            <v>0.05</v>
          </cell>
          <cell r="F1273"/>
          <cell r="G1273">
            <v>28041.4</v>
          </cell>
          <cell r="H1273"/>
          <cell r="I1273"/>
        </row>
        <row r="1274">
          <cell r="B1274"/>
          <cell r="C1274"/>
          <cell r="D1274"/>
          <cell r="E1274">
            <v>0.02</v>
          </cell>
          <cell r="F1274"/>
          <cell r="G1274">
            <v>11216.56</v>
          </cell>
          <cell r="H1274"/>
          <cell r="I1274"/>
        </row>
        <row r="1275">
          <cell r="B1275"/>
          <cell r="C1275"/>
          <cell r="D1275"/>
          <cell r="E1275"/>
          <cell r="F1275"/>
          <cell r="G1275"/>
          <cell r="H1275"/>
          <cell r="I1275">
            <v>179464.95999999999</v>
          </cell>
        </row>
        <row r="1276">
          <cell r="B1276"/>
          <cell r="C1276"/>
          <cell r="D1276"/>
          <cell r="E1276"/>
          <cell r="F1276"/>
          <cell r="G1276"/>
          <cell r="H1276"/>
          <cell r="I1276">
            <v>740292.96</v>
          </cell>
        </row>
        <row r="1277">
          <cell r="B1277"/>
          <cell r="C1277"/>
          <cell r="D1277"/>
          <cell r="E1277"/>
          <cell r="F1277"/>
          <cell r="G1277"/>
          <cell r="H1277"/>
          <cell r="I1277"/>
        </row>
        <row r="1278">
          <cell r="B1278"/>
          <cell r="C1278"/>
          <cell r="D1278"/>
          <cell r="E1278"/>
          <cell r="F1278" t="str">
            <v>REVISA</v>
          </cell>
          <cell r="G1278"/>
          <cell r="H1278"/>
          <cell r="I1278"/>
        </row>
        <row r="1279">
          <cell r="B1279"/>
          <cell r="C1279"/>
          <cell r="D1279"/>
          <cell r="E1279"/>
          <cell r="F1279" t="str">
            <v>FIRMA:</v>
          </cell>
          <cell r="G1279"/>
          <cell r="H1279"/>
          <cell r="I1279"/>
        </row>
        <row r="1280">
          <cell r="B1280" t="str">
            <v>LINA MARCELA</v>
          </cell>
          <cell r="C1280"/>
          <cell r="F1280" t="str">
            <v>NOMBRE</v>
          </cell>
          <cell r="G1280"/>
          <cell r="H1280"/>
          <cell r="I1280"/>
        </row>
        <row r="1281">
          <cell r="B1281" t="str">
            <v>05202-316814 ANT</v>
          </cell>
          <cell r="C1281"/>
          <cell r="F1281" t="str">
            <v>MAT:</v>
          </cell>
          <cell r="G1281"/>
          <cell r="H1281"/>
          <cell r="I1281"/>
        </row>
        <row r="1282">
          <cell r="B1282"/>
          <cell r="C1282"/>
          <cell r="F1282"/>
          <cell r="G1282"/>
          <cell r="H1282"/>
          <cell r="I1282"/>
        </row>
        <row r="1283">
          <cell r="B1283"/>
          <cell r="C1283"/>
          <cell r="D1283"/>
          <cell r="E1283"/>
          <cell r="F1283"/>
          <cell r="G1283"/>
          <cell r="H1283"/>
          <cell r="I1283"/>
        </row>
        <row r="1284">
          <cell r="B1284"/>
          <cell r="C1284"/>
          <cell r="D1284"/>
          <cell r="E1284"/>
          <cell r="F1284"/>
          <cell r="G1284"/>
          <cell r="H1284"/>
          <cell r="I1284"/>
        </row>
        <row r="1285">
          <cell r="B1285"/>
          <cell r="C1285"/>
          <cell r="D1285"/>
          <cell r="E1285"/>
          <cell r="F1285"/>
          <cell r="G1285"/>
          <cell r="H1285"/>
          <cell r="I1285"/>
        </row>
        <row r="1286">
          <cell r="B1286"/>
          <cell r="C1286"/>
          <cell r="D1286"/>
          <cell r="E1286"/>
          <cell r="F1286"/>
          <cell r="G1286"/>
          <cell r="H1286"/>
          <cell r="I1286"/>
        </row>
        <row r="1287">
          <cell r="B1287" t="str">
            <v>5.4</v>
          </cell>
          <cell r="C1287" t="str">
            <v>DESCRIPCION:</v>
          </cell>
          <cell r="D1287" t="str">
            <v>ESPECIES Y JARDINERIA TIPO I</v>
          </cell>
          <cell r="E1287"/>
          <cell r="F1287"/>
          <cell r="G1287"/>
          <cell r="H1287"/>
          <cell r="I1287"/>
        </row>
        <row r="1288">
          <cell r="B1288" t="str">
            <v>820-13B</v>
          </cell>
          <cell r="C1288"/>
          <cell r="D1288" t="str">
            <v>UNIDAD</v>
          </cell>
          <cell r="E1288" t="str">
            <v>UNIDAD</v>
          </cell>
          <cell r="F1288" t="str">
            <v>CANTIDAD</v>
          </cell>
          <cell r="G1288" t="e">
            <v>#N/A</v>
          </cell>
          <cell r="H1288" t="str">
            <v>V. UNITARIO:</v>
          </cell>
          <cell r="I1288">
            <v>138107</v>
          </cell>
        </row>
        <row r="1289">
          <cell r="B1289"/>
          <cell r="C1289"/>
          <cell r="D1289"/>
          <cell r="E1289"/>
          <cell r="F1289"/>
          <cell r="G1289"/>
          <cell r="H1289"/>
          <cell r="I1289"/>
        </row>
        <row r="1290">
          <cell r="B1290"/>
          <cell r="C1290"/>
          <cell r="D1290"/>
          <cell r="E1290"/>
          <cell r="F1290" t="str">
            <v>Tarifa/Hora</v>
          </cell>
          <cell r="G1290" t="str">
            <v>Rendimiento</v>
          </cell>
          <cell r="H1290" t="str">
            <v>Valor-Unit.</v>
          </cell>
          <cell r="I1290"/>
        </row>
        <row r="1291">
          <cell r="B1291" t="str">
            <v>E018</v>
          </cell>
          <cell r="C1291"/>
          <cell r="D1291"/>
          <cell r="E1291"/>
          <cell r="F1291"/>
          <cell r="G1291"/>
          <cell r="H1291"/>
          <cell r="I1291"/>
        </row>
        <row r="1292">
          <cell r="B1292" t="str">
            <v>E013</v>
          </cell>
          <cell r="C1292"/>
          <cell r="D1292"/>
          <cell r="E1292"/>
          <cell r="F1292"/>
          <cell r="G1292"/>
          <cell r="H1292"/>
          <cell r="I1292"/>
        </row>
        <row r="1293">
          <cell r="B1293" t="str">
            <v>E027</v>
          </cell>
          <cell r="C1293"/>
          <cell r="D1293"/>
          <cell r="E1293"/>
          <cell r="F1293"/>
          <cell r="G1293"/>
          <cell r="H1293"/>
          <cell r="I1293"/>
        </row>
        <row r="1294">
          <cell r="B1294" t="str">
            <v>E018</v>
          </cell>
          <cell r="C1294"/>
          <cell r="D1294"/>
          <cell r="E1294"/>
          <cell r="F1294"/>
          <cell r="G1294"/>
          <cell r="H1294"/>
          <cell r="I1294"/>
        </row>
        <row r="1295">
          <cell r="B1295" t="str">
            <v>E011</v>
          </cell>
          <cell r="C1295"/>
          <cell r="D1295"/>
          <cell r="E1295"/>
          <cell r="F1295"/>
          <cell r="G1295"/>
          <cell r="H1295"/>
          <cell r="I1295"/>
        </row>
        <row r="1296">
          <cell r="B1296" t="str">
            <v>E003</v>
          </cell>
          <cell r="C1296"/>
          <cell r="D1296"/>
          <cell r="E1296"/>
          <cell r="F1296"/>
          <cell r="G1296"/>
          <cell r="H1296"/>
          <cell r="I1296"/>
        </row>
        <row r="1297">
          <cell r="B1297"/>
          <cell r="C1297"/>
          <cell r="D1297"/>
          <cell r="E1297"/>
          <cell r="F1297" t="str">
            <v>Sub-Total</v>
          </cell>
          <cell r="G1297" t="str">
            <v>5.4</v>
          </cell>
          <cell r="H1297" t="str">
            <v>EQUI-5.4</v>
          </cell>
          <cell r="I1297">
            <v>0</v>
          </cell>
        </row>
        <row r="1298">
          <cell r="B1298"/>
          <cell r="C1298"/>
          <cell r="D1298"/>
          <cell r="E1298"/>
          <cell r="F1298"/>
          <cell r="G1298"/>
          <cell r="H1298"/>
          <cell r="I1298"/>
        </row>
        <row r="1299">
          <cell r="B1299"/>
          <cell r="C1299"/>
          <cell r="D1299"/>
          <cell r="E1299" t="str">
            <v>UNIDAD</v>
          </cell>
          <cell r="F1299" t="str">
            <v>V.UNIT</v>
          </cell>
          <cell r="G1299" t="str">
            <v>CANT</v>
          </cell>
          <cell r="H1299" t="str">
            <v>V.TOTAL</v>
          </cell>
          <cell r="I1299"/>
        </row>
        <row r="1300">
          <cell r="B1300" t="str">
            <v>M126</v>
          </cell>
          <cell r="C1300" t="str">
            <v xml:space="preserve">ESPECIE DURANTA VERDE </v>
          </cell>
          <cell r="D1300"/>
          <cell r="E1300" t="str">
            <v>UN</v>
          </cell>
          <cell r="F1300">
            <v>4800</v>
          </cell>
          <cell r="G1300">
            <v>4</v>
          </cell>
          <cell r="H1300">
            <v>19200</v>
          </cell>
          <cell r="I1300"/>
        </row>
        <row r="1301">
          <cell r="B1301" t="str">
            <v>M127</v>
          </cell>
          <cell r="C1301" t="str">
            <v>ESPECIE DURANTA ROJA</v>
          </cell>
          <cell r="D1301"/>
          <cell r="E1301" t="str">
            <v>UN</v>
          </cell>
          <cell r="F1301">
            <v>4800</v>
          </cell>
          <cell r="G1301">
            <v>2</v>
          </cell>
          <cell r="H1301">
            <v>9600</v>
          </cell>
          <cell r="I1301"/>
        </row>
        <row r="1302">
          <cell r="B1302" t="str">
            <v>M128</v>
          </cell>
          <cell r="C1302" t="str">
            <v>ESPECIE OITI</v>
          </cell>
          <cell r="D1302"/>
          <cell r="E1302" t="str">
            <v>UN</v>
          </cell>
          <cell r="F1302">
            <v>33600</v>
          </cell>
          <cell r="G1302">
            <v>1</v>
          </cell>
          <cell r="H1302">
            <v>33600</v>
          </cell>
          <cell r="I1302"/>
        </row>
        <row r="1303">
          <cell r="B1303" t="str">
            <v>M025</v>
          </cell>
          <cell r="C1303" t="str">
            <v xml:space="preserve">FERTILIZANTE FÓSFORO </v>
          </cell>
          <cell r="D1303"/>
          <cell r="E1303" t="str">
            <v>BULTO</v>
          </cell>
          <cell r="F1303">
            <v>110000</v>
          </cell>
          <cell r="G1303">
            <v>0.1</v>
          </cell>
          <cell r="H1303">
            <v>11000</v>
          </cell>
          <cell r="I1303"/>
        </row>
        <row r="1304">
          <cell r="B1304" t="str">
            <v>M026</v>
          </cell>
          <cell r="C1304" t="str">
            <v>FERTILIZANTE Urea</v>
          </cell>
          <cell r="D1304"/>
          <cell r="E1304" t="str">
            <v>BULTO</v>
          </cell>
          <cell r="F1304">
            <v>95000</v>
          </cell>
          <cell r="G1304">
            <v>0.1</v>
          </cell>
          <cell r="H1304">
            <v>9500</v>
          </cell>
          <cell r="I1304"/>
        </row>
        <row r="1305">
          <cell r="B1305" t="str">
            <v>M121</v>
          </cell>
          <cell r="C1305" t="str">
            <v>BULTO TIERRA</v>
          </cell>
          <cell r="D1305"/>
          <cell r="E1305" t="str">
            <v>BULTO</v>
          </cell>
          <cell r="F1305">
            <v>15000</v>
          </cell>
          <cell r="G1305">
            <v>0.3</v>
          </cell>
          <cell r="H1305">
            <v>4500</v>
          </cell>
          <cell r="I1305"/>
        </row>
        <row r="1306">
          <cell r="B1306"/>
          <cell r="C1306"/>
          <cell r="D1306"/>
          <cell r="E1306"/>
          <cell r="F1306" t="str">
            <v>Sub-Total</v>
          </cell>
          <cell r="G1306" t="str">
            <v>5.4</v>
          </cell>
          <cell r="H1306" t="str">
            <v>MAT-5.4</v>
          </cell>
          <cell r="I1306">
            <v>87400</v>
          </cell>
        </row>
        <row r="1307">
          <cell r="B1307"/>
          <cell r="C1307"/>
          <cell r="D1307"/>
          <cell r="E1307"/>
          <cell r="F1307"/>
          <cell r="G1307"/>
          <cell r="H1307"/>
          <cell r="I1307"/>
        </row>
        <row r="1308">
          <cell r="B1308"/>
          <cell r="C1308"/>
          <cell r="D1308" t="str">
            <v xml:space="preserve">CAN </v>
          </cell>
          <cell r="E1308" t="str">
            <v>DISTANCIA</v>
          </cell>
          <cell r="F1308" t="str">
            <v>M3-Km / UN-KM</v>
          </cell>
          <cell r="G1308" t="str">
            <v>TARIFA</v>
          </cell>
          <cell r="H1308" t="str">
            <v>Valor-Unit.</v>
          </cell>
          <cell r="I1308"/>
        </row>
        <row r="1309">
          <cell r="B1309"/>
          <cell r="C1309"/>
          <cell r="D1309"/>
          <cell r="E1309"/>
          <cell r="F1309"/>
          <cell r="G1309"/>
          <cell r="H1309">
            <v>0</v>
          </cell>
          <cell r="I1309"/>
        </row>
        <row r="1310">
          <cell r="B1310"/>
          <cell r="C1310"/>
          <cell r="D1310"/>
          <cell r="E1310"/>
          <cell r="F1310"/>
          <cell r="G1310"/>
          <cell r="H1310"/>
          <cell r="I1310"/>
        </row>
        <row r="1311">
          <cell r="B1311"/>
          <cell r="C1311"/>
          <cell r="D1311"/>
          <cell r="E1311"/>
          <cell r="F1311" t="str">
            <v>Sub-Total</v>
          </cell>
          <cell r="G1311" t="str">
            <v>5.4</v>
          </cell>
          <cell r="H1311" t="str">
            <v>TRAN-5.4</v>
          </cell>
          <cell r="I1311">
            <v>0</v>
          </cell>
        </row>
        <row r="1312">
          <cell r="B1312"/>
          <cell r="C1312"/>
          <cell r="D1312"/>
          <cell r="E1312"/>
          <cell r="F1312"/>
          <cell r="G1312"/>
          <cell r="H1312"/>
          <cell r="I1312"/>
        </row>
        <row r="1313">
          <cell r="B1313"/>
          <cell r="C1313"/>
          <cell r="D1313" t="str">
            <v>JORNAL-HORA</v>
          </cell>
          <cell r="E1313" t="str">
            <v>PRES</v>
          </cell>
          <cell r="F1313" t="str">
            <v>JORNAL TOTAL</v>
          </cell>
          <cell r="G1313" t="str">
            <v>RENDIEMIENTO</v>
          </cell>
          <cell r="H1313" t="str">
            <v>VALOR-UNIT</v>
          </cell>
          <cell r="I1313"/>
        </row>
        <row r="1314">
          <cell r="B1314" t="str">
            <v>MO004</v>
          </cell>
          <cell r="C1314" t="str">
            <v>OFICIAL</v>
          </cell>
          <cell r="D1314">
            <v>9301.6465000000026</v>
          </cell>
          <cell r="E1314">
            <v>0.56000000000000005</v>
          </cell>
          <cell r="F1314">
            <v>14510.568540000004</v>
          </cell>
          <cell r="G1314">
            <v>1</v>
          </cell>
          <cell r="H1314">
            <v>14510.568540000004</v>
          </cell>
          <cell r="I1314"/>
        </row>
        <row r="1315">
          <cell r="B1315" t="str">
            <v>MO005</v>
          </cell>
          <cell r="C1315" t="str">
            <v>AYUDANTE ENTENDIDO</v>
          </cell>
          <cell r="D1315">
            <v>8051.6465000000007</v>
          </cell>
          <cell r="E1315">
            <v>0.56000000000000005</v>
          </cell>
          <cell r="F1315">
            <v>12560.568540000002</v>
          </cell>
          <cell r="G1315">
            <v>1</v>
          </cell>
          <cell r="H1315">
            <v>12560.568540000002</v>
          </cell>
          <cell r="I1315"/>
        </row>
        <row r="1316">
          <cell r="B1316" t="str">
            <v>MO006</v>
          </cell>
          <cell r="C1316" t="str">
            <v>AYUDANTE</v>
          </cell>
          <cell r="D1316">
            <v>6801.6465000000007</v>
          </cell>
          <cell r="E1316">
            <v>0.56000000000000005</v>
          </cell>
          <cell r="F1316">
            <v>10610.568540000002</v>
          </cell>
          <cell r="G1316">
            <v>2</v>
          </cell>
          <cell r="H1316">
            <v>21221.137080000004</v>
          </cell>
          <cell r="I1316"/>
        </row>
        <row r="1317">
          <cell r="B1317"/>
          <cell r="C1317"/>
          <cell r="D1317"/>
          <cell r="E1317"/>
          <cell r="F1317"/>
          <cell r="G1317"/>
          <cell r="H1317"/>
          <cell r="I1317"/>
        </row>
        <row r="1318">
          <cell r="B1318"/>
          <cell r="C1318"/>
          <cell r="D1318"/>
          <cell r="E1318"/>
          <cell r="F1318" t="str">
            <v>Sub-Total</v>
          </cell>
          <cell r="G1318" t="str">
            <v>5.4</v>
          </cell>
          <cell r="H1318" t="str">
            <v>MDEO-5.4</v>
          </cell>
          <cell r="I1318">
            <v>48292.274160000015</v>
          </cell>
        </row>
        <row r="1319">
          <cell r="B1319"/>
          <cell r="C1319"/>
          <cell r="D1319"/>
          <cell r="E1319"/>
          <cell r="F1319"/>
          <cell r="G1319"/>
          <cell r="H1319"/>
          <cell r="I1319">
            <v>2414.6137080000008</v>
          </cell>
        </row>
        <row r="1320">
          <cell r="B1320"/>
          <cell r="C1320"/>
          <cell r="D1320"/>
          <cell r="E1320"/>
          <cell r="F1320" t="str">
            <v>Total Costo Directo</v>
          </cell>
          <cell r="G1320"/>
          <cell r="H1320"/>
          <cell r="I1320">
            <v>138107</v>
          </cell>
        </row>
        <row r="1321">
          <cell r="B1321"/>
          <cell r="C1321"/>
          <cell r="D1321"/>
          <cell r="E1321" t="str">
            <v>PORCENTAJE</v>
          </cell>
          <cell r="F1321"/>
          <cell r="G1321" t="str">
            <v>V. COSTO INDERECTO</v>
          </cell>
          <cell r="H1321"/>
          <cell r="I1321"/>
        </row>
        <row r="1322">
          <cell r="B1322"/>
          <cell r="C1322"/>
          <cell r="D1322"/>
          <cell r="E1322">
            <v>0.02</v>
          </cell>
          <cell r="F1322"/>
          <cell r="G1322">
            <v>2762.14</v>
          </cell>
          <cell r="H1322"/>
          <cell r="I1322"/>
        </row>
        <row r="1323">
          <cell r="B1323"/>
          <cell r="C1323"/>
          <cell r="D1323"/>
          <cell r="E1323">
            <v>0.23</v>
          </cell>
          <cell r="F1323"/>
          <cell r="G1323">
            <v>31764.61</v>
          </cell>
          <cell r="H1323"/>
          <cell r="I1323"/>
        </row>
        <row r="1324">
          <cell r="B1324"/>
          <cell r="C1324"/>
          <cell r="D1324"/>
          <cell r="E1324">
            <v>0.05</v>
          </cell>
          <cell r="F1324"/>
          <cell r="G1324">
            <v>6905.35</v>
          </cell>
          <cell r="H1324"/>
          <cell r="I1324"/>
        </row>
        <row r="1325">
          <cell r="B1325"/>
          <cell r="C1325"/>
          <cell r="D1325"/>
          <cell r="E1325">
            <v>0.02</v>
          </cell>
          <cell r="F1325"/>
          <cell r="G1325">
            <v>2762.14</v>
          </cell>
          <cell r="H1325"/>
          <cell r="I1325"/>
        </row>
        <row r="1326">
          <cell r="B1326"/>
          <cell r="C1326"/>
          <cell r="D1326"/>
          <cell r="E1326"/>
          <cell r="F1326"/>
          <cell r="G1326"/>
          <cell r="H1326"/>
          <cell r="I1326">
            <v>44194.239999999998</v>
          </cell>
        </row>
        <row r="1327">
          <cell r="B1327"/>
          <cell r="C1327"/>
          <cell r="D1327"/>
          <cell r="E1327"/>
          <cell r="F1327"/>
          <cell r="G1327"/>
          <cell r="H1327"/>
          <cell r="I1327">
            <v>182301.24</v>
          </cell>
        </row>
        <row r="1328">
          <cell r="B1328"/>
          <cell r="C1328"/>
          <cell r="D1328"/>
          <cell r="E1328"/>
          <cell r="F1328"/>
          <cell r="G1328"/>
          <cell r="H1328"/>
          <cell r="I1328"/>
        </row>
        <row r="1329">
          <cell r="B1329"/>
          <cell r="C1329"/>
          <cell r="D1329"/>
          <cell r="E1329"/>
          <cell r="F1329" t="str">
            <v>REVISA</v>
          </cell>
          <cell r="G1329"/>
          <cell r="H1329"/>
          <cell r="I1329"/>
        </row>
        <row r="1330">
          <cell r="B1330"/>
          <cell r="C1330"/>
          <cell r="D1330"/>
          <cell r="E1330"/>
          <cell r="F1330" t="str">
            <v>FIRMA:</v>
          </cell>
          <cell r="G1330"/>
          <cell r="H1330"/>
          <cell r="I1330"/>
        </row>
        <row r="1331">
          <cell r="B1331" t="str">
            <v>LINA MARCELA</v>
          </cell>
          <cell r="C1331"/>
          <cell r="F1331" t="str">
            <v>NOMBRE</v>
          </cell>
          <cell r="G1331"/>
          <cell r="H1331"/>
          <cell r="I1331"/>
        </row>
        <row r="1332">
          <cell r="B1332" t="str">
            <v>05202-316814 ANT</v>
          </cell>
          <cell r="C1332"/>
          <cell r="F1332" t="str">
            <v>MAT:</v>
          </cell>
          <cell r="G1332"/>
          <cell r="H1332"/>
          <cell r="I1332"/>
        </row>
        <row r="1333">
          <cell r="B1333"/>
          <cell r="C1333"/>
          <cell r="F1333"/>
          <cell r="G1333"/>
          <cell r="H1333"/>
          <cell r="I1333"/>
        </row>
        <row r="1334">
          <cell r="B1334"/>
          <cell r="C1334"/>
          <cell r="D1334"/>
          <cell r="E1334"/>
          <cell r="F1334"/>
          <cell r="G1334"/>
          <cell r="H1334"/>
          <cell r="I1334"/>
        </row>
        <row r="1335"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B1336"/>
          <cell r="C1336"/>
          <cell r="D1336"/>
          <cell r="E1336"/>
          <cell r="F1336"/>
          <cell r="G1336"/>
          <cell r="H1336"/>
          <cell r="I1336"/>
        </row>
        <row r="1337">
          <cell r="I1337"/>
        </row>
        <row r="1338">
          <cell r="B1338"/>
          <cell r="C1338"/>
          <cell r="D1338"/>
          <cell r="E1338"/>
          <cell r="F1338"/>
          <cell r="G1338"/>
          <cell r="H1338"/>
          <cell r="I1338"/>
        </row>
        <row r="1339">
          <cell r="B1339" t="str">
            <v>5.5</v>
          </cell>
          <cell r="C1339" t="str">
            <v>DESCRIPCION:</v>
          </cell>
          <cell r="D1339" t="str">
            <v>ESPECIES Y JARDINERIA TIPO II</v>
          </cell>
          <cell r="E1339"/>
          <cell r="F1339"/>
          <cell r="G1339"/>
          <cell r="H1339"/>
          <cell r="I1339"/>
        </row>
        <row r="1340">
          <cell r="B1340" t="str">
            <v>820-13C</v>
          </cell>
          <cell r="C1340"/>
          <cell r="D1340" t="str">
            <v>UNIDAD</v>
          </cell>
          <cell r="E1340" t="str">
            <v>UNIDAD</v>
          </cell>
          <cell r="F1340" t="str">
            <v>CANTIDAD</v>
          </cell>
          <cell r="G1340" t="e">
            <v>#N/A</v>
          </cell>
          <cell r="H1340" t="str">
            <v>V. UNITARIO:</v>
          </cell>
          <cell r="I1340">
            <v>196248</v>
          </cell>
        </row>
        <row r="1341">
          <cell r="B1341"/>
          <cell r="C1341"/>
          <cell r="D1341"/>
          <cell r="E1341"/>
          <cell r="F1341"/>
          <cell r="G1341"/>
          <cell r="H1341"/>
          <cell r="I1341"/>
        </row>
        <row r="1342">
          <cell r="B1342"/>
          <cell r="C1342"/>
          <cell r="D1342"/>
          <cell r="E1342"/>
          <cell r="F1342" t="str">
            <v>Tarifa/Hora</v>
          </cell>
          <cell r="G1342" t="str">
            <v>Rendimiento</v>
          </cell>
          <cell r="H1342" t="str">
            <v>Valor-Unit.</v>
          </cell>
          <cell r="I1342"/>
        </row>
        <row r="1343">
          <cell r="B1343" t="str">
            <v>E018</v>
          </cell>
          <cell r="C1343"/>
          <cell r="D1343"/>
          <cell r="E1343"/>
          <cell r="F1343"/>
          <cell r="G1343"/>
          <cell r="H1343"/>
          <cell r="I1343"/>
        </row>
        <row r="1344">
          <cell r="B1344" t="str">
            <v>E013</v>
          </cell>
          <cell r="C1344"/>
          <cell r="D1344"/>
          <cell r="E1344"/>
          <cell r="F1344"/>
          <cell r="G1344"/>
          <cell r="H1344"/>
          <cell r="I1344"/>
        </row>
        <row r="1345">
          <cell r="B1345" t="str">
            <v>E027</v>
          </cell>
          <cell r="C1345"/>
          <cell r="D1345"/>
          <cell r="E1345"/>
          <cell r="F1345"/>
          <cell r="G1345"/>
          <cell r="H1345"/>
          <cell r="I1345"/>
        </row>
        <row r="1346">
          <cell r="B1346"/>
          <cell r="C1346"/>
          <cell r="D1346"/>
          <cell r="E1346"/>
          <cell r="F1346" t="str">
            <v>Sub-Total</v>
          </cell>
          <cell r="G1346" t="str">
            <v>5.5</v>
          </cell>
          <cell r="H1346" t="str">
            <v>EQUI-5.5</v>
          </cell>
          <cell r="I1346">
            <v>0</v>
          </cell>
        </row>
        <row r="1347">
          <cell r="B1347"/>
          <cell r="C1347"/>
          <cell r="D1347"/>
          <cell r="E1347"/>
          <cell r="F1347"/>
          <cell r="G1347"/>
          <cell r="H1347"/>
          <cell r="I1347"/>
        </row>
        <row r="1348">
          <cell r="B1348"/>
          <cell r="C1348"/>
          <cell r="D1348"/>
          <cell r="E1348" t="str">
            <v>UNIDAD</v>
          </cell>
          <cell r="F1348" t="str">
            <v>V.UNIT</v>
          </cell>
          <cell r="G1348" t="str">
            <v>CANT</v>
          </cell>
          <cell r="H1348" t="str">
            <v>V.TOTAL</v>
          </cell>
          <cell r="I1348"/>
        </row>
        <row r="1349">
          <cell r="B1349" t="str">
            <v>M126</v>
          </cell>
          <cell r="C1349" t="str">
            <v xml:space="preserve">ESPECIE DURANTA VERDE </v>
          </cell>
          <cell r="D1349"/>
          <cell r="E1349" t="str">
            <v>UN</v>
          </cell>
          <cell r="F1349">
            <v>4800</v>
          </cell>
          <cell r="G1349">
            <v>8</v>
          </cell>
          <cell r="H1349">
            <v>38400</v>
          </cell>
          <cell r="I1349"/>
        </row>
        <row r="1350">
          <cell r="B1350" t="str">
            <v>M127</v>
          </cell>
          <cell r="C1350" t="str">
            <v>ESPECIE DURANTA ROJA</v>
          </cell>
          <cell r="D1350"/>
          <cell r="E1350" t="str">
            <v>UN</v>
          </cell>
          <cell r="F1350">
            <v>4800</v>
          </cell>
          <cell r="G1350">
            <v>8</v>
          </cell>
          <cell r="H1350">
            <v>38400</v>
          </cell>
          <cell r="I1350"/>
        </row>
        <row r="1351">
          <cell r="B1351" t="str">
            <v>M128</v>
          </cell>
          <cell r="C1351" t="str">
            <v>ESPECIE OITI</v>
          </cell>
          <cell r="D1351"/>
          <cell r="E1351" t="str">
            <v>UN</v>
          </cell>
          <cell r="F1351">
            <v>33600</v>
          </cell>
          <cell r="G1351">
            <v>1</v>
          </cell>
          <cell r="H1351">
            <v>33600</v>
          </cell>
          <cell r="I1351"/>
        </row>
        <row r="1352">
          <cell r="B1352" t="str">
            <v>M025</v>
          </cell>
          <cell r="C1352" t="str">
            <v xml:space="preserve">FERTILIZANTE FÓSFORO </v>
          </cell>
          <cell r="D1352"/>
          <cell r="E1352" t="str">
            <v>BULTO</v>
          </cell>
          <cell r="F1352">
            <v>110000</v>
          </cell>
          <cell r="G1352">
            <v>0.1</v>
          </cell>
          <cell r="H1352">
            <v>11000</v>
          </cell>
          <cell r="I1352"/>
        </row>
        <row r="1353">
          <cell r="B1353" t="str">
            <v>M026</v>
          </cell>
          <cell r="C1353" t="str">
            <v>FERTILIZANTE Urea</v>
          </cell>
          <cell r="D1353"/>
          <cell r="E1353" t="str">
            <v>BULTO</v>
          </cell>
          <cell r="F1353">
            <v>95000</v>
          </cell>
          <cell r="G1353">
            <v>0.1</v>
          </cell>
          <cell r="H1353">
            <v>9500</v>
          </cell>
          <cell r="I1353"/>
        </row>
        <row r="1354">
          <cell r="B1354" t="str">
            <v>M121</v>
          </cell>
          <cell r="C1354" t="str">
            <v>BULTO TIERRA</v>
          </cell>
          <cell r="D1354"/>
          <cell r="E1354" t="str">
            <v>BULTO</v>
          </cell>
          <cell r="F1354">
            <v>15000</v>
          </cell>
          <cell r="G1354">
            <v>0.3</v>
          </cell>
          <cell r="H1354">
            <v>4500</v>
          </cell>
          <cell r="I1354"/>
        </row>
        <row r="1355">
          <cell r="B1355"/>
          <cell r="C1355"/>
          <cell r="D1355"/>
          <cell r="E1355"/>
          <cell r="F1355" t="str">
            <v>Sub-Total</v>
          </cell>
          <cell r="G1355" t="str">
            <v>5.5</v>
          </cell>
          <cell r="H1355" t="str">
            <v>MAT-5.5</v>
          </cell>
          <cell r="I1355">
            <v>135400</v>
          </cell>
        </row>
        <row r="1356">
          <cell r="B1356"/>
          <cell r="C1356"/>
          <cell r="D1356"/>
          <cell r="E1356"/>
          <cell r="F1356"/>
          <cell r="G1356"/>
          <cell r="H1356"/>
          <cell r="I1356"/>
        </row>
        <row r="1357">
          <cell r="B1357"/>
          <cell r="C1357"/>
          <cell r="D1357" t="str">
            <v xml:space="preserve">CAN </v>
          </cell>
          <cell r="E1357" t="str">
            <v>DISTANCIA</v>
          </cell>
          <cell r="F1357" t="str">
            <v>M3-Km / UN-KM</v>
          </cell>
          <cell r="G1357" t="str">
            <v>TARIFA</v>
          </cell>
          <cell r="H1357" t="str">
            <v>Valor-Unit.</v>
          </cell>
          <cell r="I1357"/>
        </row>
        <row r="1358">
          <cell r="B1358"/>
          <cell r="C1358"/>
          <cell r="D1358"/>
          <cell r="E1358"/>
          <cell r="F1358"/>
          <cell r="G1358"/>
          <cell r="H1358"/>
          <cell r="I1358"/>
        </row>
        <row r="1359">
          <cell r="B1359"/>
          <cell r="C1359"/>
          <cell r="D1359"/>
          <cell r="E1359"/>
          <cell r="F1359"/>
          <cell r="G1359"/>
          <cell r="H1359"/>
          <cell r="I1359"/>
        </row>
        <row r="1360">
          <cell r="B1360"/>
          <cell r="C1360"/>
          <cell r="D1360"/>
          <cell r="E1360"/>
          <cell r="F1360" t="str">
            <v>Sub-Total</v>
          </cell>
          <cell r="G1360" t="str">
            <v>5.5</v>
          </cell>
          <cell r="H1360" t="str">
            <v>TRAN-5.5</v>
          </cell>
          <cell r="I1360">
            <v>0</v>
          </cell>
        </row>
        <row r="1361"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B1362"/>
          <cell r="C1362"/>
          <cell r="D1362" t="str">
            <v>JORNAL-HORA</v>
          </cell>
          <cell r="E1362" t="str">
            <v>PRES</v>
          </cell>
          <cell r="F1362" t="str">
            <v>JORNAL TOTAL</v>
          </cell>
          <cell r="G1362" t="str">
            <v>RENDIEMIENTO</v>
          </cell>
          <cell r="H1362" t="str">
            <v>VALOR-UNIT</v>
          </cell>
          <cell r="I1362"/>
        </row>
        <row r="1363">
          <cell r="B1363" t="str">
            <v>MO004</v>
          </cell>
          <cell r="C1363" t="str">
            <v>OFICIAL</v>
          </cell>
          <cell r="D1363">
            <v>9301.6465000000026</v>
          </cell>
          <cell r="E1363">
            <v>0.56000000000000005</v>
          </cell>
          <cell r="F1363">
            <v>14510.568540000004</v>
          </cell>
          <cell r="G1363">
            <v>1.2</v>
          </cell>
          <cell r="H1363">
            <v>17412.682248000005</v>
          </cell>
          <cell r="I1363"/>
        </row>
        <row r="1364">
          <cell r="B1364" t="str">
            <v>MO005</v>
          </cell>
          <cell r="C1364" t="str">
            <v>AYUDANTE ENTENDIDO</v>
          </cell>
          <cell r="D1364">
            <v>8051.6465000000007</v>
          </cell>
          <cell r="E1364">
            <v>0.56000000000000005</v>
          </cell>
          <cell r="F1364">
            <v>12560.568540000002</v>
          </cell>
          <cell r="G1364">
            <v>1.2</v>
          </cell>
          <cell r="H1364">
            <v>15072.682248000001</v>
          </cell>
          <cell r="I1364"/>
        </row>
        <row r="1365">
          <cell r="B1365" t="str">
            <v>MO006</v>
          </cell>
          <cell r="C1365" t="str">
            <v>AYUDANTE</v>
          </cell>
          <cell r="D1365">
            <v>6801.6465000000007</v>
          </cell>
          <cell r="E1365">
            <v>0.56000000000000005</v>
          </cell>
          <cell r="F1365">
            <v>10610.568540000002</v>
          </cell>
          <cell r="G1365">
            <v>2.4</v>
          </cell>
          <cell r="H1365">
            <v>25465.364496000006</v>
          </cell>
          <cell r="I1365"/>
        </row>
        <row r="1366">
          <cell r="B1366"/>
          <cell r="C1366"/>
          <cell r="D1366"/>
          <cell r="E1366"/>
          <cell r="F1366"/>
          <cell r="G1366"/>
          <cell r="H1366"/>
          <cell r="I1366"/>
        </row>
        <row r="1367">
          <cell r="B1367"/>
          <cell r="C1367"/>
          <cell r="D1367"/>
          <cell r="E1367"/>
          <cell r="F1367"/>
          <cell r="G1367"/>
          <cell r="H1367"/>
          <cell r="I1367"/>
        </row>
        <row r="1368">
          <cell r="B1368"/>
          <cell r="C1368"/>
          <cell r="D1368"/>
          <cell r="E1368"/>
          <cell r="F1368"/>
          <cell r="G1368"/>
          <cell r="H1368"/>
          <cell r="I1368"/>
        </row>
        <row r="1369">
          <cell r="B1369"/>
          <cell r="C1369"/>
          <cell r="D1369"/>
          <cell r="E1369"/>
          <cell r="F1369" t="str">
            <v>Sub-Total</v>
          </cell>
          <cell r="G1369" t="str">
            <v>5.5</v>
          </cell>
          <cell r="H1369" t="str">
            <v>MDEO-5.5</v>
          </cell>
          <cell r="I1369">
            <v>57950.728992000011</v>
          </cell>
        </row>
        <row r="1370">
          <cell r="B1370"/>
          <cell r="C1370"/>
          <cell r="D1370"/>
          <cell r="E1370"/>
          <cell r="F1370"/>
          <cell r="G1370"/>
          <cell r="H1370"/>
          <cell r="I1370">
            <v>2897.5364496000007</v>
          </cell>
        </row>
        <row r="1371">
          <cell r="B1371"/>
          <cell r="C1371"/>
          <cell r="D1371"/>
          <cell r="E1371"/>
          <cell r="F1371" t="str">
            <v>Total Costo Directo</v>
          </cell>
          <cell r="G1371"/>
          <cell r="H1371"/>
          <cell r="I1371">
            <v>196248</v>
          </cell>
        </row>
        <row r="1372">
          <cell r="B1372"/>
          <cell r="C1372"/>
          <cell r="D1372"/>
          <cell r="E1372" t="str">
            <v>PORCENTAJE</v>
          </cell>
          <cell r="F1372"/>
          <cell r="G1372" t="str">
            <v>V. COSTO INDERECTO</v>
          </cell>
          <cell r="H1372"/>
          <cell r="I1372"/>
        </row>
        <row r="1373">
          <cell r="B1373"/>
          <cell r="C1373"/>
          <cell r="D1373"/>
          <cell r="E1373">
            <v>0.02</v>
          </cell>
          <cell r="F1373"/>
          <cell r="G1373">
            <v>3924.96</v>
          </cell>
          <cell r="H1373"/>
          <cell r="I1373"/>
        </row>
        <row r="1374">
          <cell r="B1374"/>
          <cell r="C1374"/>
          <cell r="D1374"/>
          <cell r="E1374">
            <v>0.23</v>
          </cell>
          <cell r="F1374"/>
          <cell r="G1374">
            <v>45137.04</v>
          </cell>
          <cell r="H1374"/>
          <cell r="I1374"/>
        </row>
        <row r="1375">
          <cell r="B1375"/>
          <cell r="C1375"/>
          <cell r="D1375"/>
          <cell r="E1375">
            <v>0.05</v>
          </cell>
          <cell r="F1375"/>
          <cell r="G1375">
            <v>9812.4</v>
          </cell>
          <cell r="H1375"/>
          <cell r="I1375"/>
        </row>
        <row r="1376">
          <cell r="B1376"/>
          <cell r="C1376"/>
          <cell r="D1376"/>
          <cell r="E1376">
            <v>0.02</v>
          </cell>
          <cell r="F1376"/>
          <cell r="G1376">
            <v>3924.96</v>
          </cell>
          <cell r="H1376"/>
          <cell r="I1376"/>
        </row>
        <row r="1377">
          <cell r="B1377"/>
          <cell r="C1377"/>
          <cell r="D1377"/>
          <cell r="E1377"/>
          <cell r="F1377"/>
          <cell r="G1377"/>
          <cell r="H1377"/>
          <cell r="I1377">
            <v>62799.360000000001</v>
          </cell>
        </row>
        <row r="1378">
          <cell r="B1378"/>
          <cell r="C1378"/>
          <cell r="D1378"/>
          <cell r="E1378"/>
          <cell r="F1378"/>
          <cell r="G1378"/>
          <cell r="H1378"/>
          <cell r="I1378">
            <v>259047.36</v>
          </cell>
        </row>
        <row r="1379">
          <cell r="B1379"/>
          <cell r="C1379"/>
          <cell r="D1379"/>
          <cell r="E1379"/>
          <cell r="F1379"/>
          <cell r="G1379"/>
          <cell r="H1379"/>
          <cell r="I1379"/>
        </row>
        <row r="1380">
          <cell r="B1380"/>
          <cell r="C1380"/>
          <cell r="D1380"/>
          <cell r="E1380"/>
          <cell r="F1380" t="str">
            <v>REVISA</v>
          </cell>
          <cell r="G1380"/>
          <cell r="H1380"/>
          <cell r="I1380"/>
        </row>
        <row r="1381">
          <cell r="B1381"/>
          <cell r="C1381"/>
          <cell r="D1381"/>
          <cell r="E1381"/>
          <cell r="F1381" t="str">
            <v>FIRMA:</v>
          </cell>
          <cell r="G1381"/>
          <cell r="H1381"/>
          <cell r="I1381"/>
        </row>
        <row r="1382">
          <cell r="B1382" t="str">
            <v>LINA MARCELA</v>
          </cell>
          <cell r="C1382"/>
          <cell r="F1382" t="str">
            <v>NOMBRE</v>
          </cell>
          <cell r="G1382"/>
          <cell r="H1382"/>
          <cell r="I1382"/>
        </row>
        <row r="1383">
          <cell r="B1383" t="str">
            <v>05202-316814 ANT</v>
          </cell>
          <cell r="C1383"/>
          <cell r="F1383" t="str">
            <v>MAT:</v>
          </cell>
          <cell r="G1383"/>
          <cell r="H1383"/>
          <cell r="I1383"/>
        </row>
        <row r="1384">
          <cell r="B1384"/>
          <cell r="C1384"/>
          <cell r="F1384"/>
          <cell r="G1384"/>
          <cell r="H1384"/>
          <cell r="I1384"/>
        </row>
        <row r="1385">
          <cell r="B1385"/>
          <cell r="C1385"/>
          <cell r="D1385"/>
          <cell r="E1385"/>
          <cell r="F1385"/>
          <cell r="G1385"/>
          <cell r="H1385"/>
          <cell r="I1385"/>
        </row>
        <row r="1386">
          <cell r="B1386"/>
          <cell r="C1386"/>
          <cell r="D1386"/>
          <cell r="E1386"/>
          <cell r="F1386"/>
          <cell r="G1386"/>
          <cell r="H1386"/>
          <cell r="I1386"/>
        </row>
        <row r="1387">
          <cell r="B1387"/>
          <cell r="C1387"/>
          <cell r="D1387"/>
          <cell r="E1387"/>
          <cell r="F1387"/>
          <cell r="G1387"/>
          <cell r="H1387"/>
          <cell r="I1387"/>
        </row>
        <row r="1389">
          <cell r="B1389"/>
          <cell r="C1389"/>
          <cell r="D1389"/>
          <cell r="E1389"/>
          <cell r="F1389"/>
          <cell r="G1389"/>
          <cell r="H1389"/>
          <cell r="I1389"/>
        </row>
        <row r="1390">
          <cell r="B1390" t="str">
            <v>5.6</v>
          </cell>
          <cell r="C1390" t="str">
            <v>DESCRIPCION:</v>
          </cell>
          <cell r="D1390" t="str">
            <v>ESPECIES Y JARDINERIA TIPO III</v>
          </cell>
          <cell r="E1390"/>
          <cell r="F1390"/>
          <cell r="G1390"/>
          <cell r="H1390"/>
          <cell r="I1390"/>
        </row>
        <row r="1391">
          <cell r="B1391" t="str">
            <v>820-13C</v>
          </cell>
          <cell r="C1391"/>
          <cell r="D1391" t="str">
            <v>UNIDAD</v>
          </cell>
          <cell r="E1391" t="str">
            <v>UNIDAD</v>
          </cell>
          <cell r="F1391" t="str">
            <v>CANTIDAD</v>
          </cell>
          <cell r="G1391" t="e">
            <v>#N/A</v>
          </cell>
          <cell r="H1391" t="str">
            <v>V. UNITARIO:</v>
          </cell>
          <cell r="I1391">
            <v>203436</v>
          </cell>
        </row>
        <row r="1392">
          <cell r="B1392"/>
          <cell r="C1392"/>
          <cell r="D1392"/>
          <cell r="E1392"/>
          <cell r="F1392"/>
          <cell r="G1392"/>
          <cell r="H1392"/>
          <cell r="I1392"/>
        </row>
        <row r="1393">
          <cell r="B1393"/>
          <cell r="C1393"/>
          <cell r="D1393"/>
          <cell r="E1393"/>
          <cell r="F1393" t="str">
            <v>Tarifa/Hora</v>
          </cell>
          <cell r="G1393" t="str">
            <v>Rendimiento</v>
          </cell>
          <cell r="H1393" t="str">
            <v>Valor-Unit.</v>
          </cell>
          <cell r="I1393"/>
        </row>
        <row r="1394">
          <cell r="B1394" t="str">
            <v>E018</v>
          </cell>
          <cell r="C1394"/>
          <cell r="D1394"/>
          <cell r="E1394"/>
          <cell r="F1394"/>
          <cell r="G1394"/>
          <cell r="H1394"/>
          <cell r="I1394"/>
        </row>
        <row r="1395">
          <cell r="B1395" t="str">
            <v>E013</v>
          </cell>
          <cell r="C1395"/>
          <cell r="D1395"/>
          <cell r="E1395"/>
          <cell r="F1395"/>
          <cell r="G1395"/>
          <cell r="H1395"/>
          <cell r="I1395"/>
        </row>
        <row r="1396">
          <cell r="B1396" t="str">
            <v>E027</v>
          </cell>
          <cell r="C1396"/>
          <cell r="D1396"/>
          <cell r="E1396"/>
          <cell r="F1396"/>
          <cell r="G1396"/>
          <cell r="H1396"/>
          <cell r="I1396"/>
        </row>
        <row r="1397">
          <cell r="B1397"/>
          <cell r="C1397"/>
          <cell r="D1397"/>
          <cell r="E1397"/>
          <cell r="F1397" t="str">
            <v>Sub-Total</v>
          </cell>
          <cell r="G1397" t="str">
            <v>5.6</v>
          </cell>
          <cell r="H1397" t="str">
            <v>EQUI-5.5</v>
          </cell>
          <cell r="I1397">
            <v>0</v>
          </cell>
        </row>
        <row r="1398">
          <cell r="B1398"/>
          <cell r="C1398"/>
          <cell r="D1398"/>
          <cell r="E1398"/>
          <cell r="F1398"/>
          <cell r="G1398"/>
          <cell r="H1398"/>
          <cell r="I1398"/>
        </row>
        <row r="1399">
          <cell r="B1399"/>
          <cell r="C1399"/>
          <cell r="D1399"/>
          <cell r="E1399" t="str">
            <v>UNIDAD</v>
          </cell>
          <cell r="F1399" t="str">
            <v>V.UNIT</v>
          </cell>
          <cell r="G1399" t="str">
            <v>CANT</v>
          </cell>
          <cell r="H1399" t="str">
            <v>V.TOTAL</v>
          </cell>
          <cell r="I1399"/>
        </row>
        <row r="1400">
          <cell r="B1400" t="str">
            <v>M130</v>
          </cell>
          <cell r="C1400" t="str">
            <v>ESPECIE LENGUA DE SUEGRA</v>
          </cell>
          <cell r="D1400"/>
          <cell r="E1400" t="str">
            <v>UN</v>
          </cell>
          <cell r="F1400">
            <v>18000</v>
          </cell>
          <cell r="G1400">
            <v>6</v>
          </cell>
          <cell r="H1400">
            <v>108000</v>
          </cell>
          <cell r="I1400"/>
        </row>
        <row r="1401">
          <cell r="B1401" t="str">
            <v>M128</v>
          </cell>
          <cell r="C1401" t="str">
            <v>ESPECIE OITI</v>
          </cell>
          <cell r="D1401"/>
          <cell r="E1401" t="str">
            <v>UN</v>
          </cell>
          <cell r="F1401">
            <v>33600</v>
          </cell>
          <cell r="G1401">
            <v>1</v>
          </cell>
          <cell r="H1401">
            <v>33600</v>
          </cell>
          <cell r="I1401"/>
        </row>
        <row r="1402">
          <cell r="B1402" t="str">
            <v>M025</v>
          </cell>
          <cell r="C1402" t="str">
            <v xml:space="preserve">FERTILIZANTE FÓSFORO </v>
          </cell>
          <cell r="D1402"/>
          <cell r="E1402" t="str">
            <v>BULTO</v>
          </cell>
          <cell r="F1402">
            <v>110000</v>
          </cell>
          <cell r="G1402">
            <v>0.02</v>
          </cell>
          <cell r="H1402">
            <v>2200</v>
          </cell>
          <cell r="I1402"/>
        </row>
        <row r="1403">
          <cell r="B1403" t="str">
            <v>M026</v>
          </cell>
          <cell r="C1403" t="str">
            <v>FERTILIZANTE Urea</v>
          </cell>
          <cell r="D1403"/>
          <cell r="E1403" t="str">
            <v>BULTO</v>
          </cell>
          <cell r="F1403">
            <v>95000</v>
          </cell>
          <cell r="G1403">
            <v>0.1</v>
          </cell>
          <cell r="H1403">
            <v>9500</v>
          </cell>
          <cell r="I1403"/>
        </row>
        <row r="1404">
          <cell r="B1404" t="str">
            <v>M121</v>
          </cell>
          <cell r="C1404" t="str">
            <v>BULTO TIERRA</v>
          </cell>
          <cell r="D1404"/>
          <cell r="E1404" t="str">
            <v>BULTO</v>
          </cell>
          <cell r="F1404">
            <v>15000</v>
          </cell>
          <cell r="G1404">
            <v>0.3</v>
          </cell>
          <cell r="H1404">
            <v>4500</v>
          </cell>
          <cell r="I1404"/>
        </row>
        <row r="1405">
          <cell r="B1405"/>
          <cell r="C1405"/>
          <cell r="D1405"/>
          <cell r="E1405"/>
          <cell r="F1405" t="str">
            <v>Sub-Total</v>
          </cell>
          <cell r="G1405" t="str">
            <v>5.6</v>
          </cell>
          <cell r="H1405" t="str">
            <v>MAT-5.5</v>
          </cell>
          <cell r="I1405">
            <v>157800</v>
          </cell>
        </row>
        <row r="1406"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B1407"/>
          <cell r="C1407"/>
          <cell r="D1407" t="str">
            <v xml:space="preserve">CAN </v>
          </cell>
          <cell r="E1407" t="str">
            <v>DISTANCIA</v>
          </cell>
          <cell r="F1407" t="str">
            <v>M3-Km / UN-KM</v>
          </cell>
          <cell r="G1407" t="str">
            <v>TARIFA</v>
          </cell>
          <cell r="H1407" t="str">
            <v>Valor-Unit.</v>
          </cell>
          <cell r="I1407"/>
        </row>
        <row r="1408">
          <cell r="B1408"/>
          <cell r="C1408"/>
          <cell r="D1408"/>
          <cell r="E1408"/>
          <cell r="F1408"/>
          <cell r="G1408"/>
          <cell r="H1408"/>
          <cell r="I1408"/>
        </row>
        <row r="1409">
          <cell r="B1409"/>
          <cell r="C1409"/>
          <cell r="D1409"/>
          <cell r="E1409"/>
          <cell r="F1409"/>
          <cell r="G1409"/>
          <cell r="H1409"/>
          <cell r="I1409"/>
        </row>
        <row r="1410">
          <cell r="B1410"/>
          <cell r="C1410"/>
          <cell r="D1410"/>
          <cell r="E1410"/>
          <cell r="F1410" t="str">
            <v>Sub-Total</v>
          </cell>
          <cell r="G1410" t="str">
            <v>5.6</v>
          </cell>
          <cell r="H1410" t="str">
            <v>TRAN-5.5</v>
          </cell>
          <cell r="I1410">
            <v>0</v>
          </cell>
        </row>
        <row r="1411">
          <cell r="B1411"/>
          <cell r="C1411"/>
          <cell r="D1411"/>
          <cell r="E1411"/>
          <cell r="F1411"/>
          <cell r="G1411"/>
          <cell r="H1411"/>
          <cell r="I1411"/>
        </row>
        <row r="1412">
          <cell r="B1412"/>
          <cell r="C1412"/>
          <cell r="D1412" t="str">
            <v>JORNAL-HORA</v>
          </cell>
          <cell r="E1412" t="str">
            <v>PRES</v>
          </cell>
          <cell r="F1412" t="str">
            <v>JORNAL TOTAL</v>
          </cell>
          <cell r="G1412" t="str">
            <v>RENDIEMIENTO</v>
          </cell>
          <cell r="H1412" t="str">
            <v>VALOR-UNIT</v>
          </cell>
          <cell r="I1412"/>
        </row>
        <row r="1413">
          <cell r="B1413" t="str">
            <v>MO004</v>
          </cell>
          <cell r="C1413" t="str">
            <v>OFICIAL</v>
          </cell>
          <cell r="D1413">
            <v>9301.6465000000026</v>
          </cell>
          <cell r="E1413">
            <v>0.56000000000000005</v>
          </cell>
          <cell r="F1413">
            <v>14510.568540000004</v>
          </cell>
          <cell r="G1413">
            <v>0.9</v>
          </cell>
          <cell r="H1413">
            <v>13059.511686000003</v>
          </cell>
          <cell r="I1413"/>
        </row>
        <row r="1414">
          <cell r="B1414" t="str">
            <v>MO005</v>
          </cell>
          <cell r="C1414" t="str">
            <v>AYUDANTE ENTENDIDO</v>
          </cell>
          <cell r="D1414">
            <v>8051.6465000000007</v>
          </cell>
          <cell r="E1414">
            <v>0.56000000000000005</v>
          </cell>
          <cell r="F1414">
            <v>12560.568540000002</v>
          </cell>
          <cell r="G1414">
            <v>0.9</v>
          </cell>
          <cell r="H1414">
            <v>11304.511686000002</v>
          </cell>
          <cell r="I1414"/>
        </row>
        <row r="1415">
          <cell r="B1415" t="str">
            <v>MO006</v>
          </cell>
          <cell r="C1415" t="str">
            <v>AYUDANTE</v>
          </cell>
          <cell r="D1415">
            <v>6801.6465000000007</v>
          </cell>
          <cell r="E1415">
            <v>0.56000000000000005</v>
          </cell>
          <cell r="F1415">
            <v>10610.568540000002</v>
          </cell>
          <cell r="G1415">
            <v>1.8</v>
          </cell>
          <cell r="H1415">
            <v>19099.023372000003</v>
          </cell>
          <cell r="I1415"/>
        </row>
        <row r="1416">
          <cell r="B1416"/>
          <cell r="C1416"/>
          <cell r="D1416"/>
          <cell r="E1416"/>
          <cell r="F1416"/>
          <cell r="G1416"/>
          <cell r="H1416"/>
          <cell r="I1416"/>
        </row>
        <row r="1417">
          <cell r="B1417"/>
          <cell r="C1417"/>
          <cell r="D1417"/>
          <cell r="E1417"/>
          <cell r="F1417"/>
          <cell r="G1417"/>
          <cell r="H1417"/>
          <cell r="I1417"/>
        </row>
        <row r="1418">
          <cell r="B1418"/>
          <cell r="C1418"/>
          <cell r="D1418"/>
          <cell r="E1418"/>
          <cell r="F1418"/>
          <cell r="G1418"/>
          <cell r="H1418"/>
          <cell r="I1418"/>
        </row>
        <row r="1419">
          <cell r="B1419"/>
          <cell r="C1419"/>
          <cell r="D1419"/>
          <cell r="E1419"/>
          <cell r="F1419" t="str">
            <v>Sub-Total</v>
          </cell>
          <cell r="G1419" t="str">
            <v>5.6</v>
          </cell>
          <cell r="H1419" t="str">
            <v>MDEO-5.5</v>
          </cell>
          <cell r="I1419">
            <v>43463.046744000007</v>
          </cell>
        </row>
        <row r="1420">
          <cell r="B1420"/>
          <cell r="C1420"/>
          <cell r="D1420"/>
          <cell r="E1420"/>
          <cell r="F1420"/>
          <cell r="G1420"/>
          <cell r="H1420"/>
          <cell r="I1420">
            <v>2173.1523372000006</v>
          </cell>
        </row>
        <row r="1421">
          <cell r="B1421"/>
          <cell r="C1421"/>
          <cell r="D1421"/>
          <cell r="E1421"/>
          <cell r="F1421" t="str">
            <v>Total Costo Directo</v>
          </cell>
          <cell r="G1421"/>
          <cell r="H1421"/>
          <cell r="I1421">
            <v>203436</v>
          </cell>
        </row>
        <row r="1422">
          <cell r="B1422"/>
          <cell r="C1422"/>
          <cell r="D1422"/>
          <cell r="E1422" t="str">
            <v>PORCENTAJE</v>
          </cell>
          <cell r="F1422"/>
          <cell r="G1422" t="str">
            <v>V. COSTO INDERECTO</v>
          </cell>
          <cell r="H1422"/>
          <cell r="I1422"/>
        </row>
        <row r="1423">
          <cell r="B1423"/>
          <cell r="C1423"/>
          <cell r="D1423"/>
          <cell r="E1423">
            <v>0.02</v>
          </cell>
          <cell r="F1423"/>
          <cell r="G1423">
            <v>4068.7200000000003</v>
          </cell>
          <cell r="H1423"/>
          <cell r="I1423"/>
        </row>
        <row r="1424">
          <cell r="B1424"/>
          <cell r="C1424"/>
          <cell r="D1424"/>
          <cell r="E1424">
            <v>0.23</v>
          </cell>
          <cell r="F1424"/>
          <cell r="G1424">
            <v>46790.28</v>
          </cell>
          <cell r="H1424"/>
          <cell r="I1424"/>
        </row>
        <row r="1425">
          <cell r="B1425"/>
          <cell r="C1425"/>
          <cell r="D1425"/>
          <cell r="E1425">
            <v>0.05</v>
          </cell>
          <cell r="F1425"/>
          <cell r="G1425">
            <v>10171.800000000001</v>
          </cell>
          <cell r="H1425"/>
          <cell r="I1425"/>
        </row>
        <row r="1426">
          <cell r="B1426"/>
          <cell r="C1426"/>
          <cell r="D1426"/>
          <cell r="E1426">
            <v>0.02</v>
          </cell>
          <cell r="F1426"/>
          <cell r="G1426">
            <v>4068.7200000000003</v>
          </cell>
          <cell r="H1426"/>
          <cell r="I1426"/>
        </row>
        <row r="1427">
          <cell r="B1427"/>
          <cell r="C1427"/>
          <cell r="D1427"/>
          <cell r="E1427"/>
          <cell r="F1427"/>
          <cell r="G1427"/>
          <cell r="H1427"/>
          <cell r="I1427">
            <v>65099.520000000004</v>
          </cell>
        </row>
        <row r="1428">
          <cell r="B1428"/>
          <cell r="C1428"/>
          <cell r="D1428"/>
          <cell r="E1428"/>
          <cell r="F1428"/>
          <cell r="G1428"/>
          <cell r="H1428"/>
          <cell r="I1428">
            <v>268535.52</v>
          </cell>
        </row>
        <row r="1429">
          <cell r="B1429"/>
          <cell r="C1429"/>
          <cell r="D1429"/>
          <cell r="E1429"/>
          <cell r="F1429"/>
          <cell r="G1429"/>
          <cell r="H1429"/>
          <cell r="I1429"/>
        </row>
        <row r="1430">
          <cell r="B1430"/>
          <cell r="C1430"/>
          <cell r="D1430"/>
          <cell r="E1430"/>
          <cell r="F1430" t="str">
            <v>REVISA</v>
          </cell>
          <cell r="G1430"/>
          <cell r="H1430"/>
          <cell r="I1430"/>
        </row>
        <row r="1431">
          <cell r="B1431"/>
          <cell r="C1431"/>
          <cell r="D1431"/>
          <cell r="E1431"/>
          <cell r="F1431" t="str">
            <v>FIRMA:</v>
          </cell>
          <cell r="G1431"/>
          <cell r="H1431"/>
          <cell r="I1431"/>
        </row>
        <row r="1432">
          <cell r="B1432" t="str">
            <v>LINA MARCELA</v>
          </cell>
          <cell r="C1432"/>
          <cell r="F1432" t="str">
            <v>NOMBRE</v>
          </cell>
          <cell r="G1432"/>
          <cell r="H1432"/>
          <cell r="I1432"/>
        </row>
        <row r="1433">
          <cell r="B1433" t="str">
            <v>05202-316814 ANT</v>
          </cell>
          <cell r="C1433"/>
          <cell r="F1433" t="str">
            <v>MAT:</v>
          </cell>
          <cell r="G1433"/>
          <cell r="H1433"/>
          <cell r="I1433"/>
        </row>
        <row r="1434">
          <cell r="B1434"/>
          <cell r="C1434"/>
          <cell r="F1434"/>
          <cell r="G1434"/>
          <cell r="H1434"/>
          <cell r="I1434"/>
        </row>
        <row r="1435">
          <cell r="B1435"/>
          <cell r="C1435"/>
          <cell r="D1435"/>
          <cell r="E1435"/>
          <cell r="F1435"/>
          <cell r="G1435"/>
          <cell r="H1435"/>
          <cell r="I1435"/>
        </row>
        <row r="1436">
          <cell r="B1436"/>
          <cell r="C1436"/>
          <cell r="D1436"/>
          <cell r="E1436"/>
          <cell r="F1436"/>
          <cell r="G1436"/>
          <cell r="H1436"/>
          <cell r="I1436"/>
        </row>
        <row r="1437">
          <cell r="B1437"/>
          <cell r="C1437"/>
          <cell r="D1437"/>
          <cell r="E1437"/>
          <cell r="F1437"/>
          <cell r="G1437"/>
          <cell r="H1437"/>
          <cell r="I1437"/>
        </row>
        <row r="1439">
          <cell r="B1439"/>
          <cell r="C1439"/>
          <cell r="D1439"/>
          <cell r="E1439"/>
          <cell r="F1439"/>
          <cell r="G1439"/>
          <cell r="H1439"/>
          <cell r="I1439"/>
        </row>
        <row r="1440">
          <cell r="B1440" t="str">
            <v>5.7</v>
          </cell>
          <cell r="C1440" t="str">
            <v>DESCRIPCION:</v>
          </cell>
          <cell r="D1440" t="str">
            <v>ESPECIES Y JARDINERIA ZONA VERDE TIPO I</v>
          </cell>
          <cell r="E1440"/>
          <cell r="F1440"/>
          <cell r="G1440"/>
          <cell r="H1440"/>
          <cell r="I1440"/>
        </row>
        <row r="1441">
          <cell r="B1441" t="str">
            <v>820-13D</v>
          </cell>
          <cell r="C1441"/>
          <cell r="D1441" t="str">
            <v>UNIDAD</v>
          </cell>
          <cell r="E1441" t="str">
            <v>UNIDAD</v>
          </cell>
          <cell r="F1441" t="str">
            <v>CANTIDAD</v>
          </cell>
          <cell r="G1441" t="e">
            <v>#N/A</v>
          </cell>
          <cell r="H1441" t="str">
            <v>V. UNITARIO:</v>
          </cell>
          <cell r="I1441">
            <v>641636</v>
          </cell>
        </row>
        <row r="1442">
          <cell r="B1442"/>
          <cell r="C1442"/>
          <cell r="D1442"/>
          <cell r="E1442"/>
          <cell r="F1442"/>
          <cell r="G1442"/>
          <cell r="H1442"/>
          <cell r="I1442"/>
        </row>
        <row r="1443">
          <cell r="B1443"/>
          <cell r="C1443"/>
          <cell r="D1443"/>
          <cell r="E1443"/>
          <cell r="F1443" t="str">
            <v>Tarifa/Hora</v>
          </cell>
          <cell r="G1443" t="str">
            <v>Rendimiento</v>
          </cell>
          <cell r="H1443" t="str">
            <v>Valor-Unit.</v>
          </cell>
          <cell r="I1443"/>
        </row>
        <row r="1444">
          <cell r="B1444" t="str">
            <v>E018</v>
          </cell>
          <cell r="C1444"/>
          <cell r="D1444"/>
          <cell r="E1444"/>
          <cell r="F1444"/>
          <cell r="G1444"/>
          <cell r="H1444"/>
          <cell r="I1444"/>
        </row>
        <row r="1445">
          <cell r="B1445" t="str">
            <v>E013</v>
          </cell>
          <cell r="C1445"/>
          <cell r="D1445"/>
          <cell r="E1445"/>
          <cell r="F1445"/>
          <cell r="G1445"/>
          <cell r="H1445"/>
          <cell r="I1445"/>
        </row>
        <row r="1446">
          <cell r="B1446" t="str">
            <v>E027</v>
          </cell>
          <cell r="C1446"/>
          <cell r="D1446"/>
          <cell r="E1446"/>
          <cell r="F1446"/>
          <cell r="G1446"/>
          <cell r="H1446"/>
          <cell r="I1446"/>
        </row>
        <row r="1447">
          <cell r="B1447"/>
          <cell r="C1447"/>
          <cell r="D1447"/>
          <cell r="E1447"/>
          <cell r="F1447" t="str">
            <v>Sub-Total</v>
          </cell>
          <cell r="G1447" t="str">
            <v>5.7</v>
          </cell>
          <cell r="H1447" t="str">
            <v>EQUI-5.5</v>
          </cell>
          <cell r="I1447">
            <v>0</v>
          </cell>
        </row>
        <row r="1448">
          <cell r="B1448"/>
          <cell r="C1448"/>
          <cell r="D1448"/>
          <cell r="E1448"/>
          <cell r="F1448"/>
          <cell r="G1448"/>
          <cell r="H1448"/>
          <cell r="I1448"/>
        </row>
        <row r="1449">
          <cell r="B1449"/>
          <cell r="C1449"/>
          <cell r="D1449"/>
          <cell r="E1449" t="str">
            <v>UNIDAD</v>
          </cell>
          <cell r="F1449" t="str">
            <v>V.UNIT</v>
          </cell>
          <cell r="G1449" t="str">
            <v>CANT</v>
          </cell>
          <cell r="H1449" t="str">
            <v>V.TOTAL</v>
          </cell>
          <cell r="I1449"/>
        </row>
        <row r="1450">
          <cell r="B1450" t="str">
            <v>M131</v>
          </cell>
          <cell r="C1450" t="str">
            <v>ESPECIE HELICONIA</v>
          </cell>
          <cell r="D1450"/>
          <cell r="E1450" t="str">
            <v>UN</v>
          </cell>
          <cell r="F1450">
            <v>11200.000000000002</v>
          </cell>
          <cell r="G1450">
            <v>6</v>
          </cell>
          <cell r="H1450">
            <v>67200.000000000015</v>
          </cell>
          <cell r="I1450"/>
        </row>
        <row r="1451">
          <cell r="B1451" t="str">
            <v>M128</v>
          </cell>
          <cell r="C1451" t="str">
            <v>ESPECIE OITI</v>
          </cell>
          <cell r="D1451"/>
          <cell r="E1451" t="str">
            <v>UN</v>
          </cell>
          <cell r="F1451">
            <v>33600</v>
          </cell>
          <cell r="G1451">
            <v>2</v>
          </cell>
          <cell r="H1451">
            <v>67200</v>
          </cell>
          <cell r="I1451"/>
        </row>
        <row r="1452">
          <cell r="B1452" t="str">
            <v>M116</v>
          </cell>
          <cell r="C1452" t="str">
            <v>ESPECIE CROTO VICTORIA</v>
          </cell>
          <cell r="D1452"/>
          <cell r="E1452" t="str">
            <v>UN</v>
          </cell>
          <cell r="F1452">
            <v>21600</v>
          </cell>
          <cell r="G1452">
            <v>14</v>
          </cell>
          <cell r="H1452">
            <v>302400</v>
          </cell>
          <cell r="I1452"/>
        </row>
        <row r="1453">
          <cell r="B1453" t="str">
            <v>M117</v>
          </cell>
          <cell r="C1453" t="str">
            <v>ESPECIE NIÑA BARCO</v>
          </cell>
          <cell r="D1453"/>
          <cell r="E1453" t="str">
            <v>UN</v>
          </cell>
          <cell r="F1453">
            <v>6500</v>
          </cell>
          <cell r="G1453">
            <v>22</v>
          </cell>
          <cell r="H1453">
            <v>143000</v>
          </cell>
          <cell r="I1453"/>
        </row>
        <row r="1454">
          <cell r="B1454" t="str">
            <v>M025</v>
          </cell>
          <cell r="C1454" t="str">
            <v xml:space="preserve">FERTILIZANTE FÓSFORO </v>
          </cell>
          <cell r="D1454"/>
          <cell r="E1454" t="str">
            <v>BULTO</v>
          </cell>
          <cell r="F1454">
            <v>110000</v>
          </cell>
          <cell r="G1454">
            <v>0.02</v>
          </cell>
          <cell r="H1454">
            <v>2200</v>
          </cell>
          <cell r="I1454"/>
        </row>
        <row r="1455">
          <cell r="B1455" t="str">
            <v>M026</v>
          </cell>
          <cell r="C1455" t="str">
            <v>FERTILIZANTE Urea</v>
          </cell>
          <cell r="D1455"/>
          <cell r="E1455" t="str">
            <v>BULTO</v>
          </cell>
          <cell r="F1455">
            <v>95000</v>
          </cell>
          <cell r="G1455">
            <v>0.1</v>
          </cell>
          <cell r="H1455">
            <v>9500</v>
          </cell>
          <cell r="I1455"/>
        </row>
        <row r="1456">
          <cell r="B1456" t="str">
            <v>M121</v>
          </cell>
          <cell r="C1456" t="str">
            <v>BULTO TIERRA</v>
          </cell>
          <cell r="D1456"/>
          <cell r="E1456" t="str">
            <v>BULTO</v>
          </cell>
          <cell r="F1456">
            <v>15000</v>
          </cell>
          <cell r="G1456">
            <v>0.3</v>
          </cell>
          <cell r="H1456">
            <v>4500</v>
          </cell>
          <cell r="I1456"/>
        </row>
        <row r="1457">
          <cell r="B1457"/>
          <cell r="C1457"/>
          <cell r="D1457"/>
          <cell r="E1457"/>
          <cell r="F1457" t="str">
            <v>Sub-Total</v>
          </cell>
          <cell r="G1457" t="str">
            <v>5.7</v>
          </cell>
          <cell r="H1457" t="str">
            <v>MAT-5.5</v>
          </cell>
          <cell r="I1457">
            <v>596000</v>
          </cell>
        </row>
        <row r="1458">
          <cell r="B1458"/>
          <cell r="C1458"/>
          <cell r="D1458"/>
          <cell r="E1458"/>
          <cell r="F1458"/>
          <cell r="G1458"/>
          <cell r="H1458"/>
          <cell r="I1458"/>
        </row>
        <row r="1459">
          <cell r="B1459"/>
          <cell r="C1459"/>
          <cell r="D1459" t="str">
            <v xml:space="preserve">CAN </v>
          </cell>
          <cell r="E1459" t="str">
            <v>DISTANCIA</v>
          </cell>
          <cell r="F1459" t="str">
            <v>M3-Km / UN-KM</v>
          </cell>
          <cell r="G1459" t="str">
            <v>TARIFA</v>
          </cell>
          <cell r="H1459" t="str">
            <v>Valor-Unit.</v>
          </cell>
          <cell r="I1459"/>
        </row>
        <row r="1460">
          <cell r="B1460"/>
          <cell r="C1460"/>
          <cell r="D1460"/>
          <cell r="E1460"/>
          <cell r="F1460"/>
          <cell r="G1460"/>
          <cell r="H1460"/>
          <cell r="I1460"/>
        </row>
        <row r="1461">
          <cell r="B1461"/>
          <cell r="C1461"/>
          <cell r="D1461"/>
          <cell r="E1461"/>
          <cell r="F1461"/>
          <cell r="G1461"/>
          <cell r="H1461"/>
          <cell r="I1461"/>
        </row>
        <row r="1462">
          <cell r="B1462"/>
          <cell r="C1462"/>
          <cell r="D1462"/>
          <cell r="E1462"/>
          <cell r="F1462" t="str">
            <v>Sub-Total</v>
          </cell>
          <cell r="G1462" t="str">
            <v>5.7</v>
          </cell>
          <cell r="H1462" t="str">
            <v>TRAN-5.5</v>
          </cell>
          <cell r="I1462">
            <v>0</v>
          </cell>
        </row>
        <row r="1463">
          <cell r="B1463"/>
          <cell r="C1463"/>
          <cell r="D1463"/>
          <cell r="E1463"/>
          <cell r="F1463"/>
          <cell r="G1463"/>
          <cell r="H1463"/>
          <cell r="I1463"/>
        </row>
        <row r="1464">
          <cell r="B1464"/>
          <cell r="C1464"/>
          <cell r="D1464" t="str">
            <v>JORNAL-HORA</v>
          </cell>
          <cell r="E1464" t="str">
            <v>PRES</v>
          </cell>
          <cell r="F1464" t="str">
            <v>JORNAL TOTAL</v>
          </cell>
          <cell r="G1464" t="str">
            <v>RENDIEMIENTO</v>
          </cell>
          <cell r="H1464" t="str">
            <v>VALOR-UNIT</v>
          </cell>
          <cell r="I1464"/>
        </row>
        <row r="1465">
          <cell r="B1465" t="str">
            <v>MO004</v>
          </cell>
          <cell r="C1465" t="str">
            <v>OFICIAL</v>
          </cell>
          <cell r="D1465">
            <v>9301.6465000000026</v>
          </cell>
          <cell r="E1465">
            <v>0.56000000000000005</v>
          </cell>
          <cell r="F1465">
            <v>14510.568540000004</v>
          </cell>
          <cell r="G1465">
            <v>0.9</v>
          </cell>
          <cell r="H1465">
            <v>13059.511686000003</v>
          </cell>
          <cell r="I1465"/>
        </row>
        <row r="1466">
          <cell r="B1466" t="str">
            <v>MO005</v>
          </cell>
          <cell r="C1466" t="str">
            <v>AYUDANTE ENTENDIDO</v>
          </cell>
          <cell r="D1466">
            <v>8051.6465000000007</v>
          </cell>
          <cell r="E1466">
            <v>0.56000000000000005</v>
          </cell>
          <cell r="F1466">
            <v>12560.568540000002</v>
          </cell>
          <cell r="G1466">
            <v>0.9</v>
          </cell>
          <cell r="H1466">
            <v>11304.511686000002</v>
          </cell>
          <cell r="I1466"/>
        </row>
        <row r="1467">
          <cell r="B1467" t="str">
            <v>MO006</v>
          </cell>
          <cell r="C1467" t="str">
            <v>AYUDANTE</v>
          </cell>
          <cell r="D1467">
            <v>6801.6465000000007</v>
          </cell>
          <cell r="E1467">
            <v>0.56000000000000005</v>
          </cell>
          <cell r="F1467">
            <v>10610.568540000002</v>
          </cell>
          <cell r="G1467">
            <v>1.8</v>
          </cell>
          <cell r="H1467">
            <v>19099.023372000003</v>
          </cell>
          <cell r="I1467"/>
        </row>
        <row r="1468">
          <cell r="B1468"/>
          <cell r="C1468"/>
          <cell r="D1468"/>
          <cell r="E1468"/>
          <cell r="F1468"/>
          <cell r="G1468"/>
          <cell r="H1468"/>
          <cell r="I1468"/>
        </row>
        <row r="1469">
          <cell r="B1469"/>
          <cell r="C1469"/>
          <cell r="D1469"/>
          <cell r="E1469"/>
          <cell r="F1469"/>
          <cell r="G1469"/>
          <cell r="H1469"/>
          <cell r="I1469"/>
        </row>
        <row r="1470">
          <cell r="B1470"/>
          <cell r="C1470"/>
          <cell r="D1470"/>
          <cell r="E1470"/>
          <cell r="F1470"/>
          <cell r="G1470"/>
          <cell r="H1470"/>
          <cell r="I1470"/>
        </row>
        <row r="1471">
          <cell r="B1471"/>
          <cell r="C1471"/>
          <cell r="D1471"/>
          <cell r="E1471"/>
          <cell r="F1471" t="str">
            <v>Sub-Total</v>
          </cell>
          <cell r="G1471" t="str">
            <v>5.7</v>
          </cell>
          <cell r="H1471" t="str">
            <v>MDEO-5.5</v>
          </cell>
          <cell r="I1471">
            <v>43463.046744000007</v>
          </cell>
        </row>
        <row r="1472">
          <cell r="B1472"/>
          <cell r="C1472"/>
          <cell r="D1472"/>
          <cell r="E1472"/>
          <cell r="F1472"/>
          <cell r="G1472"/>
          <cell r="H1472"/>
          <cell r="I1472">
            <v>2173.1523372000006</v>
          </cell>
        </row>
        <row r="1473">
          <cell r="B1473"/>
          <cell r="C1473"/>
          <cell r="D1473"/>
          <cell r="E1473"/>
          <cell r="F1473" t="str">
            <v>Total Costo Directo</v>
          </cell>
          <cell r="G1473"/>
          <cell r="H1473"/>
          <cell r="I1473">
            <v>641636</v>
          </cell>
        </row>
        <row r="1474">
          <cell r="B1474"/>
          <cell r="C1474"/>
          <cell r="D1474"/>
          <cell r="E1474" t="str">
            <v>PORCENTAJE</v>
          </cell>
          <cell r="F1474"/>
          <cell r="G1474" t="str">
            <v>V. COSTO INDERECTO</v>
          </cell>
          <cell r="H1474"/>
          <cell r="I1474"/>
        </row>
        <row r="1475">
          <cell r="B1475"/>
          <cell r="C1475"/>
          <cell r="D1475"/>
          <cell r="E1475">
            <v>0.02</v>
          </cell>
          <cell r="F1475"/>
          <cell r="G1475">
            <v>12832.720000000001</v>
          </cell>
          <cell r="H1475"/>
          <cell r="I1475"/>
        </row>
        <row r="1476">
          <cell r="B1476"/>
          <cell r="C1476"/>
          <cell r="D1476"/>
          <cell r="E1476">
            <v>0.23</v>
          </cell>
          <cell r="F1476"/>
          <cell r="G1476">
            <v>147576.28</v>
          </cell>
          <cell r="H1476"/>
          <cell r="I1476"/>
        </row>
        <row r="1477">
          <cell r="B1477"/>
          <cell r="C1477"/>
          <cell r="D1477"/>
          <cell r="E1477">
            <v>0.05</v>
          </cell>
          <cell r="F1477"/>
          <cell r="G1477">
            <v>32081.800000000003</v>
          </cell>
          <cell r="H1477"/>
          <cell r="I1477"/>
        </row>
        <row r="1478">
          <cell r="B1478"/>
          <cell r="C1478"/>
          <cell r="D1478"/>
          <cell r="E1478">
            <v>0.02</v>
          </cell>
          <cell r="F1478"/>
          <cell r="G1478">
            <v>12832.720000000001</v>
          </cell>
          <cell r="H1478"/>
          <cell r="I1478"/>
        </row>
        <row r="1479">
          <cell r="B1479"/>
          <cell r="C1479"/>
          <cell r="D1479"/>
          <cell r="E1479"/>
          <cell r="F1479"/>
          <cell r="G1479"/>
          <cell r="H1479"/>
          <cell r="I1479">
            <v>205323.51999999999</v>
          </cell>
        </row>
        <row r="1480">
          <cell r="B1480"/>
          <cell r="C1480"/>
          <cell r="D1480"/>
          <cell r="E1480"/>
          <cell r="F1480"/>
          <cell r="G1480"/>
          <cell r="H1480"/>
          <cell r="I1480">
            <v>846959.52</v>
          </cell>
        </row>
        <row r="1481">
          <cell r="B1481"/>
          <cell r="C1481"/>
          <cell r="D1481"/>
          <cell r="E1481"/>
          <cell r="F1481"/>
          <cell r="G1481"/>
          <cell r="H1481"/>
          <cell r="I1481"/>
        </row>
        <row r="1482">
          <cell r="B1482"/>
          <cell r="C1482"/>
          <cell r="D1482"/>
          <cell r="E1482"/>
          <cell r="F1482" t="str">
            <v>REVISA</v>
          </cell>
          <cell r="G1482"/>
          <cell r="H1482"/>
          <cell r="I1482"/>
        </row>
        <row r="1483">
          <cell r="B1483"/>
          <cell r="C1483"/>
          <cell r="D1483"/>
          <cell r="E1483"/>
          <cell r="F1483" t="str">
            <v>FIRMA:</v>
          </cell>
          <cell r="G1483"/>
          <cell r="H1483"/>
          <cell r="I1483"/>
        </row>
        <row r="1484">
          <cell r="B1484" t="str">
            <v>LINA MARCELA</v>
          </cell>
          <cell r="C1484"/>
          <cell r="F1484" t="str">
            <v>NOMBRE</v>
          </cell>
          <cell r="G1484"/>
          <cell r="H1484"/>
          <cell r="I1484"/>
        </row>
        <row r="1485">
          <cell r="B1485" t="str">
            <v>05202-316814 ANT</v>
          </cell>
          <cell r="C1485"/>
          <cell r="F1485" t="str">
            <v>MAT:</v>
          </cell>
          <cell r="G1485"/>
          <cell r="H1485"/>
          <cell r="I1485"/>
        </row>
        <row r="1486">
          <cell r="B1486"/>
          <cell r="C1486"/>
          <cell r="F1486"/>
          <cell r="G1486"/>
          <cell r="H1486"/>
          <cell r="I1486"/>
        </row>
        <row r="1487">
          <cell r="B1487"/>
          <cell r="C1487"/>
          <cell r="D1487"/>
          <cell r="E1487"/>
          <cell r="F1487"/>
          <cell r="G1487"/>
          <cell r="H1487"/>
          <cell r="I1487"/>
        </row>
        <row r="1488">
          <cell r="B1488"/>
          <cell r="C1488"/>
          <cell r="D1488"/>
          <cell r="E1488"/>
          <cell r="F1488"/>
          <cell r="G1488"/>
          <cell r="H1488"/>
          <cell r="I1488"/>
        </row>
        <row r="1489">
          <cell r="B1489"/>
          <cell r="C1489"/>
          <cell r="D1489"/>
          <cell r="E1489"/>
          <cell r="F1489"/>
          <cell r="G1489"/>
          <cell r="H1489"/>
          <cell r="I1489"/>
        </row>
        <row r="1491">
          <cell r="B1491"/>
          <cell r="C1491"/>
          <cell r="D1491"/>
          <cell r="E1491"/>
          <cell r="F1491"/>
          <cell r="G1491"/>
          <cell r="H1491"/>
          <cell r="I1491"/>
        </row>
        <row r="1492">
          <cell r="B1492" t="str">
            <v>5.8</v>
          </cell>
          <cell r="C1492" t="str">
            <v>DESCRIPCION:</v>
          </cell>
          <cell r="D1492" t="str">
            <v>ESPECIES Y JARDINERIA ZONA VERDE TIPO II</v>
          </cell>
          <cell r="E1492"/>
          <cell r="F1492"/>
          <cell r="G1492"/>
          <cell r="H1492"/>
          <cell r="I1492"/>
        </row>
        <row r="1493">
          <cell r="B1493" t="str">
            <v>820-13E</v>
          </cell>
          <cell r="C1493"/>
          <cell r="D1493" t="str">
            <v>UNIDAD</v>
          </cell>
          <cell r="E1493" t="str">
            <v>UNIDAD</v>
          </cell>
          <cell r="F1493" t="str">
            <v>CANTIDAD</v>
          </cell>
          <cell r="G1493" t="e">
            <v>#N/A</v>
          </cell>
          <cell r="H1493" t="str">
            <v>V. UNITARIO:</v>
          </cell>
          <cell r="I1493">
            <v>743436</v>
          </cell>
        </row>
        <row r="1494">
          <cell r="B1494"/>
          <cell r="C1494"/>
          <cell r="D1494"/>
          <cell r="E1494"/>
          <cell r="F1494"/>
          <cell r="G1494"/>
          <cell r="H1494"/>
          <cell r="I1494"/>
        </row>
        <row r="1495">
          <cell r="B1495"/>
          <cell r="C1495"/>
          <cell r="D1495"/>
          <cell r="E1495"/>
          <cell r="F1495" t="str">
            <v>Tarifa/Hora</v>
          </cell>
          <cell r="G1495" t="str">
            <v>Rendimiento</v>
          </cell>
          <cell r="H1495" t="str">
            <v>Valor-Unit.</v>
          </cell>
          <cell r="I1495"/>
        </row>
        <row r="1496">
          <cell r="B1496" t="str">
            <v>E018</v>
          </cell>
          <cell r="C1496"/>
          <cell r="D1496"/>
          <cell r="E1496"/>
          <cell r="F1496"/>
          <cell r="G1496"/>
          <cell r="H1496"/>
          <cell r="I1496"/>
        </row>
        <row r="1497">
          <cell r="B1497" t="str">
            <v>E013</v>
          </cell>
          <cell r="C1497"/>
          <cell r="D1497"/>
          <cell r="E1497"/>
          <cell r="F1497"/>
          <cell r="G1497"/>
          <cell r="H1497"/>
          <cell r="I1497"/>
        </row>
        <row r="1498">
          <cell r="B1498" t="str">
            <v>E027</v>
          </cell>
          <cell r="C1498"/>
          <cell r="D1498"/>
          <cell r="E1498"/>
          <cell r="F1498"/>
          <cell r="G1498"/>
          <cell r="H1498"/>
          <cell r="I1498"/>
        </row>
        <row r="1499">
          <cell r="B1499"/>
          <cell r="C1499"/>
          <cell r="D1499"/>
          <cell r="E1499"/>
          <cell r="F1499" t="str">
            <v>Sub-Total</v>
          </cell>
          <cell r="G1499" t="str">
            <v>5.8</v>
          </cell>
          <cell r="H1499" t="str">
            <v>EQUI-5.5</v>
          </cell>
          <cell r="I1499">
            <v>0</v>
          </cell>
        </row>
        <row r="1500">
          <cell r="B1500"/>
          <cell r="C1500"/>
          <cell r="D1500"/>
          <cell r="E1500"/>
          <cell r="F1500"/>
          <cell r="G1500"/>
          <cell r="H1500"/>
          <cell r="I1500"/>
        </row>
        <row r="1501">
          <cell r="B1501"/>
          <cell r="C1501"/>
          <cell r="D1501"/>
          <cell r="E1501" t="str">
            <v>UNIDAD</v>
          </cell>
          <cell r="F1501" t="str">
            <v>V.UNIT</v>
          </cell>
          <cell r="G1501" t="str">
            <v>CANT</v>
          </cell>
          <cell r="H1501" t="str">
            <v>V.TOTAL</v>
          </cell>
          <cell r="I1501"/>
        </row>
        <row r="1502">
          <cell r="B1502" t="str">
            <v>M127</v>
          </cell>
          <cell r="C1502" t="str">
            <v>ESPECIE DURANTA ROJA</v>
          </cell>
          <cell r="D1502"/>
          <cell r="E1502" t="str">
            <v>UN</v>
          </cell>
          <cell r="F1502">
            <v>4800</v>
          </cell>
          <cell r="G1502">
            <v>33</v>
          </cell>
          <cell r="H1502">
            <v>158400</v>
          </cell>
          <cell r="I1502"/>
        </row>
        <row r="1503">
          <cell r="B1503" t="str">
            <v>M128</v>
          </cell>
          <cell r="C1503" t="str">
            <v>ESPECIE OITI</v>
          </cell>
          <cell r="D1503"/>
          <cell r="E1503" t="str">
            <v>UN</v>
          </cell>
          <cell r="F1503">
            <v>33600</v>
          </cell>
          <cell r="G1503">
            <v>3</v>
          </cell>
          <cell r="H1503">
            <v>100800</v>
          </cell>
          <cell r="I1503"/>
        </row>
        <row r="1504">
          <cell r="B1504" t="str">
            <v>M130</v>
          </cell>
          <cell r="C1504" t="str">
            <v>ESPECIE LENGUA DE SUEGRA</v>
          </cell>
          <cell r="D1504"/>
          <cell r="E1504" t="str">
            <v>UN</v>
          </cell>
          <cell r="F1504">
            <v>18000</v>
          </cell>
          <cell r="G1504">
            <v>16</v>
          </cell>
          <cell r="H1504">
            <v>288000</v>
          </cell>
          <cell r="I1504"/>
        </row>
        <row r="1505">
          <cell r="B1505" t="str">
            <v>M131</v>
          </cell>
          <cell r="C1505" t="str">
            <v>ESPECIE HELICONIA</v>
          </cell>
          <cell r="D1505"/>
          <cell r="E1505" t="str">
            <v>UN</v>
          </cell>
          <cell r="F1505">
            <v>11200.000000000002</v>
          </cell>
          <cell r="G1505">
            <v>12</v>
          </cell>
          <cell r="H1505">
            <v>134400.00000000003</v>
          </cell>
          <cell r="I1505"/>
        </row>
        <row r="1506">
          <cell r="B1506" t="str">
            <v>M025</v>
          </cell>
          <cell r="C1506" t="str">
            <v xml:space="preserve">FERTILIZANTE FÓSFORO </v>
          </cell>
          <cell r="D1506"/>
          <cell r="E1506" t="str">
            <v>BULTO</v>
          </cell>
          <cell r="F1506">
            <v>110000</v>
          </cell>
          <cell r="G1506">
            <v>0.02</v>
          </cell>
          <cell r="H1506">
            <v>2200</v>
          </cell>
          <cell r="I1506"/>
        </row>
        <row r="1507">
          <cell r="B1507" t="str">
            <v>M026</v>
          </cell>
          <cell r="C1507" t="str">
            <v>FERTILIZANTE Urea</v>
          </cell>
          <cell r="D1507"/>
          <cell r="E1507" t="str">
            <v>BULTO</v>
          </cell>
          <cell r="F1507">
            <v>95000</v>
          </cell>
          <cell r="G1507">
            <v>0.1</v>
          </cell>
          <cell r="H1507">
            <v>9500</v>
          </cell>
          <cell r="I1507"/>
        </row>
        <row r="1508">
          <cell r="B1508" t="str">
            <v>M121</v>
          </cell>
          <cell r="C1508" t="str">
            <v>BULTO TIERRA</v>
          </cell>
          <cell r="D1508"/>
          <cell r="E1508" t="str">
            <v>BULTO</v>
          </cell>
          <cell r="F1508">
            <v>15000</v>
          </cell>
          <cell r="G1508">
            <v>0.3</v>
          </cell>
          <cell r="H1508">
            <v>4500</v>
          </cell>
          <cell r="I1508"/>
        </row>
        <row r="1509">
          <cell r="B1509"/>
          <cell r="C1509"/>
          <cell r="D1509"/>
          <cell r="E1509"/>
          <cell r="F1509" t="str">
            <v>Sub-Total</v>
          </cell>
          <cell r="G1509" t="str">
            <v>5.8</v>
          </cell>
          <cell r="H1509" t="str">
            <v>MAT-5.5</v>
          </cell>
          <cell r="I1509">
            <v>697800</v>
          </cell>
        </row>
        <row r="1510">
          <cell r="B1510"/>
          <cell r="C1510"/>
          <cell r="D1510"/>
          <cell r="E1510"/>
          <cell r="F1510"/>
          <cell r="G1510"/>
          <cell r="H1510"/>
          <cell r="I1510"/>
        </row>
        <row r="1511">
          <cell r="B1511"/>
          <cell r="C1511"/>
          <cell r="D1511" t="str">
            <v xml:space="preserve">CAN </v>
          </cell>
          <cell r="E1511" t="str">
            <v>DISTANCIA</v>
          </cell>
          <cell r="F1511" t="str">
            <v>M3-Km / UN-KM</v>
          </cell>
          <cell r="G1511" t="str">
            <v>TARIFA</v>
          </cell>
          <cell r="H1511" t="str">
            <v>Valor-Unit.</v>
          </cell>
          <cell r="I1511"/>
        </row>
        <row r="1512">
          <cell r="B1512"/>
          <cell r="C1512"/>
          <cell r="D1512"/>
          <cell r="E1512"/>
          <cell r="F1512"/>
          <cell r="G1512"/>
          <cell r="H1512"/>
          <cell r="I1512"/>
        </row>
        <row r="1513">
          <cell r="B1513"/>
          <cell r="C1513"/>
          <cell r="D1513"/>
          <cell r="E1513"/>
          <cell r="F1513"/>
          <cell r="G1513"/>
          <cell r="H1513"/>
          <cell r="I1513"/>
        </row>
        <row r="1514">
          <cell r="B1514"/>
          <cell r="C1514"/>
          <cell r="D1514"/>
          <cell r="E1514"/>
          <cell r="F1514" t="str">
            <v>Sub-Total</v>
          </cell>
          <cell r="G1514" t="str">
            <v>5.8</v>
          </cell>
          <cell r="H1514" t="str">
            <v>TRAN-5.5</v>
          </cell>
          <cell r="I1514">
            <v>0</v>
          </cell>
        </row>
        <row r="1515">
          <cell r="B1515"/>
          <cell r="C1515"/>
          <cell r="D1515"/>
          <cell r="E1515"/>
          <cell r="F1515"/>
          <cell r="G1515"/>
          <cell r="H1515"/>
          <cell r="I1515"/>
        </row>
        <row r="1516">
          <cell r="B1516"/>
          <cell r="C1516"/>
          <cell r="D1516" t="str">
            <v>JORNAL-HORA</v>
          </cell>
          <cell r="E1516" t="str">
            <v>PRES</v>
          </cell>
          <cell r="F1516" t="str">
            <v>JORNAL TOTAL</v>
          </cell>
          <cell r="G1516" t="str">
            <v>RENDIEMIENTO</v>
          </cell>
          <cell r="H1516" t="str">
            <v>VALOR-UNIT</v>
          </cell>
          <cell r="I1516"/>
        </row>
        <row r="1517">
          <cell r="B1517" t="str">
            <v>MO004</v>
          </cell>
          <cell r="C1517" t="str">
            <v>OFICIAL</v>
          </cell>
          <cell r="D1517">
            <v>9301.6465000000026</v>
          </cell>
          <cell r="E1517">
            <v>0.56000000000000005</v>
          </cell>
          <cell r="F1517">
            <v>14510.568540000004</v>
          </cell>
          <cell r="G1517">
            <v>0.9</v>
          </cell>
          <cell r="H1517">
            <v>13059.511686000003</v>
          </cell>
          <cell r="I1517"/>
        </row>
        <row r="1518">
          <cell r="B1518" t="str">
            <v>MO005</v>
          </cell>
          <cell r="C1518" t="str">
            <v>AYUDANTE ENTENDIDO</v>
          </cell>
          <cell r="D1518">
            <v>8051.6465000000007</v>
          </cell>
          <cell r="E1518">
            <v>0.56000000000000005</v>
          </cell>
          <cell r="F1518">
            <v>12560.568540000002</v>
          </cell>
          <cell r="G1518">
            <v>0.9</v>
          </cell>
          <cell r="H1518">
            <v>11304.511686000002</v>
          </cell>
          <cell r="I1518"/>
        </row>
        <row r="1519">
          <cell r="B1519" t="str">
            <v>MO006</v>
          </cell>
          <cell r="C1519" t="str">
            <v>AYUDANTE</v>
          </cell>
          <cell r="D1519">
            <v>6801.6465000000007</v>
          </cell>
          <cell r="E1519">
            <v>0.56000000000000005</v>
          </cell>
          <cell r="F1519">
            <v>10610.568540000002</v>
          </cell>
          <cell r="G1519">
            <v>1.8</v>
          </cell>
          <cell r="H1519">
            <v>19099.023372000003</v>
          </cell>
          <cell r="I1519"/>
        </row>
        <row r="1520">
          <cell r="B1520"/>
          <cell r="C1520"/>
          <cell r="D1520"/>
          <cell r="E1520"/>
          <cell r="F1520"/>
          <cell r="G1520"/>
          <cell r="H1520"/>
          <cell r="I1520"/>
        </row>
        <row r="1521">
          <cell r="B1521"/>
          <cell r="C1521"/>
          <cell r="D1521"/>
          <cell r="E1521"/>
          <cell r="F1521"/>
          <cell r="G1521"/>
          <cell r="H1521"/>
          <cell r="I1521"/>
        </row>
        <row r="1522">
          <cell r="B1522"/>
          <cell r="C1522"/>
          <cell r="D1522"/>
          <cell r="E1522"/>
          <cell r="F1522"/>
          <cell r="G1522"/>
          <cell r="H1522"/>
          <cell r="I1522"/>
        </row>
        <row r="1523">
          <cell r="B1523"/>
          <cell r="C1523"/>
          <cell r="D1523"/>
          <cell r="E1523"/>
          <cell r="F1523" t="str">
            <v>Sub-Total</v>
          </cell>
          <cell r="G1523" t="str">
            <v>5.8</v>
          </cell>
          <cell r="H1523" t="str">
            <v>MDEO-5.5</v>
          </cell>
          <cell r="I1523">
            <v>43463.046744000007</v>
          </cell>
        </row>
        <row r="1524">
          <cell r="B1524"/>
          <cell r="C1524"/>
          <cell r="D1524"/>
          <cell r="E1524"/>
          <cell r="F1524"/>
          <cell r="G1524"/>
          <cell r="H1524"/>
          <cell r="I1524">
            <v>2173.1523372000006</v>
          </cell>
        </row>
        <row r="1525">
          <cell r="B1525"/>
          <cell r="C1525"/>
          <cell r="D1525"/>
          <cell r="E1525"/>
          <cell r="F1525" t="str">
            <v>Total Costo Directo</v>
          </cell>
          <cell r="G1525"/>
          <cell r="H1525"/>
          <cell r="I1525">
            <v>743436</v>
          </cell>
        </row>
        <row r="1526">
          <cell r="B1526"/>
          <cell r="C1526"/>
          <cell r="D1526"/>
          <cell r="E1526" t="str">
            <v>PORCENTAJE</v>
          </cell>
          <cell r="F1526"/>
          <cell r="G1526" t="str">
            <v>V. COSTO INDERECTO</v>
          </cell>
          <cell r="H1526"/>
          <cell r="I1526"/>
        </row>
        <row r="1527">
          <cell r="B1527"/>
          <cell r="C1527"/>
          <cell r="D1527"/>
          <cell r="E1527">
            <v>0.02</v>
          </cell>
          <cell r="F1527"/>
          <cell r="G1527">
            <v>14868.720000000001</v>
          </cell>
          <cell r="H1527"/>
          <cell r="I1527"/>
        </row>
        <row r="1528">
          <cell r="B1528"/>
          <cell r="C1528"/>
          <cell r="D1528"/>
          <cell r="E1528">
            <v>0.23</v>
          </cell>
          <cell r="F1528"/>
          <cell r="G1528">
            <v>170990.28</v>
          </cell>
          <cell r="H1528"/>
          <cell r="I1528"/>
        </row>
        <row r="1529">
          <cell r="B1529"/>
          <cell r="C1529"/>
          <cell r="D1529"/>
          <cell r="E1529">
            <v>0.05</v>
          </cell>
          <cell r="F1529"/>
          <cell r="G1529">
            <v>37171.800000000003</v>
          </cell>
          <cell r="H1529"/>
          <cell r="I1529"/>
        </row>
        <row r="1530">
          <cell r="B1530"/>
          <cell r="C1530"/>
          <cell r="D1530"/>
          <cell r="E1530">
            <v>0.02</v>
          </cell>
          <cell r="F1530"/>
          <cell r="G1530">
            <v>14868.720000000001</v>
          </cell>
          <cell r="H1530"/>
          <cell r="I1530"/>
        </row>
        <row r="1531">
          <cell r="B1531"/>
          <cell r="C1531"/>
          <cell r="D1531"/>
          <cell r="E1531"/>
          <cell r="F1531"/>
          <cell r="G1531"/>
          <cell r="H1531"/>
          <cell r="I1531">
            <v>237899.51999999999</v>
          </cell>
        </row>
        <row r="1532">
          <cell r="B1532"/>
          <cell r="C1532"/>
          <cell r="D1532"/>
          <cell r="E1532"/>
          <cell r="F1532"/>
          <cell r="G1532"/>
          <cell r="H1532"/>
          <cell r="I1532">
            <v>981335.52</v>
          </cell>
        </row>
        <row r="1533">
          <cell r="B1533"/>
          <cell r="C1533"/>
          <cell r="D1533"/>
          <cell r="E1533"/>
          <cell r="F1533"/>
          <cell r="G1533"/>
          <cell r="H1533"/>
          <cell r="I1533"/>
        </row>
        <row r="1534">
          <cell r="B1534"/>
          <cell r="C1534"/>
          <cell r="D1534"/>
          <cell r="E1534"/>
          <cell r="F1534" t="str">
            <v>REVISA</v>
          </cell>
          <cell r="G1534"/>
          <cell r="H1534"/>
          <cell r="I1534"/>
        </row>
        <row r="1535">
          <cell r="B1535"/>
          <cell r="C1535"/>
          <cell r="D1535"/>
          <cell r="E1535"/>
          <cell r="F1535" t="str">
            <v>FIRMA:</v>
          </cell>
          <cell r="G1535"/>
          <cell r="H1535"/>
          <cell r="I1535"/>
        </row>
        <row r="1536">
          <cell r="B1536" t="str">
            <v>LINA MARCELA</v>
          </cell>
          <cell r="C1536"/>
          <cell r="F1536" t="str">
            <v>NOMBRE</v>
          </cell>
          <cell r="G1536"/>
          <cell r="H1536"/>
          <cell r="I1536"/>
        </row>
        <row r="1537">
          <cell r="B1537" t="str">
            <v>05202-316814 ANT</v>
          </cell>
          <cell r="C1537"/>
          <cell r="F1537" t="str">
            <v>MAT:</v>
          </cell>
          <cell r="G1537"/>
          <cell r="H1537"/>
          <cell r="I1537"/>
        </row>
        <row r="1538">
          <cell r="B1538"/>
          <cell r="C1538"/>
          <cell r="F1538"/>
          <cell r="G1538"/>
          <cell r="H1538"/>
          <cell r="I1538"/>
        </row>
        <row r="1539">
          <cell r="B1539"/>
          <cell r="C1539"/>
          <cell r="D1539"/>
          <cell r="E1539"/>
          <cell r="F1539"/>
          <cell r="G1539"/>
          <cell r="H1539"/>
          <cell r="I1539"/>
        </row>
        <row r="1540">
          <cell r="B1540"/>
          <cell r="C1540"/>
          <cell r="D1540"/>
          <cell r="E1540"/>
          <cell r="F1540"/>
          <cell r="G1540"/>
          <cell r="H1540"/>
          <cell r="I1540"/>
        </row>
        <row r="1541">
          <cell r="B1541"/>
          <cell r="C1541"/>
          <cell r="D1541"/>
          <cell r="E1541"/>
          <cell r="F1541"/>
          <cell r="G1541"/>
          <cell r="H1541"/>
          <cell r="I1541"/>
        </row>
        <row r="1543">
          <cell r="B1543"/>
          <cell r="C1543"/>
          <cell r="D1543"/>
          <cell r="E1543"/>
          <cell r="F1543"/>
          <cell r="G1543"/>
          <cell r="H1543"/>
          <cell r="I1543"/>
        </row>
        <row r="1544">
          <cell r="B1544" t="str">
            <v>5.9</v>
          </cell>
          <cell r="C1544" t="str">
            <v>DESCRIPCION:</v>
          </cell>
          <cell r="D1544" t="str">
            <v>ESPECIES Y JARDINERIA ZONA VERDE TIPO IIA</v>
          </cell>
          <cell r="E1544"/>
          <cell r="F1544"/>
          <cell r="G1544"/>
          <cell r="H1544"/>
          <cell r="I1544"/>
        </row>
        <row r="1545">
          <cell r="B1545" t="str">
            <v>820-13F</v>
          </cell>
          <cell r="C1545"/>
          <cell r="D1545" t="str">
            <v>UNIDAD</v>
          </cell>
          <cell r="E1545" t="str">
            <v>UNIDAD</v>
          </cell>
          <cell r="F1545" t="str">
            <v>CANTIDAD</v>
          </cell>
          <cell r="G1545" t="e">
            <v>#N/A</v>
          </cell>
          <cell r="H1545" t="str">
            <v>V. UNITARIO:</v>
          </cell>
          <cell r="I1545">
            <v>328636</v>
          </cell>
        </row>
        <row r="1546">
          <cell r="B1546"/>
          <cell r="C1546"/>
          <cell r="D1546"/>
          <cell r="E1546"/>
          <cell r="F1546"/>
          <cell r="G1546"/>
          <cell r="H1546"/>
          <cell r="I1546"/>
        </row>
        <row r="1547">
          <cell r="B1547"/>
          <cell r="C1547"/>
          <cell r="D1547"/>
          <cell r="E1547"/>
          <cell r="F1547" t="str">
            <v>Tarifa/Hora</v>
          </cell>
          <cell r="G1547" t="str">
            <v>Rendimiento</v>
          </cell>
          <cell r="H1547" t="str">
            <v>Valor-Unit.</v>
          </cell>
          <cell r="I1547"/>
        </row>
        <row r="1548">
          <cell r="B1548" t="str">
            <v>E018</v>
          </cell>
          <cell r="C1548"/>
          <cell r="D1548"/>
          <cell r="E1548"/>
          <cell r="F1548"/>
          <cell r="G1548"/>
          <cell r="H1548"/>
          <cell r="I1548"/>
        </row>
        <row r="1549">
          <cell r="B1549" t="str">
            <v>E013</v>
          </cell>
          <cell r="C1549"/>
          <cell r="D1549"/>
          <cell r="E1549"/>
          <cell r="F1549"/>
          <cell r="G1549"/>
          <cell r="H1549"/>
          <cell r="I1549"/>
        </row>
        <row r="1550">
          <cell r="B1550" t="str">
            <v>E027</v>
          </cell>
          <cell r="C1550"/>
          <cell r="D1550"/>
          <cell r="E1550"/>
          <cell r="F1550"/>
          <cell r="G1550"/>
          <cell r="H1550"/>
          <cell r="I1550"/>
        </row>
        <row r="1551">
          <cell r="B1551"/>
          <cell r="C1551"/>
          <cell r="D1551"/>
          <cell r="E1551"/>
          <cell r="F1551" t="str">
            <v>Sub-Total</v>
          </cell>
          <cell r="G1551" t="str">
            <v>5.9</v>
          </cell>
          <cell r="H1551" t="str">
            <v>EQUI-5.5</v>
          </cell>
          <cell r="I1551">
            <v>0</v>
          </cell>
        </row>
        <row r="1552">
          <cell r="B1552"/>
          <cell r="C1552"/>
          <cell r="D1552"/>
          <cell r="E1552"/>
          <cell r="F1552"/>
          <cell r="G1552"/>
          <cell r="H1552"/>
          <cell r="I1552"/>
        </row>
        <row r="1553">
          <cell r="B1553"/>
          <cell r="C1553"/>
          <cell r="D1553"/>
          <cell r="E1553" t="str">
            <v>UNIDAD</v>
          </cell>
          <cell r="F1553" t="str">
            <v>V.UNIT</v>
          </cell>
          <cell r="G1553" t="str">
            <v>CANT</v>
          </cell>
          <cell r="H1553" t="str">
            <v>V.TOTAL</v>
          </cell>
          <cell r="I1553"/>
        </row>
        <row r="1554">
          <cell r="B1554" t="str">
            <v>M127</v>
          </cell>
          <cell r="C1554" t="str">
            <v>ESPECIE DURANTA ROJA</v>
          </cell>
          <cell r="D1554"/>
          <cell r="E1554" t="str">
            <v>UN</v>
          </cell>
          <cell r="F1554">
            <v>4800</v>
          </cell>
          <cell r="G1554">
            <v>23</v>
          </cell>
          <cell r="H1554">
            <v>110400</v>
          </cell>
          <cell r="I1554"/>
        </row>
        <row r="1555">
          <cell r="B1555" t="str">
            <v>M128</v>
          </cell>
          <cell r="C1555" t="str">
            <v>ESPECIE OITI</v>
          </cell>
          <cell r="D1555"/>
          <cell r="E1555" t="str">
            <v>UN</v>
          </cell>
          <cell r="F1555">
            <v>33600</v>
          </cell>
          <cell r="G1555">
            <v>1</v>
          </cell>
          <cell r="H1555">
            <v>33600</v>
          </cell>
          <cell r="I1555"/>
        </row>
        <row r="1556">
          <cell r="B1556" t="str">
            <v>M117</v>
          </cell>
          <cell r="C1556" t="str">
            <v>ESPECIE NIÑA BARCO</v>
          </cell>
          <cell r="D1556"/>
          <cell r="E1556" t="str">
            <v>UN</v>
          </cell>
          <cell r="F1556">
            <v>6500</v>
          </cell>
          <cell r="G1556">
            <v>12</v>
          </cell>
          <cell r="H1556">
            <v>78000</v>
          </cell>
          <cell r="I1556"/>
        </row>
        <row r="1557">
          <cell r="B1557" t="str">
            <v>M131</v>
          </cell>
          <cell r="C1557" t="str">
            <v>ESPECIE HELICONIA</v>
          </cell>
          <cell r="D1557"/>
          <cell r="E1557" t="str">
            <v>UN</v>
          </cell>
          <cell r="F1557">
            <v>11200.000000000002</v>
          </cell>
          <cell r="G1557">
            <v>4</v>
          </cell>
          <cell r="H1557">
            <v>44800.000000000007</v>
          </cell>
          <cell r="I1557"/>
        </row>
        <row r="1558">
          <cell r="B1558" t="str">
            <v>M025</v>
          </cell>
          <cell r="C1558" t="str">
            <v xml:space="preserve">FERTILIZANTE FÓSFORO </v>
          </cell>
          <cell r="D1558"/>
          <cell r="E1558" t="str">
            <v>BULTO</v>
          </cell>
          <cell r="F1558">
            <v>110000</v>
          </cell>
          <cell r="G1558">
            <v>0.02</v>
          </cell>
          <cell r="H1558">
            <v>2200</v>
          </cell>
          <cell r="I1558"/>
        </row>
        <row r="1559">
          <cell r="B1559" t="str">
            <v>M026</v>
          </cell>
          <cell r="C1559" t="str">
            <v>FERTILIZANTE Urea</v>
          </cell>
          <cell r="D1559"/>
          <cell r="E1559" t="str">
            <v>BULTO</v>
          </cell>
          <cell r="F1559">
            <v>95000</v>
          </cell>
          <cell r="G1559">
            <v>0.1</v>
          </cell>
          <cell r="H1559">
            <v>9500</v>
          </cell>
          <cell r="I1559"/>
        </row>
        <row r="1560">
          <cell r="B1560" t="str">
            <v>M121</v>
          </cell>
          <cell r="C1560" t="str">
            <v>BULTO TIERRA</v>
          </cell>
          <cell r="D1560"/>
          <cell r="E1560" t="str">
            <v>BULTO</v>
          </cell>
          <cell r="F1560">
            <v>15000</v>
          </cell>
          <cell r="G1560">
            <v>0.3</v>
          </cell>
          <cell r="H1560">
            <v>4500</v>
          </cell>
          <cell r="I1560"/>
        </row>
        <row r="1561">
          <cell r="B1561"/>
          <cell r="C1561"/>
          <cell r="D1561"/>
          <cell r="E1561"/>
          <cell r="F1561" t="str">
            <v>Sub-Total</v>
          </cell>
          <cell r="G1561" t="str">
            <v>5.9</v>
          </cell>
          <cell r="H1561" t="str">
            <v>MAT-5.5</v>
          </cell>
          <cell r="I1561">
            <v>283000</v>
          </cell>
        </row>
        <row r="1562">
          <cell r="B1562"/>
          <cell r="C1562"/>
          <cell r="D1562"/>
          <cell r="E1562"/>
          <cell r="F1562"/>
          <cell r="G1562"/>
          <cell r="H1562"/>
          <cell r="I1562"/>
        </row>
        <row r="1563">
          <cell r="B1563"/>
          <cell r="C1563"/>
          <cell r="D1563" t="str">
            <v xml:space="preserve">CAN </v>
          </cell>
          <cell r="E1563" t="str">
            <v>DISTANCIA</v>
          </cell>
          <cell r="F1563" t="str">
            <v>M3-Km / UN-KM</v>
          </cell>
          <cell r="G1563" t="str">
            <v>TARIFA</v>
          </cell>
          <cell r="H1563" t="str">
            <v>Valor-Unit.</v>
          </cell>
          <cell r="I1563"/>
        </row>
        <row r="1564">
          <cell r="B1564"/>
          <cell r="C1564"/>
          <cell r="D1564"/>
          <cell r="E1564"/>
          <cell r="F1564"/>
          <cell r="G1564"/>
          <cell r="H1564"/>
          <cell r="I1564"/>
        </row>
        <row r="1565">
          <cell r="B1565"/>
          <cell r="C1565"/>
          <cell r="D1565"/>
          <cell r="E1565"/>
          <cell r="F1565"/>
          <cell r="G1565"/>
          <cell r="H1565"/>
          <cell r="I1565"/>
        </row>
        <row r="1566">
          <cell r="B1566"/>
          <cell r="C1566"/>
          <cell r="D1566"/>
          <cell r="E1566"/>
          <cell r="F1566" t="str">
            <v>Sub-Total</v>
          </cell>
          <cell r="G1566" t="str">
            <v>5.9</v>
          </cell>
          <cell r="H1566" t="str">
            <v>TRAN-5.5</v>
          </cell>
          <cell r="I1566">
            <v>0</v>
          </cell>
        </row>
        <row r="1567">
          <cell r="B1567"/>
          <cell r="C1567"/>
          <cell r="D1567"/>
          <cell r="E1567"/>
          <cell r="F1567"/>
          <cell r="G1567"/>
          <cell r="H1567"/>
          <cell r="I1567"/>
        </row>
        <row r="1568">
          <cell r="B1568"/>
          <cell r="C1568"/>
          <cell r="D1568" t="str">
            <v>JORNAL-HORA</v>
          </cell>
          <cell r="E1568" t="str">
            <v>PRES</v>
          </cell>
          <cell r="F1568" t="str">
            <v>JORNAL TOTAL</v>
          </cell>
          <cell r="G1568" t="str">
            <v>RENDIEMIENTO</v>
          </cell>
          <cell r="H1568" t="str">
            <v>VALOR-UNIT</v>
          </cell>
          <cell r="I1568"/>
        </row>
        <row r="1569">
          <cell r="B1569" t="str">
            <v>MO004</v>
          </cell>
          <cell r="C1569" t="str">
            <v>OFICIAL</v>
          </cell>
          <cell r="D1569">
            <v>9301.6465000000026</v>
          </cell>
          <cell r="E1569">
            <v>0.56000000000000005</v>
          </cell>
          <cell r="F1569">
            <v>14510.568540000004</v>
          </cell>
          <cell r="G1569">
            <v>0.9</v>
          </cell>
          <cell r="H1569">
            <v>13059.511686000003</v>
          </cell>
          <cell r="I1569"/>
        </row>
        <row r="1570">
          <cell r="B1570" t="str">
            <v>MO005</v>
          </cell>
          <cell r="C1570" t="str">
            <v>AYUDANTE ENTENDIDO</v>
          </cell>
          <cell r="D1570">
            <v>8051.6465000000007</v>
          </cell>
          <cell r="E1570">
            <v>0.56000000000000005</v>
          </cell>
          <cell r="F1570">
            <v>12560.568540000002</v>
          </cell>
          <cell r="G1570">
            <v>0.9</v>
          </cell>
          <cell r="H1570">
            <v>11304.511686000002</v>
          </cell>
          <cell r="I1570"/>
        </row>
        <row r="1571">
          <cell r="B1571" t="str">
            <v>MO006</v>
          </cell>
          <cell r="C1571" t="str">
            <v>AYUDANTE</v>
          </cell>
          <cell r="D1571">
            <v>6801.6465000000007</v>
          </cell>
          <cell r="E1571">
            <v>0.56000000000000005</v>
          </cell>
          <cell r="F1571">
            <v>10610.568540000002</v>
          </cell>
          <cell r="G1571">
            <v>1.8</v>
          </cell>
          <cell r="H1571">
            <v>19099.023372000003</v>
          </cell>
          <cell r="I1571"/>
        </row>
        <row r="1572">
          <cell r="B1572"/>
          <cell r="C1572"/>
          <cell r="D1572"/>
          <cell r="E1572"/>
          <cell r="F1572"/>
          <cell r="G1572"/>
          <cell r="H1572"/>
          <cell r="I1572"/>
        </row>
        <row r="1573">
          <cell r="B1573"/>
          <cell r="C1573"/>
          <cell r="D1573"/>
          <cell r="E1573"/>
          <cell r="F1573"/>
          <cell r="G1573"/>
          <cell r="H1573"/>
          <cell r="I1573"/>
        </row>
        <row r="1574">
          <cell r="B1574"/>
          <cell r="C1574"/>
          <cell r="D1574"/>
          <cell r="E1574"/>
          <cell r="F1574"/>
          <cell r="G1574"/>
          <cell r="H1574"/>
          <cell r="I1574"/>
        </row>
        <row r="1575">
          <cell r="B1575"/>
          <cell r="C1575"/>
          <cell r="D1575"/>
          <cell r="E1575"/>
          <cell r="F1575" t="str">
            <v>Sub-Total</v>
          </cell>
          <cell r="G1575" t="str">
            <v>5.9</v>
          </cell>
          <cell r="H1575" t="str">
            <v>MDEO-5.5</v>
          </cell>
          <cell r="I1575">
            <v>43463.046744000007</v>
          </cell>
        </row>
        <row r="1576">
          <cell r="B1576"/>
          <cell r="C1576"/>
          <cell r="D1576"/>
          <cell r="E1576"/>
          <cell r="F1576"/>
          <cell r="G1576"/>
          <cell r="H1576"/>
          <cell r="I1576">
            <v>2173.1523372000006</v>
          </cell>
        </row>
        <row r="1577">
          <cell r="B1577"/>
          <cell r="C1577"/>
          <cell r="D1577"/>
          <cell r="E1577"/>
          <cell r="F1577" t="str">
            <v>Total Costo Directo</v>
          </cell>
          <cell r="G1577"/>
          <cell r="H1577"/>
          <cell r="I1577">
            <v>328636</v>
          </cell>
        </row>
        <row r="1578">
          <cell r="B1578"/>
          <cell r="C1578"/>
          <cell r="D1578"/>
          <cell r="E1578" t="str">
            <v>PORCENTAJE</v>
          </cell>
          <cell r="F1578"/>
          <cell r="G1578" t="str">
            <v>V. COSTO INDERECTO</v>
          </cell>
          <cell r="H1578"/>
          <cell r="I1578"/>
        </row>
        <row r="1579">
          <cell r="B1579"/>
          <cell r="C1579"/>
          <cell r="D1579"/>
          <cell r="E1579">
            <v>0.02</v>
          </cell>
          <cell r="F1579"/>
          <cell r="G1579">
            <v>6572.72</v>
          </cell>
          <cell r="H1579"/>
          <cell r="I1579"/>
        </row>
        <row r="1580">
          <cell r="B1580"/>
          <cell r="C1580"/>
          <cell r="D1580"/>
          <cell r="E1580">
            <v>0.23</v>
          </cell>
          <cell r="F1580"/>
          <cell r="G1580">
            <v>75586.28</v>
          </cell>
          <cell r="H1580"/>
          <cell r="I1580"/>
        </row>
        <row r="1581">
          <cell r="B1581"/>
          <cell r="C1581"/>
          <cell r="D1581"/>
          <cell r="E1581">
            <v>0.05</v>
          </cell>
          <cell r="F1581"/>
          <cell r="G1581">
            <v>16431.8</v>
          </cell>
          <cell r="H1581"/>
          <cell r="I1581"/>
        </row>
        <row r="1582">
          <cell r="B1582"/>
          <cell r="C1582"/>
          <cell r="D1582"/>
          <cell r="E1582">
            <v>0.02</v>
          </cell>
          <cell r="F1582"/>
          <cell r="G1582">
            <v>6572.72</v>
          </cell>
          <cell r="H1582"/>
          <cell r="I1582"/>
        </row>
        <row r="1583">
          <cell r="B1583"/>
          <cell r="C1583"/>
          <cell r="D1583"/>
          <cell r="E1583"/>
          <cell r="F1583"/>
          <cell r="G1583"/>
          <cell r="H1583"/>
          <cell r="I1583">
            <v>105163.52</v>
          </cell>
        </row>
        <row r="1584">
          <cell r="B1584"/>
          <cell r="C1584"/>
          <cell r="D1584"/>
          <cell r="E1584"/>
          <cell r="F1584"/>
          <cell r="G1584"/>
          <cell r="H1584"/>
          <cell r="I1584">
            <v>433799.52</v>
          </cell>
        </row>
        <row r="1585">
          <cell r="B1585"/>
          <cell r="C1585"/>
          <cell r="D1585"/>
          <cell r="E1585"/>
          <cell r="F1585"/>
          <cell r="G1585"/>
          <cell r="H1585"/>
          <cell r="I1585"/>
        </row>
        <row r="1586">
          <cell r="B1586"/>
          <cell r="C1586"/>
          <cell r="D1586"/>
          <cell r="E1586"/>
          <cell r="F1586" t="str">
            <v>REVISA</v>
          </cell>
          <cell r="G1586"/>
          <cell r="H1586"/>
          <cell r="I1586"/>
        </row>
        <row r="1587">
          <cell r="B1587"/>
          <cell r="C1587"/>
          <cell r="D1587"/>
          <cell r="E1587"/>
          <cell r="F1587" t="str">
            <v>FIRMA:</v>
          </cell>
          <cell r="G1587"/>
          <cell r="H1587"/>
          <cell r="I1587"/>
        </row>
        <row r="1588">
          <cell r="B1588" t="str">
            <v>LINA MARCELA</v>
          </cell>
          <cell r="C1588"/>
          <cell r="F1588" t="str">
            <v>NOMBRE</v>
          </cell>
          <cell r="G1588"/>
          <cell r="H1588"/>
          <cell r="I1588"/>
        </row>
        <row r="1589">
          <cell r="B1589" t="str">
            <v>05202-316814 ANT</v>
          </cell>
          <cell r="C1589"/>
          <cell r="F1589" t="str">
            <v>MAT:</v>
          </cell>
          <cell r="G1589"/>
          <cell r="H1589"/>
          <cell r="I1589"/>
        </row>
        <row r="1590">
          <cell r="B1590"/>
          <cell r="C1590"/>
          <cell r="F1590"/>
          <cell r="G1590"/>
          <cell r="H1590"/>
          <cell r="I1590"/>
        </row>
        <row r="1591">
          <cell r="B1591"/>
          <cell r="C1591"/>
          <cell r="D1591"/>
          <cell r="E1591"/>
          <cell r="F1591"/>
          <cell r="G1591"/>
          <cell r="H1591"/>
          <cell r="I1591"/>
        </row>
        <row r="1592">
          <cell r="B1592"/>
          <cell r="C1592"/>
          <cell r="D1592"/>
          <cell r="E1592"/>
          <cell r="F1592"/>
          <cell r="G1592"/>
          <cell r="H1592"/>
          <cell r="I1592"/>
        </row>
        <row r="1593">
          <cell r="B1593"/>
          <cell r="C1593"/>
          <cell r="D1593"/>
          <cell r="E1593"/>
          <cell r="F1593"/>
          <cell r="G1593"/>
          <cell r="H1593"/>
          <cell r="I1593"/>
        </row>
        <row r="1595">
          <cell r="B1595"/>
          <cell r="C1595"/>
          <cell r="D1595"/>
          <cell r="E1595"/>
          <cell r="F1595"/>
          <cell r="G1595"/>
          <cell r="H1595"/>
          <cell r="I1595"/>
        </row>
        <row r="1596">
          <cell r="B1596" t="str">
            <v>5.10</v>
          </cell>
          <cell r="C1596" t="str">
            <v>DESCRIPCION:</v>
          </cell>
          <cell r="D1596" t="str">
            <v>ESPECIES Y JARDINERIA ZONA VERDE TIPO IIB</v>
          </cell>
          <cell r="E1596"/>
          <cell r="F1596"/>
          <cell r="G1596"/>
          <cell r="H1596"/>
          <cell r="I1596"/>
        </row>
        <row r="1597">
          <cell r="B1597" t="str">
            <v>820-13G</v>
          </cell>
          <cell r="C1597"/>
          <cell r="D1597" t="str">
            <v>UNIDAD</v>
          </cell>
          <cell r="E1597" t="str">
            <v>UNIDAD</v>
          </cell>
          <cell r="F1597" t="str">
            <v>CANTIDAD</v>
          </cell>
          <cell r="G1597" t="e">
            <v>#N/A</v>
          </cell>
          <cell r="H1597" t="str">
            <v>V. UNITARIO:</v>
          </cell>
          <cell r="I1597">
            <v>328636</v>
          </cell>
        </row>
        <row r="1598">
          <cell r="B1598"/>
          <cell r="C1598"/>
          <cell r="D1598"/>
          <cell r="E1598"/>
          <cell r="F1598"/>
          <cell r="G1598"/>
          <cell r="H1598"/>
          <cell r="I1598"/>
        </row>
        <row r="1599">
          <cell r="B1599"/>
          <cell r="C1599"/>
          <cell r="D1599"/>
          <cell r="E1599"/>
          <cell r="F1599" t="str">
            <v>Tarifa/Hora</v>
          </cell>
          <cell r="G1599" t="str">
            <v>Rendimiento</v>
          </cell>
          <cell r="H1599" t="str">
            <v>Valor-Unit.</v>
          </cell>
          <cell r="I1599"/>
        </row>
        <row r="1600">
          <cell r="B1600" t="str">
            <v>E018</v>
          </cell>
          <cell r="C1600"/>
          <cell r="D1600"/>
          <cell r="E1600"/>
          <cell r="F1600"/>
          <cell r="G1600"/>
          <cell r="H1600"/>
          <cell r="I1600"/>
        </row>
        <row r="1601">
          <cell r="B1601" t="str">
            <v>E013</v>
          </cell>
          <cell r="C1601"/>
          <cell r="D1601"/>
          <cell r="E1601"/>
          <cell r="F1601"/>
          <cell r="G1601"/>
          <cell r="H1601"/>
          <cell r="I1601"/>
        </row>
        <row r="1602">
          <cell r="B1602" t="str">
            <v>E027</v>
          </cell>
          <cell r="C1602"/>
          <cell r="D1602"/>
          <cell r="E1602"/>
          <cell r="F1602"/>
          <cell r="G1602"/>
          <cell r="H1602"/>
          <cell r="I1602"/>
        </row>
        <row r="1603">
          <cell r="B1603"/>
          <cell r="C1603"/>
          <cell r="D1603"/>
          <cell r="E1603"/>
          <cell r="F1603" t="str">
            <v>Sub-Total</v>
          </cell>
          <cell r="G1603" t="str">
            <v>5.10</v>
          </cell>
          <cell r="H1603" t="str">
            <v>EQUI-5.5</v>
          </cell>
          <cell r="I1603">
            <v>0</v>
          </cell>
        </row>
        <row r="1604">
          <cell r="B1604"/>
          <cell r="C1604"/>
          <cell r="D1604"/>
          <cell r="E1604"/>
          <cell r="F1604"/>
          <cell r="G1604"/>
          <cell r="H1604"/>
          <cell r="I1604"/>
        </row>
        <row r="1605">
          <cell r="B1605"/>
          <cell r="C1605"/>
          <cell r="D1605"/>
          <cell r="E1605" t="str">
            <v>UNIDAD</v>
          </cell>
          <cell r="F1605" t="str">
            <v>V.UNIT</v>
          </cell>
          <cell r="G1605" t="str">
            <v>CANT</v>
          </cell>
          <cell r="H1605" t="str">
            <v>V.TOTAL</v>
          </cell>
          <cell r="I1605"/>
        </row>
        <row r="1606">
          <cell r="B1606" t="str">
            <v>M127</v>
          </cell>
          <cell r="C1606" t="str">
            <v>ESPECIE DURANTA ROJA</v>
          </cell>
          <cell r="D1606"/>
          <cell r="E1606" t="str">
            <v>UN</v>
          </cell>
          <cell r="F1606">
            <v>4800</v>
          </cell>
          <cell r="G1606">
            <v>23</v>
          </cell>
          <cell r="H1606">
            <v>110400</v>
          </cell>
          <cell r="I1606"/>
        </row>
        <row r="1607">
          <cell r="B1607" t="str">
            <v>M128</v>
          </cell>
          <cell r="C1607" t="str">
            <v>ESPECIE OITI</v>
          </cell>
          <cell r="D1607"/>
          <cell r="E1607" t="str">
            <v>UN</v>
          </cell>
          <cell r="F1607">
            <v>33600</v>
          </cell>
          <cell r="G1607">
            <v>1</v>
          </cell>
          <cell r="H1607">
            <v>33600</v>
          </cell>
          <cell r="I1607"/>
        </row>
        <row r="1608">
          <cell r="B1608" t="str">
            <v>M117</v>
          </cell>
          <cell r="C1608" t="str">
            <v>ESPECIE NIÑA BARCO</v>
          </cell>
          <cell r="D1608"/>
          <cell r="E1608" t="str">
            <v>UN</v>
          </cell>
          <cell r="F1608">
            <v>6500</v>
          </cell>
          <cell r="G1608">
            <v>12</v>
          </cell>
          <cell r="H1608">
            <v>78000</v>
          </cell>
          <cell r="I1608"/>
        </row>
        <row r="1609">
          <cell r="B1609" t="str">
            <v>M131</v>
          </cell>
          <cell r="C1609" t="str">
            <v>ESPECIE HELICONIA</v>
          </cell>
          <cell r="D1609"/>
          <cell r="E1609" t="str">
            <v>UN</v>
          </cell>
          <cell r="F1609">
            <v>11200.000000000002</v>
          </cell>
          <cell r="G1609">
            <v>4</v>
          </cell>
          <cell r="H1609">
            <v>44800.000000000007</v>
          </cell>
          <cell r="I1609"/>
        </row>
        <row r="1610">
          <cell r="B1610" t="str">
            <v>M025</v>
          </cell>
          <cell r="C1610" t="str">
            <v xml:space="preserve">FERTILIZANTE FÓSFORO </v>
          </cell>
          <cell r="D1610"/>
          <cell r="E1610" t="str">
            <v>BULTO</v>
          </cell>
          <cell r="F1610">
            <v>110000</v>
          </cell>
          <cell r="G1610">
            <v>0.02</v>
          </cell>
          <cell r="H1610">
            <v>2200</v>
          </cell>
          <cell r="I1610"/>
        </row>
        <row r="1611">
          <cell r="B1611" t="str">
            <v>M026</v>
          </cell>
          <cell r="C1611" t="str">
            <v>FERTILIZANTE Urea</v>
          </cell>
          <cell r="D1611"/>
          <cell r="E1611" t="str">
            <v>BULTO</v>
          </cell>
          <cell r="F1611">
            <v>95000</v>
          </cell>
          <cell r="G1611">
            <v>0.1</v>
          </cell>
          <cell r="H1611">
            <v>9500</v>
          </cell>
          <cell r="I1611"/>
        </row>
        <row r="1612">
          <cell r="B1612" t="str">
            <v>M121</v>
          </cell>
          <cell r="C1612" t="str">
            <v>BULTO TIERRA</v>
          </cell>
          <cell r="D1612"/>
          <cell r="E1612" t="str">
            <v>BULTO</v>
          </cell>
          <cell r="F1612">
            <v>15000</v>
          </cell>
          <cell r="G1612">
            <v>0.3</v>
          </cell>
          <cell r="H1612">
            <v>4500</v>
          </cell>
          <cell r="I1612"/>
        </row>
        <row r="1613">
          <cell r="B1613"/>
          <cell r="C1613"/>
          <cell r="D1613"/>
          <cell r="E1613"/>
          <cell r="F1613" t="str">
            <v>Sub-Total</v>
          </cell>
          <cell r="G1613" t="str">
            <v>5.10</v>
          </cell>
          <cell r="H1613" t="str">
            <v>MAT-5.5</v>
          </cell>
          <cell r="I1613">
            <v>283000</v>
          </cell>
        </row>
        <row r="1614">
          <cell r="B1614"/>
          <cell r="C1614"/>
          <cell r="D1614"/>
          <cell r="E1614"/>
          <cell r="F1614"/>
          <cell r="G1614"/>
          <cell r="H1614"/>
          <cell r="I1614"/>
        </row>
        <row r="1615">
          <cell r="B1615"/>
          <cell r="C1615"/>
          <cell r="D1615" t="str">
            <v xml:space="preserve">CAN </v>
          </cell>
          <cell r="E1615" t="str">
            <v>DISTANCIA</v>
          </cell>
          <cell r="F1615" t="str">
            <v>M3-Km / UN-KM</v>
          </cell>
          <cell r="G1615" t="str">
            <v>TARIFA</v>
          </cell>
          <cell r="H1615" t="str">
            <v>Valor-Unit.</v>
          </cell>
          <cell r="I1615"/>
        </row>
        <row r="1616">
          <cell r="B1616"/>
          <cell r="C1616"/>
          <cell r="D1616"/>
          <cell r="E1616"/>
          <cell r="F1616"/>
          <cell r="G1616"/>
          <cell r="H1616"/>
          <cell r="I1616"/>
        </row>
        <row r="1617">
          <cell r="B1617"/>
          <cell r="C1617"/>
          <cell r="D1617"/>
          <cell r="E1617"/>
          <cell r="F1617"/>
          <cell r="G1617"/>
          <cell r="H1617"/>
          <cell r="I1617"/>
        </row>
        <row r="1618">
          <cell r="B1618"/>
          <cell r="C1618"/>
          <cell r="D1618"/>
          <cell r="E1618"/>
          <cell r="F1618" t="str">
            <v>Sub-Total</v>
          </cell>
          <cell r="G1618" t="str">
            <v>5.10</v>
          </cell>
          <cell r="H1618" t="str">
            <v>TRAN-5.5</v>
          </cell>
          <cell r="I1618">
            <v>0</v>
          </cell>
        </row>
        <row r="1619">
          <cell r="B1619"/>
          <cell r="C1619"/>
          <cell r="D1619"/>
          <cell r="E1619"/>
          <cell r="F1619"/>
          <cell r="G1619"/>
          <cell r="H1619"/>
          <cell r="I1619"/>
        </row>
        <row r="1620">
          <cell r="B1620"/>
          <cell r="C1620"/>
          <cell r="D1620" t="str">
            <v>JORNAL-HORA</v>
          </cell>
          <cell r="E1620" t="str">
            <v>PRES</v>
          </cell>
          <cell r="F1620" t="str">
            <v>JORNAL TOTAL</v>
          </cell>
          <cell r="G1620" t="str">
            <v>RENDIEMIENTO</v>
          </cell>
          <cell r="H1620" t="str">
            <v>VALOR-UNIT</v>
          </cell>
          <cell r="I1620"/>
        </row>
        <row r="1621">
          <cell r="B1621" t="str">
            <v>MO004</v>
          </cell>
          <cell r="C1621" t="str">
            <v>OFICIAL</v>
          </cell>
          <cell r="D1621">
            <v>9301.6465000000026</v>
          </cell>
          <cell r="E1621">
            <v>0.56000000000000005</v>
          </cell>
          <cell r="F1621">
            <v>14510.568540000004</v>
          </cell>
          <cell r="G1621">
            <v>0.9</v>
          </cell>
          <cell r="H1621">
            <v>13059.511686000003</v>
          </cell>
          <cell r="I1621"/>
        </row>
        <row r="1622">
          <cell r="B1622" t="str">
            <v>MO005</v>
          </cell>
          <cell r="C1622" t="str">
            <v>AYUDANTE ENTENDIDO</v>
          </cell>
          <cell r="D1622">
            <v>8051.6465000000007</v>
          </cell>
          <cell r="E1622">
            <v>0.56000000000000005</v>
          </cell>
          <cell r="F1622">
            <v>12560.568540000002</v>
          </cell>
          <cell r="G1622">
            <v>0.9</v>
          </cell>
          <cell r="H1622">
            <v>11304.511686000002</v>
          </cell>
          <cell r="I1622"/>
        </row>
        <row r="1623">
          <cell r="B1623" t="str">
            <v>MO006</v>
          </cell>
          <cell r="C1623" t="str">
            <v>AYUDANTE</v>
          </cell>
          <cell r="D1623">
            <v>6801.6465000000007</v>
          </cell>
          <cell r="E1623">
            <v>0.56000000000000005</v>
          </cell>
          <cell r="F1623">
            <v>10610.568540000002</v>
          </cell>
          <cell r="G1623">
            <v>1.8</v>
          </cell>
          <cell r="H1623">
            <v>19099.023372000003</v>
          </cell>
          <cell r="I1623"/>
        </row>
        <row r="1624">
          <cell r="B1624"/>
          <cell r="C1624"/>
          <cell r="D1624"/>
          <cell r="E1624"/>
          <cell r="F1624"/>
          <cell r="G1624"/>
          <cell r="H1624"/>
          <cell r="I1624"/>
        </row>
        <row r="1625">
          <cell r="B1625"/>
          <cell r="C1625"/>
          <cell r="D1625"/>
          <cell r="E1625"/>
          <cell r="F1625"/>
          <cell r="G1625"/>
          <cell r="H1625"/>
          <cell r="I1625"/>
        </row>
        <row r="1626">
          <cell r="B1626"/>
          <cell r="C1626"/>
          <cell r="D1626"/>
          <cell r="E1626"/>
          <cell r="F1626"/>
          <cell r="G1626"/>
          <cell r="H1626"/>
          <cell r="I1626"/>
        </row>
        <row r="1627">
          <cell r="B1627"/>
          <cell r="C1627"/>
          <cell r="D1627"/>
          <cell r="E1627"/>
          <cell r="F1627" t="str">
            <v>Sub-Total</v>
          </cell>
          <cell r="G1627" t="str">
            <v>5.10</v>
          </cell>
          <cell r="H1627" t="str">
            <v>MDEO-5.5</v>
          </cell>
          <cell r="I1627">
            <v>43463.046744000007</v>
          </cell>
        </row>
        <row r="1628">
          <cell r="B1628"/>
          <cell r="C1628"/>
          <cell r="D1628"/>
          <cell r="E1628"/>
          <cell r="F1628"/>
          <cell r="G1628"/>
          <cell r="H1628"/>
          <cell r="I1628">
            <v>2173.1523372000006</v>
          </cell>
        </row>
        <row r="1629">
          <cell r="B1629"/>
          <cell r="C1629"/>
          <cell r="D1629"/>
          <cell r="E1629"/>
          <cell r="F1629" t="str">
            <v>Total Costo Directo</v>
          </cell>
          <cell r="G1629"/>
          <cell r="H1629"/>
          <cell r="I1629">
            <v>328636</v>
          </cell>
        </row>
        <row r="1630">
          <cell r="B1630"/>
          <cell r="C1630"/>
          <cell r="D1630"/>
          <cell r="E1630" t="str">
            <v>PORCENTAJE</v>
          </cell>
          <cell r="F1630"/>
          <cell r="G1630" t="str">
            <v>V. COSTO INDERECTO</v>
          </cell>
          <cell r="H1630"/>
          <cell r="I1630"/>
        </row>
        <row r="1631">
          <cell r="B1631"/>
          <cell r="C1631"/>
          <cell r="D1631"/>
          <cell r="E1631">
            <v>0.02</v>
          </cell>
          <cell r="F1631"/>
          <cell r="G1631">
            <v>6572.72</v>
          </cell>
          <cell r="H1631"/>
          <cell r="I1631"/>
        </row>
        <row r="1632">
          <cell r="B1632"/>
          <cell r="C1632"/>
          <cell r="D1632"/>
          <cell r="E1632">
            <v>0.23</v>
          </cell>
          <cell r="F1632"/>
          <cell r="G1632">
            <v>75586.28</v>
          </cell>
          <cell r="H1632"/>
          <cell r="I1632"/>
        </row>
        <row r="1633">
          <cell r="B1633"/>
          <cell r="C1633"/>
          <cell r="D1633"/>
          <cell r="E1633">
            <v>0.05</v>
          </cell>
          <cell r="F1633"/>
          <cell r="G1633">
            <v>16431.8</v>
          </cell>
          <cell r="H1633"/>
          <cell r="I1633"/>
        </row>
        <row r="1634">
          <cell r="B1634"/>
          <cell r="C1634"/>
          <cell r="D1634"/>
          <cell r="E1634">
            <v>0.02</v>
          </cell>
          <cell r="F1634"/>
          <cell r="G1634">
            <v>6572.72</v>
          </cell>
          <cell r="H1634"/>
          <cell r="I1634"/>
        </row>
        <row r="1635">
          <cell r="B1635"/>
          <cell r="C1635"/>
          <cell r="D1635"/>
          <cell r="E1635"/>
          <cell r="F1635"/>
          <cell r="G1635"/>
          <cell r="H1635"/>
          <cell r="I1635">
            <v>105163.52</v>
          </cell>
        </row>
        <row r="1636">
          <cell r="B1636"/>
          <cell r="C1636"/>
          <cell r="D1636"/>
          <cell r="E1636"/>
          <cell r="F1636"/>
          <cell r="G1636"/>
          <cell r="H1636"/>
          <cell r="I1636">
            <v>433799.52</v>
          </cell>
        </row>
        <row r="1637">
          <cell r="B1637"/>
          <cell r="C1637"/>
          <cell r="D1637"/>
          <cell r="E1637"/>
          <cell r="F1637"/>
          <cell r="G1637"/>
          <cell r="H1637"/>
          <cell r="I1637"/>
        </row>
        <row r="1638">
          <cell r="B1638"/>
          <cell r="C1638"/>
          <cell r="D1638"/>
          <cell r="E1638"/>
          <cell r="F1638" t="str">
            <v>REVISA</v>
          </cell>
          <cell r="G1638"/>
          <cell r="H1638"/>
          <cell r="I1638"/>
        </row>
        <row r="1639">
          <cell r="B1639"/>
          <cell r="C1639"/>
          <cell r="D1639"/>
          <cell r="E1639"/>
          <cell r="F1639" t="str">
            <v>FIRMA:</v>
          </cell>
          <cell r="G1639"/>
          <cell r="H1639"/>
          <cell r="I1639"/>
        </row>
        <row r="1640">
          <cell r="B1640" t="str">
            <v>LINA MARCELA</v>
          </cell>
          <cell r="C1640"/>
          <cell r="F1640" t="str">
            <v>NOMBRE</v>
          </cell>
          <cell r="G1640"/>
          <cell r="H1640"/>
          <cell r="I1640"/>
        </row>
        <row r="1641">
          <cell r="B1641" t="str">
            <v>05202-316814 ANT</v>
          </cell>
          <cell r="C1641"/>
          <cell r="F1641" t="str">
            <v>MAT:</v>
          </cell>
          <cell r="G1641"/>
          <cell r="H1641"/>
          <cell r="I1641"/>
        </row>
        <row r="1642">
          <cell r="B1642"/>
          <cell r="C1642"/>
          <cell r="F1642"/>
          <cell r="G1642"/>
          <cell r="H1642"/>
          <cell r="I1642"/>
        </row>
        <row r="1643">
          <cell r="B1643"/>
          <cell r="C1643"/>
          <cell r="D1643"/>
          <cell r="E1643"/>
          <cell r="F1643"/>
          <cell r="G1643"/>
          <cell r="H1643"/>
          <cell r="I1643"/>
        </row>
        <row r="1644">
          <cell r="B1644"/>
          <cell r="C1644"/>
          <cell r="D1644"/>
          <cell r="E1644"/>
          <cell r="F1644"/>
          <cell r="G1644"/>
          <cell r="H1644"/>
          <cell r="I1644"/>
        </row>
        <row r="1645">
          <cell r="B1645"/>
          <cell r="C1645"/>
          <cell r="D1645"/>
          <cell r="E1645"/>
          <cell r="F1645"/>
          <cell r="G1645"/>
          <cell r="H1645"/>
          <cell r="I1645"/>
        </row>
        <row r="1647">
          <cell r="B1647"/>
          <cell r="C1647"/>
          <cell r="D1647"/>
          <cell r="E1647"/>
          <cell r="F1647"/>
          <cell r="G1647"/>
          <cell r="H1647"/>
          <cell r="I1647"/>
        </row>
        <row r="1648">
          <cell r="B1648" t="str">
            <v>5.11</v>
          </cell>
          <cell r="C1648" t="str">
            <v>DESCRIPCION:</v>
          </cell>
          <cell r="D1648" t="str">
            <v>ESPECIES Y JARDINERIA ZONA VERDE TIPO III</v>
          </cell>
          <cell r="E1648"/>
          <cell r="F1648"/>
          <cell r="G1648"/>
          <cell r="H1648"/>
          <cell r="I1648"/>
        </row>
        <row r="1649">
          <cell r="B1649" t="str">
            <v>820-13G</v>
          </cell>
          <cell r="C1649"/>
          <cell r="D1649" t="str">
            <v>UNIDAD</v>
          </cell>
          <cell r="E1649" t="str">
            <v>UNIDAD</v>
          </cell>
          <cell r="F1649" t="str">
            <v>CANTIDAD</v>
          </cell>
          <cell r="G1649" t="e">
            <v>#N/A</v>
          </cell>
          <cell r="H1649" t="str">
            <v>V. UNITARIO:</v>
          </cell>
          <cell r="I1649">
            <v>709836</v>
          </cell>
        </row>
        <row r="1650">
          <cell r="B1650"/>
          <cell r="C1650"/>
          <cell r="D1650"/>
          <cell r="E1650"/>
          <cell r="F1650"/>
          <cell r="G1650"/>
          <cell r="H1650"/>
          <cell r="I1650"/>
        </row>
        <row r="1651">
          <cell r="B1651"/>
          <cell r="C1651"/>
          <cell r="D1651"/>
          <cell r="E1651"/>
          <cell r="F1651" t="str">
            <v>Tarifa/Hora</v>
          </cell>
          <cell r="G1651" t="str">
            <v>Rendimiento</v>
          </cell>
          <cell r="H1651" t="str">
            <v>Valor-Unit.</v>
          </cell>
          <cell r="I1651"/>
        </row>
        <row r="1652">
          <cell r="B1652" t="str">
            <v>E018</v>
          </cell>
          <cell r="C1652"/>
          <cell r="D1652"/>
          <cell r="E1652"/>
          <cell r="F1652"/>
          <cell r="G1652"/>
          <cell r="H1652"/>
          <cell r="I1652"/>
        </row>
        <row r="1653">
          <cell r="B1653" t="str">
            <v>E013</v>
          </cell>
          <cell r="C1653"/>
          <cell r="D1653"/>
          <cell r="E1653"/>
          <cell r="F1653"/>
          <cell r="G1653"/>
          <cell r="H1653"/>
          <cell r="I1653"/>
        </row>
        <row r="1654">
          <cell r="B1654" t="str">
            <v>E027</v>
          </cell>
          <cell r="C1654"/>
          <cell r="D1654"/>
          <cell r="E1654"/>
          <cell r="F1654"/>
          <cell r="G1654"/>
          <cell r="H1654"/>
          <cell r="I1654"/>
        </row>
        <row r="1655">
          <cell r="B1655"/>
          <cell r="C1655"/>
          <cell r="D1655"/>
          <cell r="E1655"/>
          <cell r="F1655" t="str">
            <v>Sub-Total</v>
          </cell>
          <cell r="G1655" t="str">
            <v>5.11</v>
          </cell>
          <cell r="H1655" t="str">
            <v>EQUI-5.5</v>
          </cell>
          <cell r="I1655">
            <v>0</v>
          </cell>
        </row>
        <row r="1656">
          <cell r="B1656"/>
          <cell r="C1656"/>
          <cell r="D1656"/>
          <cell r="E1656"/>
          <cell r="F1656"/>
          <cell r="G1656"/>
          <cell r="H1656"/>
          <cell r="I1656"/>
        </row>
        <row r="1657">
          <cell r="B1657"/>
          <cell r="C1657"/>
          <cell r="D1657"/>
          <cell r="E1657" t="str">
            <v>UNIDAD</v>
          </cell>
          <cell r="F1657" t="str">
            <v>V.UNIT</v>
          </cell>
          <cell r="G1657" t="str">
            <v>CANT</v>
          </cell>
          <cell r="H1657" t="str">
            <v>V.TOTAL</v>
          </cell>
          <cell r="I1657"/>
        </row>
        <row r="1658">
          <cell r="B1658" t="str">
            <v>M116</v>
          </cell>
          <cell r="C1658" t="str">
            <v>ESPECIE CROTO VICTORIA</v>
          </cell>
          <cell r="D1658"/>
          <cell r="E1658" t="str">
            <v>UN</v>
          </cell>
          <cell r="F1658">
            <v>21600</v>
          </cell>
          <cell r="G1658">
            <v>20</v>
          </cell>
          <cell r="H1658">
            <v>432000</v>
          </cell>
          <cell r="I1658"/>
        </row>
        <row r="1659">
          <cell r="B1659" t="str">
            <v>M130</v>
          </cell>
          <cell r="C1659" t="str">
            <v>ESPECIE LENGUA DE SUEGRA</v>
          </cell>
          <cell r="D1659"/>
          <cell r="E1659" t="str">
            <v>UN</v>
          </cell>
          <cell r="F1659">
            <v>18000</v>
          </cell>
          <cell r="G1659">
            <v>12</v>
          </cell>
          <cell r="H1659">
            <v>216000</v>
          </cell>
          <cell r="I1659"/>
        </row>
        <row r="1660">
          <cell r="B1660" t="str">
            <v>M025</v>
          </cell>
          <cell r="C1660" t="str">
            <v xml:space="preserve">FERTILIZANTE FÓSFORO </v>
          </cell>
          <cell r="D1660"/>
          <cell r="E1660" t="str">
            <v>BULTO</v>
          </cell>
          <cell r="F1660">
            <v>110000</v>
          </cell>
          <cell r="G1660">
            <v>0.02</v>
          </cell>
          <cell r="H1660">
            <v>2200</v>
          </cell>
          <cell r="I1660"/>
        </row>
        <row r="1661">
          <cell r="B1661" t="str">
            <v>M026</v>
          </cell>
          <cell r="C1661" t="str">
            <v>FERTILIZANTE Urea</v>
          </cell>
          <cell r="D1661"/>
          <cell r="E1661" t="str">
            <v>BULTO</v>
          </cell>
          <cell r="F1661">
            <v>95000</v>
          </cell>
          <cell r="G1661">
            <v>0.1</v>
          </cell>
          <cell r="H1661">
            <v>9500</v>
          </cell>
          <cell r="I1661"/>
        </row>
        <row r="1662">
          <cell r="B1662" t="str">
            <v>M121</v>
          </cell>
          <cell r="C1662" t="str">
            <v>BULTO TIERRA</v>
          </cell>
          <cell r="D1662"/>
          <cell r="E1662" t="str">
            <v>BULTO</v>
          </cell>
          <cell r="F1662">
            <v>15000</v>
          </cell>
          <cell r="G1662">
            <v>0.3</v>
          </cell>
          <cell r="H1662">
            <v>4500</v>
          </cell>
          <cell r="I1662"/>
        </row>
        <row r="1663">
          <cell r="B1663"/>
          <cell r="C1663"/>
          <cell r="D1663"/>
          <cell r="E1663"/>
          <cell r="F1663" t="str">
            <v>Sub-Total</v>
          </cell>
          <cell r="G1663" t="str">
            <v>5.11</v>
          </cell>
          <cell r="H1663" t="str">
            <v>MAT-5.5</v>
          </cell>
          <cell r="I1663">
            <v>664200</v>
          </cell>
        </row>
        <row r="1664">
          <cell r="B1664"/>
          <cell r="C1664"/>
          <cell r="D1664"/>
          <cell r="E1664"/>
          <cell r="F1664"/>
          <cell r="G1664"/>
          <cell r="H1664"/>
          <cell r="I1664"/>
        </row>
        <row r="1665">
          <cell r="B1665"/>
          <cell r="C1665"/>
          <cell r="D1665" t="str">
            <v xml:space="preserve">CAN </v>
          </cell>
          <cell r="E1665" t="str">
            <v>DISTANCIA</v>
          </cell>
          <cell r="F1665" t="str">
            <v>M3-Km / UN-KM</v>
          </cell>
          <cell r="G1665" t="str">
            <v>TARIFA</v>
          </cell>
          <cell r="H1665" t="str">
            <v>Valor-Unit.</v>
          </cell>
          <cell r="I1665"/>
        </row>
        <row r="1666">
          <cell r="B1666"/>
          <cell r="C1666"/>
          <cell r="D1666"/>
          <cell r="E1666"/>
          <cell r="F1666"/>
          <cell r="G1666"/>
          <cell r="H1666"/>
          <cell r="I1666"/>
        </row>
        <row r="1667">
          <cell r="B1667"/>
          <cell r="C1667"/>
          <cell r="D1667"/>
          <cell r="E1667"/>
          <cell r="F1667"/>
          <cell r="G1667"/>
          <cell r="H1667"/>
          <cell r="I1667"/>
        </row>
        <row r="1668">
          <cell r="B1668"/>
          <cell r="C1668"/>
          <cell r="D1668"/>
          <cell r="E1668"/>
          <cell r="F1668" t="str">
            <v>Sub-Total</v>
          </cell>
          <cell r="G1668" t="str">
            <v>5.11</v>
          </cell>
          <cell r="H1668" t="str">
            <v>TRAN-5.5</v>
          </cell>
          <cell r="I1668">
            <v>0</v>
          </cell>
        </row>
        <row r="1669">
          <cell r="B1669"/>
          <cell r="C1669"/>
          <cell r="D1669"/>
          <cell r="E1669"/>
          <cell r="F1669"/>
          <cell r="G1669"/>
          <cell r="H1669"/>
          <cell r="I1669"/>
        </row>
        <row r="1670">
          <cell r="B1670"/>
          <cell r="C1670"/>
          <cell r="D1670" t="str">
            <v>JORNAL-HORA</v>
          </cell>
          <cell r="E1670" t="str">
            <v>PRES</v>
          </cell>
          <cell r="F1670" t="str">
            <v>JORNAL TOTAL</v>
          </cell>
          <cell r="G1670" t="str">
            <v>RENDIEMIENTO</v>
          </cell>
          <cell r="H1670" t="str">
            <v>VALOR-UNIT</v>
          </cell>
          <cell r="I1670"/>
        </row>
        <row r="1671">
          <cell r="B1671" t="str">
            <v>MO004</v>
          </cell>
          <cell r="C1671" t="str">
            <v>OFICIAL</v>
          </cell>
          <cell r="D1671">
            <v>9301.6465000000026</v>
          </cell>
          <cell r="E1671">
            <v>0.56000000000000005</v>
          </cell>
          <cell r="F1671">
            <v>14510.568540000004</v>
          </cell>
          <cell r="G1671">
            <v>0.9</v>
          </cell>
          <cell r="H1671">
            <v>13059.511686000003</v>
          </cell>
          <cell r="I1671"/>
        </row>
        <row r="1672">
          <cell r="B1672" t="str">
            <v>MO005</v>
          </cell>
          <cell r="C1672" t="str">
            <v>AYUDANTE ENTENDIDO</v>
          </cell>
          <cell r="D1672">
            <v>8051.6465000000007</v>
          </cell>
          <cell r="E1672">
            <v>0.56000000000000005</v>
          </cell>
          <cell r="F1672">
            <v>12560.568540000002</v>
          </cell>
          <cell r="G1672">
            <v>0.9</v>
          </cell>
          <cell r="H1672">
            <v>11304.511686000002</v>
          </cell>
          <cell r="I1672"/>
        </row>
        <row r="1673">
          <cell r="B1673" t="str">
            <v>MO006</v>
          </cell>
          <cell r="C1673" t="str">
            <v>AYUDANTE</v>
          </cell>
          <cell r="D1673">
            <v>6801.6465000000007</v>
          </cell>
          <cell r="E1673">
            <v>0.56000000000000005</v>
          </cell>
          <cell r="F1673">
            <v>10610.568540000002</v>
          </cell>
          <cell r="G1673">
            <v>1.8</v>
          </cell>
          <cell r="H1673">
            <v>19099.023372000003</v>
          </cell>
          <cell r="I1673"/>
        </row>
        <row r="1674">
          <cell r="B1674"/>
          <cell r="C1674"/>
          <cell r="D1674"/>
          <cell r="E1674"/>
          <cell r="F1674"/>
          <cell r="G1674"/>
          <cell r="H1674"/>
          <cell r="I1674"/>
        </row>
        <row r="1675">
          <cell r="B1675"/>
          <cell r="C1675"/>
          <cell r="D1675"/>
          <cell r="E1675"/>
          <cell r="F1675"/>
          <cell r="G1675"/>
          <cell r="H1675"/>
          <cell r="I1675"/>
        </row>
        <row r="1676">
          <cell r="B1676"/>
          <cell r="C1676"/>
          <cell r="D1676"/>
          <cell r="E1676"/>
          <cell r="F1676"/>
          <cell r="G1676"/>
          <cell r="H1676"/>
          <cell r="I1676"/>
        </row>
        <row r="1677">
          <cell r="B1677"/>
          <cell r="C1677"/>
          <cell r="D1677"/>
          <cell r="E1677"/>
          <cell r="F1677" t="str">
            <v>Sub-Total</v>
          </cell>
          <cell r="G1677" t="str">
            <v>5.11</v>
          </cell>
          <cell r="H1677" t="str">
            <v>MDEO-5.5</v>
          </cell>
          <cell r="I1677">
            <v>43463.046744000007</v>
          </cell>
        </row>
        <row r="1678">
          <cell r="B1678"/>
          <cell r="C1678"/>
          <cell r="D1678"/>
          <cell r="E1678"/>
          <cell r="F1678"/>
          <cell r="G1678"/>
          <cell r="H1678"/>
          <cell r="I1678">
            <v>2173.1523372000006</v>
          </cell>
        </row>
        <row r="1679">
          <cell r="B1679"/>
          <cell r="C1679"/>
          <cell r="D1679"/>
          <cell r="E1679"/>
          <cell r="F1679" t="str">
            <v>Total Costo Directo</v>
          </cell>
          <cell r="G1679"/>
          <cell r="H1679"/>
          <cell r="I1679">
            <v>709836</v>
          </cell>
        </row>
        <row r="1680">
          <cell r="B1680"/>
          <cell r="C1680"/>
          <cell r="D1680"/>
          <cell r="E1680" t="str">
            <v>PORCENTAJE</v>
          </cell>
          <cell r="F1680"/>
          <cell r="G1680" t="str">
            <v>V. COSTO INDERECTO</v>
          </cell>
          <cell r="H1680"/>
          <cell r="I1680"/>
        </row>
        <row r="1681">
          <cell r="B1681"/>
          <cell r="C1681"/>
          <cell r="D1681"/>
          <cell r="E1681">
            <v>0.02</v>
          </cell>
          <cell r="F1681"/>
          <cell r="G1681">
            <v>14196.720000000001</v>
          </cell>
          <cell r="H1681"/>
          <cell r="I1681"/>
        </row>
        <row r="1682">
          <cell r="B1682"/>
          <cell r="C1682"/>
          <cell r="D1682"/>
          <cell r="E1682">
            <v>0.23</v>
          </cell>
          <cell r="F1682"/>
          <cell r="G1682">
            <v>163262.28</v>
          </cell>
          <cell r="H1682"/>
          <cell r="I1682"/>
        </row>
        <row r="1683">
          <cell r="B1683"/>
          <cell r="C1683"/>
          <cell r="D1683"/>
          <cell r="E1683">
            <v>0.05</v>
          </cell>
          <cell r="F1683"/>
          <cell r="G1683">
            <v>35491.800000000003</v>
          </cell>
          <cell r="H1683"/>
          <cell r="I1683"/>
        </row>
        <row r="1684">
          <cell r="B1684"/>
          <cell r="C1684"/>
          <cell r="D1684"/>
          <cell r="E1684">
            <v>0.02</v>
          </cell>
          <cell r="F1684"/>
          <cell r="G1684">
            <v>14196.720000000001</v>
          </cell>
          <cell r="H1684"/>
          <cell r="I1684"/>
        </row>
        <row r="1685">
          <cell r="B1685"/>
          <cell r="C1685"/>
          <cell r="D1685"/>
          <cell r="E1685"/>
          <cell r="F1685"/>
          <cell r="G1685"/>
          <cell r="H1685"/>
          <cell r="I1685">
            <v>227147.51999999999</v>
          </cell>
        </row>
        <row r="1686">
          <cell r="B1686"/>
          <cell r="C1686"/>
          <cell r="D1686"/>
          <cell r="E1686"/>
          <cell r="F1686"/>
          <cell r="G1686"/>
          <cell r="H1686"/>
          <cell r="I1686">
            <v>936983.52</v>
          </cell>
        </row>
        <row r="1687">
          <cell r="B1687"/>
          <cell r="C1687"/>
          <cell r="D1687"/>
          <cell r="E1687"/>
          <cell r="F1687"/>
          <cell r="G1687"/>
          <cell r="H1687"/>
          <cell r="I1687"/>
        </row>
        <row r="1688">
          <cell r="B1688"/>
          <cell r="C1688"/>
          <cell r="D1688"/>
          <cell r="E1688"/>
          <cell r="F1688" t="str">
            <v>REVISA</v>
          </cell>
          <cell r="G1688"/>
          <cell r="H1688"/>
          <cell r="I1688"/>
        </row>
        <row r="1689">
          <cell r="B1689"/>
          <cell r="C1689"/>
          <cell r="D1689"/>
          <cell r="E1689"/>
          <cell r="F1689" t="str">
            <v>FIRMA:</v>
          </cell>
          <cell r="G1689"/>
          <cell r="H1689"/>
          <cell r="I1689"/>
        </row>
        <row r="1690">
          <cell r="B1690" t="str">
            <v>LINA MARCELA</v>
          </cell>
          <cell r="C1690"/>
          <cell r="F1690" t="str">
            <v>NOMBRE</v>
          </cell>
          <cell r="G1690"/>
          <cell r="H1690"/>
          <cell r="I1690"/>
        </row>
        <row r="1691">
          <cell r="B1691" t="str">
            <v>05202-316814 ANT</v>
          </cell>
          <cell r="C1691"/>
          <cell r="F1691" t="str">
            <v>MAT:</v>
          </cell>
          <cell r="G1691"/>
          <cell r="H1691"/>
          <cell r="I1691"/>
        </row>
        <row r="1692">
          <cell r="B1692"/>
          <cell r="C1692"/>
          <cell r="F1692"/>
          <cell r="G1692"/>
          <cell r="H1692"/>
          <cell r="I1692"/>
        </row>
        <row r="1693">
          <cell r="B1693"/>
          <cell r="C1693"/>
          <cell r="D1693"/>
          <cell r="E1693"/>
          <cell r="F1693"/>
          <cell r="G1693"/>
          <cell r="H1693"/>
          <cell r="I1693"/>
        </row>
        <row r="1694">
          <cell r="B1694"/>
          <cell r="C1694"/>
          <cell r="D1694"/>
          <cell r="E1694"/>
          <cell r="F1694"/>
          <cell r="G1694"/>
          <cell r="H1694"/>
          <cell r="I1694"/>
        </row>
        <row r="1695">
          <cell r="B1695"/>
          <cell r="C1695"/>
          <cell r="D1695"/>
          <cell r="E1695"/>
          <cell r="F1695"/>
          <cell r="G1695"/>
          <cell r="H1695"/>
          <cell r="I1695"/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(2)"/>
      <sheetName val="APU"/>
      <sheetName val="MEM"/>
      <sheetName val="ADMON OBRA"/>
      <sheetName val="ADMON INTERVENT"/>
      <sheetName val="FACT. MULTIPLICADOR"/>
      <sheetName val="CRONOGRAMA DE ACTIVIDADDES "/>
    </sheetNames>
    <sheetDataSet>
      <sheetData sheetId="0" refreshError="1">
        <row r="66">
          <cell r="H66">
            <v>307345794.4199999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PRESUPUESTO"/>
      <sheetName val="MEM"/>
      <sheetName val="APU"/>
      <sheetName val="Hoja2"/>
      <sheetName val="DIS APU"/>
      <sheetName val="CUADRO CANTIDADES"/>
      <sheetName val="ADMON OBRA"/>
      <sheetName val="ADMON INTERVENT"/>
      <sheetName val="POLIZAS"/>
      <sheetName val="PRESTACION"/>
      <sheetName val="DOTACION"/>
      <sheetName val="EQUI"/>
      <sheetName val="MDEO"/>
      <sheetName val="TRAN"/>
      <sheetName val="MAT"/>
      <sheetName val="ESQUE"/>
      <sheetName val="LOGOS SUB REGION"/>
      <sheetName val="ESPECIFICACION NORMA"/>
      <sheetName val="NORMA INVIAS"/>
      <sheetName val="Hoja1"/>
    </sheetNames>
    <sheetDataSet>
      <sheetData sheetId="0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NOM_MUN</v>
          </cell>
          <cell r="F10" t="str">
            <v>MUNICIPIO DE APARTADO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LOC_PRO</v>
          </cell>
          <cell r="F12" t="str">
            <v>CARRERA 102, CALLE 104C, CARRERA 84</v>
          </cell>
          <cell r="G12">
            <v>0</v>
          </cell>
          <cell r="H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NOM_PRO</v>
          </cell>
          <cell r="F14" t="str">
            <v>CONSTRUCCION DE PAVIMENTO EN CONRETO HIDRAULICO, DESARROLLO URBANISTICO EN EL MUNICIPIO DE APARTADO</v>
          </cell>
          <cell r="G14">
            <v>0</v>
          </cell>
          <cell r="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NORM</v>
          </cell>
          <cell r="F16" t="str">
            <v>INVIAS, RAS 2000, NORMAS EPM</v>
          </cell>
          <cell r="G16">
            <v>0</v>
          </cell>
          <cell r="H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 t="str">
            <v>FECHA</v>
          </cell>
          <cell r="F18">
            <v>42430</v>
          </cell>
          <cell r="G18">
            <v>0</v>
          </cell>
          <cell r="H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PROF_RESP</v>
          </cell>
          <cell r="F20" t="str">
            <v>JHON EMIR GAMBOA MENA</v>
          </cell>
          <cell r="G20">
            <v>0</v>
          </cell>
          <cell r="H20" t="str">
            <v>05202-316814 ANT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6">
          <cell r="B16" t="str">
            <v>E001</v>
          </cell>
          <cell r="C16" t="str">
            <v>COMPACTADOR TIPO CANGURO</v>
          </cell>
          <cell r="D16" t="str">
            <v>HORA</v>
          </cell>
          <cell r="E16">
            <v>7500</v>
          </cell>
          <cell r="F16">
            <v>0</v>
          </cell>
          <cell r="G16">
            <v>0</v>
          </cell>
        </row>
        <row r="17">
          <cell r="B17" t="str">
            <v>E002</v>
          </cell>
          <cell r="C17" t="str">
            <v>COMPACTADOR TIPO RANA</v>
          </cell>
          <cell r="D17" t="str">
            <v>HORA</v>
          </cell>
          <cell r="E17">
            <v>5000</v>
          </cell>
          <cell r="F17">
            <v>0</v>
          </cell>
          <cell r="G17">
            <v>0</v>
          </cell>
        </row>
        <row r="18">
          <cell r="B18" t="str">
            <v>E003</v>
          </cell>
          <cell r="C18" t="str">
            <v>CONCRETADORA 2 SACOS ACPM</v>
          </cell>
          <cell r="D18" t="str">
            <v>HORA</v>
          </cell>
          <cell r="E18">
            <v>6875</v>
          </cell>
          <cell r="F18">
            <v>0</v>
          </cell>
          <cell r="G18">
            <v>0</v>
          </cell>
        </row>
        <row r="19">
          <cell r="B19" t="str">
            <v>E004</v>
          </cell>
          <cell r="C19" t="str">
            <v>CORTADORA DE PAVIMENTO</v>
          </cell>
          <cell r="D19" t="str">
            <v>HORA</v>
          </cell>
          <cell r="E19">
            <v>7500</v>
          </cell>
          <cell r="F19">
            <v>0</v>
          </cell>
          <cell r="G19">
            <v>0</v>
          </cell>
        </row>
        <row r="20">
          <cell r="B20" t="str">
            <v>E005</v>
          </cell>
          <cell r="C20" t="str">
            <v>DIDACTICOS EQUIPO DE OFICINA</v>
          </cell>
          <cell r="D20" t="str">
            <v>MES</v>
          </cell>
          <cell r="E20">
            <v>985000</v>
          </cell>
          <cell r="F20">
            <v>985000</v>
          </cell>
          <cell r="G20">
            <v>0</v>
          </cell>
        </row>
        <row r="21">
          <cell r="B21" t="str">
            <v>E006</v>
          </cell>
          <cell r="C21" t="str">
            <v>EQUIPO DE PAVIMENTO (FLOTA Y RASTRILLO)</v>
          </cell>
          <cell r="D21" t="str">
            <v>DIA</v>
          </cell>
          <cell r="E21">
            <v>1500</v>
          </cell>
          <cell r="F21">
            <v>1500</v>
          </cell>
          <cell r="G21">
            <v>0</v>
          </cell>
        </row>
        <row r="22">
          <cell r="B22" t="str">
            <v>E007</v>
          </cell>
          <cell r="C22" t="str">
            <v>EQUIPO DE COMPRESOR PARA PINTURA</v>
          </cell>
          <cell r="D22" t="str">
            <v>HORA</v>
          </cell>
          <cell r="E22">
            <v>6500</v>
          </cell>
          <cell r="F22">
            <v>6500</v>
          </cell>
          <cell r="G22">
            <v>0</v>
          </cell>
        </row>
        <row r="23">
          <cell r="B23" t="str">
            <v>E008</v>
          </cell>
          <cell r="C23" t="str">
            <v>EQUIPO DEMOLEDOR TIPO COMPRESOR</v>
          </cell>
          <cell r="D23" t="str">
            <v>HORA</v>
          </cell>
          <cell r="E23">
            <v>65000</v>
          </cell>
          <cell r="F23">
            <v>65000</v>
          </cell>
          <cell r="G23">
            <v>0</v>
          </cell>
        </row>
        <row r="24">
          <cell r="B24" t="str">
            <v>E009</v>
          </cell>
          <cell r="C24" t="str">
            <v xml:space="preserve">EQUIPO PARA COMISION DE TOPOGRAFIA </v>
          </cell>
          <cell r="D24" t="str">
            <v>HORA</v>
          </cell>
          <cell r="E24">
            <v>57000</v>
          </cell>
          <cell r="F24">
            <v>0</v>
          </cell>
          <cell r="G24">
            <v>0</v>
          </cell>
        </row>
        <row r="25">
          <cell r="B25" t="str">
            <v>E010</v>
          </cell>
          <cell r="C25" t="str">
            <v>EQUIPO TANQUE PARA IRRIGAR SUBBASE</v>
          </cell>
          <cell r="D25" t="str">
            <v>HORA</v>
          </cell>
          <cell r="E25">
            <v>5000</v>
          </cell>
          <cell r="F25">
            <v>0</v>
          </cell>
          <cell r="G25">
            <v>0</v>
          </cell>
        </row>
        <row r="26">
          <cell r="B26" t="str">
            <v>E011</v>
          </cell>
          <cell r="C26" t="str">
            <v>FORMALETA OBRAS</v>
          </cell>
          <cell r="D26" t="str">
            <v>GL</v>
          </cell>
          <cell r="E26">
            <v>65000</v>
          </cell>
          <cell r="F26">
            <v>0</v>
          </cell>
          <cell r="G26">
            <v>0</v>
          </cell>
        </row>
        <row r="27">
          <cell r="B27" t="str">
            <v>E012</v>
          </cell>
          <cell r="C27" t="str">
            <v>FORMALETA PARA BORDILLO</v>
          </cell>
          <cell r="D27" t="str">
            <v>UN</v>
          </cell>
          <cell r="E27">
            <v>2150</v>
          </cell>
          <cell r="F27">
            <v>0</v>
          </cell>
          <cell r="G27">
            <v>0</v>
          </cell>
        </row>
        <row r="28">
          <cell r="B28" t="str">
            <v>E013</v>
          </cell>
          <cell r="C28" t="str">
            <v>FORMALETA MADERA (TABLA 3M 0,20M)</v>
          </cell>
          <cell r="D28" t="str">
            <v>UN</v>
          </cell>
          <cell r="E28">
            <v>7500</v>
          </cell>
          <cell r="F28">
            <v>0</v>
          </cell>
          <cell r="G28">
            <v>0</v>
          </cell>
        </row>
        <row r="29">
          <cell r="B29" t="str">
            <v>E014</v>
          </cell>
          <cell r="C29" t="str">
            <v>FORMALETA METALICA PARA PAVIMETNO</v>
          </cell>
          <cell r="D29" t="str">
            <v>PAR</v>
          </cell>
          <cell r="E29">
            <v>1000</v>
          </cell>
          <cell r="F29">
            <v>0</v>
          </cell>
          <cell r="G29">
            <v>0</v>
          </cell>
        </row>
        <row r="30">
          <cell r="B30" t="str">
            <v>E015</v>
          </cell>
          <cell r="C30" t="str">
            <v>FORMALETA PARA CAÑUELA</v>
          </cell>
          <cell r="D30" t="str">
            <v>UN</v>
          </cell>
          <cell r="E30">
            <v>65000</v>
          </cell>
          <cell r="F30">
            <v>0</v>
          </cell>
          <cell r="G30">
            <v>0</v>
          </cell>
        </row>
        <row r="31">
          <cell r="B31" t="str">
            <v>E016</v>
          </cell>
          <cell r="C31" t="str">
            <v>FORMALETA PARA CILINDRO</v>
          </cell>
          <cell r="D31" t="str">
            <v>HORA</v>
          </cell>
          <cell r="E31">
            <v>7500</v>
          </cell>
          <cell r="F31">
            <v>0</v>
          </cell>
          <cell r="G31">
            <v>0</v>
          </cell>
        </row>
        <row r="32">
          <cell r="B32" t="str">
            <v>E017</v>
          </cell>
          <cell r="C32" t="str">
            <v>FORMALETA PARA CONO</v>
          </cell>
          <cell r="D32" t="str">
            <v>HORA</v>
          </cell>
          <cell r="E32">
            <v>7500</v>
          </cell>
          <cell r="F32">
            <v>0</v>
          </cell>
          <cell r="G32">
            <v>0</v>
          </cell>
        </row>
        <row r="33">
          <cell r="B33" t="str">
            <v>E018</v>
          </cell>
          <cell r="C33" t="str">
            <v>LISTON Y VARILLA AJUS. FORMALETA METALICA</v>
          </cell>
          <cell r="D33" t="str">
            <v>UN</v>
          </cell>
          <cell r="E33">
            <v>1000</v>
          </cell>
          <cell r="F33">
            <v>0</v>
          </cell>
          <cell r="G33">
            <v>0</v>
          </cell>
        </row>
        <row r="34">
          <cell r="B34" t="str">
            <v>E019</v>
          </cell>
          <cell r="C34" t="str">
            <v>MOTONIVELADORA</v>
          </cell>
          <cell r="D34" t="str">
            <v>HORA</v>
          </cell>
          <cell r="E34">
            <v>130000</v>
          </cell>
          <cell r="F34">
            <v>0</v>
          </cell>
          <cell r="G34">
            <v>0</v>
          </cell>
        </row>
        <row r="35">
          <cell r="B35" t="str">
            <v>E020</v>
          </cell>
          <cell r="C35" t="str">
            <v>REGLA DE CORTE (CODAL 4M)</v>
          </cell>
          <cell r="D35" t="str">
            <v>UN</v>
          </cell>
          <cell r="E35">
            <v>35000</v>
          </cell>
          <cell r="F35">
            <v>0</v>
          </cell>
          <cell r="G35">
            <v>0</v>
          </cell>
        </row>
        <row r="36">
          <cell r="B36" t="str">
            <v>E021</v>
          </cell>
          <cell r="C36" t="str">
            <v>REGLA VIBRATORIA</v>
          </cell>
          <cell r="D36" t="str">
            <v>DIA</v>
          </cell>
          <cell r="E36">
            <v>2500</v>
          </cell>
          <cell r="F36">
            <v>0</v>
          </cell>
          <cell r="G36">
            <v>0</v>
          </cell>
        </row>
        <row r="37">
          <cell r="B37" t="str">
            <v>E022</v>
          </cell>
          <cell r="C37" t="str">
            <v>REGLETA, CODAL GUIA</v>
          </cell>
          <cell r="D37" t="str">
            <v>HORA</v>
          </cell>
          <cell r="E37">
            <v>1000</v>
          </cell>
          <cell r="F37">
            <v>0</v>
          </cell>
          <cell r="G37">
            <v>0</v>
          </cell>
        </row>
        <row r="38">
          <cell r="B38" t="str">
            <v>E023</v>
          </cell>
          <cell r="C38" t="str">
            <v>RETROCARGADOR</v>
          </cell>
          <cell r="D38" t="str">
            <v>HORA</v>
          </cell>
          <cell r="E38">
            <v>100000</v>
          </cell>
          <cell r="F38">
            <v>0</v>
          </cell>
          <cell r="G38">
            <v>0</v>
          </cell>
        </row>
        <row r="39">
          <cell r="B39" t="str">
            <v>E024</v>
          </cell>
          <cell r="C39" t="str">
            <v>RETROEXCAVADORA</v>
          </cell>
          <cell r="D39" t="str">
            <v>HORA</v>
          </cell>
          <cell r="E39">
            <v>122000</v>
          </cell>
          <cell r="F39">
            <v>0</v>
          </cell>
          <cell r="G39">
            <v>0</v>
          </cell>
        </row>
        <row r="40">
          <cell r="B40" t="str">
            <v>E025</v>
          </cell>
          <cell r="C40" t="str">
            <v>TALADRO PARA ANCLAJE</v>
          </cell>
          <cell r="D40" t="str">
            <v>DIA</v>
          </cell>
          <cell r="E40">
            <v>6875</v>
          </cell>
          <cell r="F40">
            <v>0</v>
          </cell>
          <cell r="G40">
            <v>0</v>
          </cell>
        </row>
        <row r="41">
          <cell r="B41" t="str">
            <v>E026</v>
          </cell>
          <cell r="C41" t="str">
            <v>TANQUE DE ALMACENAMIENTO DE AGUA</v>
          </cell>
          <cell r="D41" t="str">
            <v>DIA</v>
          </cell>
          <cell r="E41">
            <v>1000</v>
          </cell>
          <cell r="F41">
            <v>0</v>
          </cell>
          <cell r="G41">
            <v>0</v>
          </cell>
        </row>
        <row r="42">
          <cell r="B42" t="str">
            <v>E027</v>
          </cell>
          <cell r="C42" t="str">
            <v>VIBRADOR DE AGUJA</v>
          </cell>
          <cell r="D42" t="str">
            <v>HORA</v>
          </cell>
          <cell r="E42">
            <v>4375</v>
          </cell>
          <cell r="F42">
            <v>0</v>
          </cell>
          <cell r="G42">
            <v>0</v>
          </cell>
        </row>
        <row r="43">
          <cell r="B43" t="str">
            <v>E028</v>
          </cell>
          <cell r="C43" t="str">
            <v>VIBROCOMPACTADOR</v>
          </cell>
          <cell r="D43" t="str">
            <v>HORA</v>
          </cell>
          <cell r="E43">
            <v>120000</v>
          </cell>
          <cell r="F43">
            <v>0</v>
          </cell>
          <cell r="G43">
            <v>0</v>
          </cell>
        </row>
        <row r="44">
          <cell r="B44" t="str">
            <v>E029</v>
          </cell>
          <cell r="C44" t="str">
            <v>PLANTA ELECTRICA</v>
          </cell>
          <cell r="D44" t="str">
            <v>HORA</v>
          </cell>
          <cell r="E44">
            <v>23000</v>
          </cell>
          <cell r="F44">
            <v>0</v>
          </cell>
          <cell r="G44">
            <v>0</v>
          </cell>
        </row>
        <row r="45">
          <cell r="B45" t="str">
            <v>E030</v>
          </cell>
          <cell r="C45" t="str">
            <v>MOTOSIERRA</v>
          </cell>
          <cell r="D45" t="str">
            <v>HORA</v>
          </cell>
          <cell r="E45">
            <v>5800</v>
          </cell>
          <cell r="F45">
            <v>0</v>
          </cell>
          <cell r="G45">
            <v>0</v>
          </cell>
        </row>
        <row r="46">
          <cell r="B46" t="str">
            <v>E031</v>
          </cell>
          <cell r="C46" t="str">
            <v>MOTOBOMBA</v>
          </cell>
          <cell r="D46" t="str">
            <v>HORA</v>
          </cell>
          <cell r="E46">
            <v>7400</v>
          </cell>
          <cell r="F46">
            <v>0</v>
          </cell>
          <cell r="G46">
            <v>0</v>
          </cell>
        </row>
      </sheetData>
      <sheetData sheetId="13" refreshError="1">
        <row r="16">
          <cell r="B16" t="str">
            <v>MO001</v>
          </cell>
          <cell r="C16" t="str">
            <v>TOPOGRAFO</v>
          </cell>
          <cell r="D16">
            <v>11518.431330085818</v>
          </cell>
          <cell r="E16">
            <v>0.56000000000000005</v>
          </cell>
          <cell r="F16">
            <v>17968.752874933874</v>
          </cell>
          <cell r="G16">
            <v>240</v>
          </cell>
          <cell r="H16">
            <v>4312500.6899841297</v>
          </cell>
        </row>
        <row r="17">
          <cell r="B17" t="str">
            <v>MO002</v>
          </cell>
          <cell r="C17" t="str">
            <v>CADENERO 1</v>
          </cell>
          <cell r="D17">
            <v>4073.8381410256411</v>
          </cell>
          <cell r="E17">
            <v>0.56000000000000005</v>
          </cell>
          <cell r="F17">
            <v>6355.1875</v>
          </cell>
          <cell r="G17">
            <v>240</v>
          </cell>
          <cell r="H17">
            <v>1525245</v>
          </cell>
        </row>
        <row r="18">
          <cell r="B18" t="str">
            <v>MO003</v>
          </cell>
          <cell r="C18" t="str">
            <v>CADENERO 2</v>
          </cell>
          <cell r="D18">
            <v>5993.5767663594261</v>
          </cell>
          <cell r="E18">
            <v>0.56000000000000005</v>
          </cell>
          <cell r="F18">
            <v>9349.9797555207042</v>
          </cell>
          <cell r="G18">
            <v>240</v>
          </cell>
          <cell r="H18">
            <v>2243995.141324969</v>
          </cell>
        </row>
        <row r="19">
          <cell r="B19" t="str">
            <v>MO004</v>
          </cell>
          <cell r="C19" t="str">
            <v>OFICIAL</v>
          </cell>
          <cell r="D19">
            <v>9598.6927750715422</v>
          </cell>
          <cell r="E19">
            <v>0.56000000000000005</v>
          </cell>
          <cell r="F19">
            <v>14973.960729111606</v>
          </cell>
          <cell r="G19">
            <v>240</v>
          </cell>
          <cell r="H19">
            <v>3593750.5749867857</v>
          </cell>
        </row>
        <row r="20">
          <cell r="B20" t="str">
            <v>MO005</v>
          </cell>
          <cell r="C20" t="str">
            <v>AYUDANTE ENTENDIDO</v>
          </cell>
          <cell r="D20">
            <v>5993.5767663594261</v>
          </cell>
          <cell r="E20">
            <v>0.56000000000000005</v>
          </cell>
          <cell r="F20">
            <v>9349.9797555207042</v>
          </cell>
          <cell r="G20">
            <v>240</v>
          </cell>
          <cell r="H20">
            <v>2243995.141324969</v>
          </cell>
        </row>
        <row r="21">
          <cell r="B21" t="str">
            <v>MO006</v>
          </cell>
          <cell r="C21" t="str">
            <v>AYUDANTE</v>
          </cell>
          <cell r="D21">
            <v>4331.9024639423078</v>
          </cell>
          <cell r="E21">
            <v>0.56000000000000005</v>
          </cell>
          <cell r="F21">
            <v>6757.7678437500008</v>
          </cell>
          <cell r="G21">
            <v>240</v>
          </cell>
          <cell r="H21">
            <v>1621864.2825000002</v>
          </cell>
        </row>
        <row r="22">
          <cell r="B22" t="str">
            <v>MO007</v>
          </cell>
          <cell r="C22" t="str">
            <v>PROFESIONAL SOCIAL AFIN</v>
          </cell>
          <cell r="D22">
            <v>10416.666666666666</v>
          </cell>
          <cell r="E22">
            <v>0.56000000000000005</v>
          </cell>
          <cell r="F22">
            <v>16250</v>
          </cell>
          <cell r="G22">
            <v>240</v>
          </cell>
          <cell r="H22">
            <v>3900000</v>
          </cell>
        </row>
        <row r="23">
          <cell r="B23" t="str">
            <v>MO008</v>
          </cell>
          <cell r="C23" t="str">
            <v>ING. AMBIENTAL</v>
          </cell>
          <cell r="D23">
            <v>12500</v>
          </cell>
          <cell r="E23">
            <v>0.56000000000000005</v>
          </cell>
          <cell r="F23">
            <v>19500</v>
          </cell>
          <cell r="G23">
            <v>240</v>
          </cell>
          <cell r="H23">
            <v>4680000</v>
          </cell>
        </row>
        <row r="24">
          <cell r="B24" t="str">
            <v>MO009</v>
          </cell>
          <cell r="C24" t="str">
            <v>PERSONAL SYSO</v>
          </cell>
          <cell r="D24">
            <v>10416.666666666666</v>
          </cell>
          <cell r="E24">
            <v>0.56000000000000005</v>
          </cell>
          <cell r="F24">
            <v>16250</v>
          </cell>
          <cell r="G24">
            <v>240</v>
          </cell>
          <cell r="H24">
            <v>3900000</v>
          </cell>
        </row>
      </sheetData>
      <sheetData sheetId="14" refreshError="1">
        <row r="16">
          <cell r="B16" t="str">
            <v>T001</v>
          </cell>
          <cell r="C16" t="str">
            <v>TRANS INT CONCRETO M3</v>
          </cell>
          <cell r="D16" t="str">
            <v>M3</v>
          </cell>
          <cell r="E16">
            <v>4000</v>
          </cell>
          <cell r="F16">
            <v>0</v>
          </cell>
          <cell r="G16">
            <v>0</v>
          </cell>
        </row>
        <row r="17">
          <cell r="B17" t="str">
            <v>T002</v>
          </cell>
          <cell r="C17" t="str">
            <v>TRANS INT  MAT GRANULAR</v>
          </cell>
          <cell r="D17" t="str">
            <v>M3</v>
          </cell>
          <cell r="E17">
            <v>4000</v>
          </cell>
          <cell r="F17">
            <v>0</v>
          </cell>
          <cell r="G17">
            <v>0</v>
          </cell>
        </row>
        <row r="18">
          <cell r="B18" t="str">
            <v>T003</v>
          </cell>
          <cell r="C18" t="str">
            <v>TRANS AGUA 0-5KM</v>
          </cell>
          <cell r="D18" t="str">
            <v>M3</v>
          </cell>
          <cell r="E18">
            <v>1095</v>
          </cell>
          <cell r="F18">
            <v>0</v>
          </cell>
          <cell r="G18">
            <v>0</v>
          </cell>
        </row>
        <row r="19">
          <cell r="B19" t="str">
            <v>T004</v>
          </cell>
          <cell r="C19" t="str">
            <v>TRANS MAT SOBRANTE 0-5KM</v>
          </cell>
          <cell r="D19" t="str">
            <v>M3</v>
          </cell>
          <cell r="E19">
            <v>1095</v>
          </cell>
          <cell r="F19">
            <v>0</v>
          </cell>
          <cell r="G19">
            <v>0</v>
          </cell>
        </row>
        <row r="20">
          <cell r="B20" t="str">
            <v>T005</v>
          </cell>
          <cell r="C20" t="str">
            <v>TRANS INT  BORDILLO UN</v>
          </cell>
          <cell r="D20" t="str">
            <v>UN</v>
          </cell>
          <cell r="E20">
            <v>300</v>
          </cell>
          <cell r="F20">
            <v>0</v>
          </cell>
          <cell r="G20">
            <v>0</v>
          </cell>
        </row>
        <row r="21">
          <cell r="B21" t="str">
            <v>T006</v>
          </cell>
          <cell r="C21" t="str">
            <v>TRANS INT  LISTON SEÑALIZACION UN</v>
          </cell>
          <cell r="D21" t="str">
            <v>UN</v>
          </cell>
          <cell r="E21">
            <v>100</v>
          </cell>
          <cell r="F21">
            <v>0</v>
          </cell>
          <cell r="G21">
            <v>0</v>
          </cell>
        </row>
        <row r="22">
          <cell r="B22" t="str">
            <v>T007</v>
          </cell>
          <cell r="C22" t="str">
            <v>TRANS INT TABLETA-ADOQUIN UN</v>
          </cell>
          <cell r="D22" t="str">
            <v>UN</v>
          </cell>
          <cell r="E22">
            <v>200</v>
          </cell>
          <cell r="F22">
            <v>0</v>
          </cell>
          <cell r="G22">
            <v>0</v>
          </cell>
        </row>
        <row r="23">
          <cell r="B23" t="str">
            <v>T008</v>
          </cell>
          <cell r="C23" t="str">
            <v>TRANS MATERIAL &gt; 10 KM</v>
          </cell>
          <cell r="D23" t="str">
            <v>M3-KM</v>
          </cell>
          <cell r="E23">
            <v>980</v>
          </cell>
          <cell r="F23">
            <v>0</v>
          </cell>
          <cell r="G23">
            <v>0</v>
          </cell>
        </row>
        <row r="24">
          <cell r="B24" t="str">
            <v>T009</v>
          </cell>
          <cell r="C24" t="str">
            <v>TRANS MATERIAL &lt; 10 KM</v>
          </cell>
          <cell r="D24" t="str">
            <v>M3-KM</v>
          </cell>
          <cell r="E24">
            <v>1095</v>
          </cell>
          <cell r="F24">
            <v>0</v>
          </cell>
          <cell r="G24">
            <v>0</v>
          </cell>
        </row>
        <row r="25">
          <cell r="B25" t="str">
            <v>T010</v>
          </cell>
          <cell r="C25" t="str">
            <v>TRANSPORTE  CEMENTO</v>
          </cell>
          <cell r="D25" t="str">
            <v>SACO</v>
          </cell>
          <cell r="E25">
            <v>2000</v>
          </cell>
          <cell r="F25">
            <v>0</v>
          </cell>
          <cell r="G25">
            <v>0</v>
          </cell>
        </row>
        <row r="26">
          <cell r="B26" t="str">
            <v>T010</v>
          </cell>
          <cell r="C26" t="str">
            <v>TRANSPORTE  CEMENTOCONCRETO PREMEZCLADO</v>
          </cell>
          <cell r="D26" t="str">
            <v>M3</v>
          </cell>
          <cell r="E26">
            <v>2000</v>
          </cell>
          <cell r="F26">
            <v>0</v>
          </cell>
          <cell r="G26">
            <v>0</v>
          </cell>
        </row>
      </sheetData>
      <sheetData sheetId="15" refreshError="1">
        <row r="16">
          <cell r="B16" t="str">
            <v>M001</v>
          </cell>
          <cell r="C16" t="str">
            <v>1/4 DE PINTURA</v>
          </cell>
          <cell r="D16" t="str">
            <v>G/4</v>
          </cell>
          <cell r="E16">
            <v>17900</v>
          </cell>
          <cell r="F16">
            <v>0</v>
          </cell>
          <cell r="G16">
            <v>0</v>
          </cell>
        </row>
        <row r="17">
          <cell r="B17" t="str">
            <v>M002</v>
          </cell>
          <cell r="C17" t="str">
            <v>ACERO  60000 PSI</v>
          </cell>
          <cell r="D17" t="str">
            <v>KG</v>
          </cell>
          <cell r="E17">
            <v>2510</v>
          </cell>
          <cell r="F17">
            <v>0</v>
          </cell>
          <cell r="G17">
            <v>0</v>
          </cell>
        </row>
        <row r="18">
          <cell r="B18" t="str">
            <v>M003</v>
          </cell>
          <cell r="C18" t="str">
            <v>ACERO 40000 PSI</v>
          </cell>
          <cell r="D18" t="str">
            <v>KG</v>
          </cell>
          <cell r="E18">
            <v>2455</v>
          </cell>
          <cell r="F18">
            <v>0</v>
          </cell>
          <cell r="G18">
            <v>0</v>
          </cell>
        </row>
        <row r="19">
          <cell r="B19" t="str">
            <v>M004</v>
          </cell>
          <cell r="C19" t="str">
            <v>AGUA</v>
          </cell>
          <cell r="D19" t="str">
            <v>M3</v>
          </cell>
          <cell r="E19">
            <v>1300</v>
          </cell>
          <cell r="F19">
            <v>0</v>
          </cell>
          <cell r="G19">
            <v>0</v>
          </cell>
        </row>
        <row r="20">
          <cell r="B20" t="str">
            <v>M005</v>
          </cell>
          <cell r="C20" t="str">
            <v>ALAMBRE QUEMADO</v>
          </cell>
          <cell r="D20" t="str">
            <v>KG</v>
          </cell>
          <cell r="E20">
            <v>3480</v>
          </cell>
          <cell r="F20">
            <v>0</v>
          </cell>
          <cell r="G20">
            <v>0</v>
          </cell>
        </row>
        <row r="21">
          <cell r="B21" t="str">
            <v>M006</v>
          </cell>
          <cell r="C21" t="str">
            <v>ANTICORROSIVO</v>
          </cell>
          <cell r="D21" t="str">
            <v>gl</v>
          </cell>
          <cell r="E21">
            <v>40000</v>
          </cell>
          <cell r="F21">
            <v>0</v>
          </cell>
          <cell r="G21">
            <v>0</v>
          </cell>
        </row>
        <row r="22">
          <cell r="B22" t="str">
            <v>M007</v>
          </cell>
          <cell r="C22" t="str">
            <v>ARENA BASE Y SELLO ADOQUIN</v>
          </cell>
          <cell r="D22" t="str">
            <v>M3</v>
          </cell>
          <cell r="E22">
            <v>18560</v>
          </cell>
          <cell r="F22">
            <v>0</v>
          </cell>
          <cell r="G22">
            <v>0</v>
          </cell>
        </row>
        <row r="23">
          <cell r="B23" t="str">
            <v>M008</v>
          </cell>
          <cell r="C23" t="str">
            <v>ARENA PARA CONCRETO</v>
          </cell>
          <cell r="D23" t="str">
            <v>M3</v>
          </cell>
          <cell r="E23">
            <v>22850</v>
          </cell>
          <cell r="F23">
            <v>0</v>
          </cell>
          <cell r="G23">
            <v>0</v>
          </cell>
        </row>
        <row r="24">
          <cell r="B24" t="str">
            <v>M009</v>
          </cell>
          <cell r="C24" t="str">
            <v>BREA SOLIDA</v>
          </cell>
          <cell r="D24" t="str">
            <v>KG</v>
          </cell>
          <cell r="E24">
            <v>2950</v>
          </cell>
          <cell r="F24">
            <v>0</v>
          </cell>
          <cell r="G24">
            <v>0</v>
          </cell>
        </row>
        <row r="25">
          <cell r="B25" t="str">
            <v>M010</v>
          </cell>
          <cell r="C25" t="str">
            <v>CASCAJO DE RIO TIPO CANTO RODADO SELECCIONADO TAMAÑO MAX 3/4"</v>
          </cell>
          <cell r="D25" t="str">
            <v>M3</v>
          </cell>
          <cell r="E25">
            <v>25000</v>
          </cell>
          <cell r="F25">
            <v>0</v>
          </cell>
          <cell r="G25">
            <v>0</v>
          </cell>
        </row>
        <row r="26">
          <cell r="B26" t="str">
            <v>M011</v>
          </cell>
          <cell r="C26" t="str">
            <v>CEMENTO GRIS</v>
          </cell>
          <cell r="D26" t="str">
            <v>SACO</v>
          </cell>
          <cell r="E26">
            <v>26500</v>
          </cell>
          <cell r="F26">
            <v>0</v>
          </cell>
          <cell r="G26">
            <v>0</v>
          </cell>
        </row>
        <row r="27">
          <cell r="B27" t="str">
            <v>M012</v>
          </cell>
          <cell r="C27" t="str">
            <v>CINTA REFLECTIVA SEÑALIZACION</v>
          </cell>
          <cell r="D27" t="str">
            <v>ROLLO</v>
          </cell>
          <cell r="E27">
            <v>5600</v>
          </cell>
          <cell r="F27">
            <v>0</v>
          </cell>
          <cell r="G27">
            <v>0</v>
          </cell>
        </row>
        <row r="28">
          <cell r="B28" t="str">
            <v>M013</v>
          </cell>
          <cell r="C28" t="str">
            <v>CLAVO ACERO</v>
          </cell>
          <cell r="D28" t="str">
            <v>LB</v>
          </cell>
          <cell r="E28">
            <v>3600</v>
          </cell>
          <cell r="F28">
            <v>0</v>
          </cell>
          <cell r="G28">
            <v>0</v>
          </cell>
        </row>
        <row r="29">
          <cell r="B29" t="str">
            <v>M014</v>
          </cell>
          <cell r="C29" t="str">
            <v>CLAVO COMUN</v>
          </cell>
          <cell r="D29" t="str">
            <v>LB</v>
          </cell>
          <cell r="E29">
            <v>2300</v>
          </cell>
          <cell r="F29">
            <v>0</v>
          </cell>
          <cell r="G29">
            <v>0</v>
          </cell>
        </row>
        <row r="30">
          <cell r="B30" t="str">
            <v>M015</v>
          </cell>
          <cell r="C30" t="str">
            <v>COLO MINERAL</v>
          </cell>
          <cell r="D30" t="str">
            <v>SACO</v>
          </cell>
          <cell r="E30">
            <v>4950</v>
          </cell>
          <cell r="F30">
            <v>0</v>
          </cell>
          <cell r="G30">
            <v>0</v>
          </cell>
        </row>
        <row r="31">
          <cell r="B31" t="str">
            <v>M016</v>
          </cell>
          <cell r="C31" t="str">
            <v>CONCRETO 2500 PSI</v>
          </cell>
          <cell r="D31" t="str">
            <v>M3</v>
          </cell>
          <cell r="E31">
            <v>380000</v>
          </cell>
          <cell r="F31">
            <v>0</v>
          </cell>
          <cell r="G31">
            <v>0</v>
          </cell>
        </row>
        <row r="32">
          <cell r="B32" t="str">
            <v>M017</v>
          </cell>
          <cell r="C32" t="str">
            <v>CURADOR TIPO ANTISOL</v>
          </cell>
          <cell r="D32" t="str">
            <v>KG</v>
          </cell>
          <cell r="E32">
            <v>5440</v>
          </cell>
          <cell r="F32">
            <v>0</v>
          </cell>
          <cell r="G32">
            <v>0</v>
          </cell>
        </row>
        <row r="33">
          <cell r="B33" t="str">
            <v>M018</v>
          </cell>
          <cell r="C33" t="str">
            <v>DIOXIDO DE HIERRO COLOR AMARILLO</v>
          </cell>
          <cell r="D33" t="str">
            <v>SACO</v>
          </cell>
          <cell r="E33">
            <v>185000</v>
          </cell>
          <cell r="F33">
            <v>0</v>
          </cell>
          <cell r="G33">
            <v>0</v>
          </cell>
        </row>
        <row r="34">
          <cell r="B34" t="str">
            <v>M019</v>
          </cell>
          <cell r="C34" t="str">
            <v>DISCO DIAMANTADO DE 14"</v>
          </cell>
          <cell r="D34" t="str">
            <v>UN</v>
          </cell>
          <cell r="E34">
            <v>86000</v>
          </cell>
          <cell r="F34">
            <v>0</v>
          </cell>
          <cell r="G34">
            <v>0</v>
          </cell>
        </row>
        <row r="35">
          <cell r="B35" t="str">
            <v>M020</v>
          </cell>
          <cell r="C35" t="str">
            <v>DISOLVENTE</v>
          </cell>
          <cell r="D35" t="str">
            <v>GL</v>
          </cell>
          <cell r="E35">
            <v>15000</v>
          </cell>
          <cell r="F35">
            <v>0</v>
          </cell>
          <cell r="G35">
            <v>0</v>
          </cell>
        </row>
        <row r="36">
          <cell r="B36" t="str">
            <v>M021</v>
          </cell>
          <cell r="C36" t="str">
            <v>ELEMENTOS DE PROTECCION</v>
          </cell>
          <cell r="D36" t="str">
            <v>MES</v>
          </cell>
          <cell r="E36">
            <v>700000</v>
          </cell>
          <cell r="F36">
            <v>0</v>
          </cell>
          <cell r="G36">
            <v>0</v>
          </cell>
        </row>
        <row r="37">
          <cell r="B37" t="str">
            <v>M022</v>
          </cell>
          <cell r="C37" t="str">
            <v xml:space="preserve">ELEMENTOS DE SEÑALIZACION </v>
          </cell>
          <cell r="D37" t="str">
            <v>MES</v>
          </cell>
          <cell r="E37">
            <v>700000</v>
          </cell>
          <cell r="F37">
            <v>0</v>
          </cell>
          <cell r="G37">
            <v>0</v>
          </cell>
        </row>
        <row r="38">
          <cell r="B38" t="str">
            <v>M023</v>
          </cell>
          <cell r="C38" t="str">
            <v>EPOXICO PARA  ANCLAJE TIPO SIKA</v>
          </cell>
          <cell r="D38" t="str">
            <v>KG</v>
          </cell>
          <cell r="E38">
            <v>6500</v>
          </cell>
          <cell r="F38">
            <v>0</v>
          </cell>
          <cell r="G38">
            <v>0</v>
          </cell>
        </row>
        <row r="39">
          <cell r="B39" t="str">
            <v>M024</v>
          </cell>
          <cell r="C39" t="str">
            <v>FERTILIZANTE Foliar</v>
          </cell>
          <cell r="D39" t="str">
            <v>LITRO</v>
          </cell>
          <cell r="E39">
            <v>30000</v>
          </cell>
          <cell r="F39">
            <v>0</v>
          </cell>
          <cell r="G39">
            <v>0</v>
          </cell>
        </row>
        <row r="40">
          <cell r="B40" t="str">
            <v>M025</v>
          </cell>
          <cell r="C40" t="str">
            <v xml:space="preserve">FERTILIZANTE FÓSFORO </v>
          </cell>
          <cell r="D40" t="str">
            <v>BULTO</v>
          </cell>
          <cell r="E40">
            <v>110000</v>
          </cell>
          <cell r="F40">
            <v>0</v>
          </cell>
          <cell r="G40">
            <v>0</v>
          </cell>
        </row>
        <row r="41">
          <cell r="B41" t="str">
            <v>M026</v>
          </cell>
          <cell r="C41" t="str">
            <v>FERTILIZANTE Urea</v>
          </cell>
          <cell r="D41" t="str">
            <v>BULTO</v>
          </cell>
          <cell r="E41">
            <v>95000</v>
          </cell>
          <cell r="F41">
            <v>0</v>
          </cell>
          <cell r="G41">
            <v>0</v>
          </cell>
        </row>
        <row r="42">
          <cell r="B42" t="str">
            <v>M027</v>
          </cell>
          <cell r="C42" t="str">
            <v>GEOTEXTIL TEJIDO 2100 T</v>
          </cell>
          <cell r="D42" t="str">
            <v>M2</v>
          </cell>
          <cell r="E42">
            <v>7500</v>
          </cell>
          <cell r="F42">
            <v>0</v>
          </cell>
          <cell r="G42">
            <v>0</v>
          </cell>
        </row>
        <row r="43">
          <cell r="B43" t="str">
            <v>M028</v>
          </cell>
          <cell r="C43" t="str">
            <v>HERRAJE PARA CAJA DOMICILIARIA INC REF</v>
          </cell>
          <cell r="D43" t="str">
            <v>UN</v>
          </cell>
          <cell r="E43">
            <v>150000</v>
          </cell>
          <cell r="F43">
            <v>0</v>
          </cell>
          <cell r="G43">
            <v>0</v>
          </cell>
        </row>
        <row r="44">
          <cell r="B44" t="str">
            <v>M029</v>
          </cell>
          <cell r="C44" t="str">
            <v>HERRAJE PARA CAMARA DE INSPECCION TIPO MH</v>
          </cell>
          <cell r="D44" t="str">
            <v>Unidad</v>
          </cell>
          <cell r="E44">
            <v>220000</v>
          </cell>
          <cell r="F44">
            <v>0</v>
          </cell>
          <cell r="G44">
            <v>0</v>
          </cell>
        </row>
        <row r="45">
          <cell r="B45" t="str">
            <v>M030</v>
          </cell>
          <cell r="C45" t="str">
            <v>LISTON 2*2 MADEROA TIPO CHOIVA</v>
          </cell>
          <cell r="D45" t="str">
            <v>Unidad</v>
          </cell>
          <cell r="E45">
            <v>14500</v>
          </cell>
          <cell r="F45">
            <v>0</v>
          </cell>
          <cell r="G45">
            <v>0</v>
          </cell>
        </row>
        <row r="46">
          <cell r="B46" t="str">
            <v>M031</v>
          </cell>
          <cell r="C46" t="str">
            <v>MALLA ELECTROSOLDADA</v>
          </cell>
          <cell r="D46" t="str">
            <v>KG</v>
          </cell>
          <cell r="E46">
            <v>2508.5</v>
          </cell>
          <cell r="F46">
            <v>0</v>
          </cell>
          <cell r="G46">
            <v>0</v>
          </cell>
        </row>
        <row r="47">
          <cell r="B47" t="str">
            <v>M032</v>
          </cell>
          <cell r="C47" t="str">
            <v>MATERIAL (MIXTO RIO) TIPO GRAVILLA</v>
          </cell>
          <cell r="D47" t="str">
            <v>M3</v>
          </cell>
          <cell r="E47">
            <v>23000</v>
          </cell>
          <cell r="F47">
            <v>0</v>
          </cell>
          <cell r="G47">
            <v>0</v>
          </cell>
        </row>
        <row r="48">
          <cell r="B48" t="str">
            <v>M033</v>
          </cell>
          <cell r="C48" t="str">
            <v>MATERIAL GRANULAR DE PRESTAMO</v>
          </cell>
          <cell r="D48" t="str">
            <v>M3</v>
          </cell>
          <cell r="E48">
            <v>21000</v>
          </cell>
          <cell r="F48">
            <v>0</v>
          </cell>
          <cell r="G48">
            <v>0</v>
          </cell>
        </row>
        <row r="49">
          <cell r="B49" t="str">
            <v>M034</v>
          </cell>
          <cell r="C49" t="str">
            <v>MORTERO 1:6 PARA PEGA Y REVITADA</v>
          </cell>
          <cell r="D49" t="str">
            <v>M3</v>
          </cell>
          <cell r="E49">
            <v>370000</v>
          </cell>
          <cell r="F49">
            <v>0</v>
          </cell>
          <cell r="G49">
            <v>0</v>
          </cell>
        </row>
        <row r="50">
          <cell r="B50" t="str">
            <v>M035</v>
          </cell>
          <cell r="C50" t="str">
            <v>NIPLE 6"</v>
          </cell>
          <cell r="D50" t="str">
            <v>Unidad</v>
          </cell>
          <cell r="E50">
            <v>25000</v>
          </cell>
          <cell r="F50">
            <v>0</v>
          </cell>
          <cell r="G50">
            <v>0</v>
          </cell>
        </row>
        <row r="51">
          <cell r="B51" t="str">
            <v>M036</v>
          </cell>
          <cell r="C51" t="str">
            <v>PAPELERIA E INSUMOS PARA CAPACITACION</v>
          </cell>
          <cell r="D51" t="str">
            <v>MES</v>
          </cell>
          <cell r="E51">
            <v>500000</v>
          </cell>
          <cell r="F51">
            <v>0</v>
          </cell>
          <cell r="G51">
            <v>0</v>
          </cell>
        </row>
        <row r="52">
          <cell r="B52" t="str">
            <v>M037</v>
          </cell>
          <cell r="C52" t="str">
            <v>PINTURA TRAFICO</v>
          </cell>
          <cell r="D52" t="str">
            <v>GL</v>
          </cell>
          <cell r="E52">
            <v>145000</v>
          </cell>
          <cell r="F52">
            <v>0</v>
          </cell>
          <cell r="G52">
            <v>0</v>
          </cell>
        </row>
        <row r="53">
          <cell r="B53" t="str">
            <v>M038</v>
          </cell>
          <cell r="C53" t="str">
            <v>POLIZOMBRA</v>
          </cell>
          <cell r="D53" t="str">
            <v>ML</v>
          </cell>
          <cell r="E53">
            <v>1540</v>
          </cell>
          <cell r="F53">
            <v>0</v>
          </cell>
          <cell r="G53">
            <v>0</v>
          </cell>
        </row>
        <row r="54">
          <cell r="B54" t="str">
            <v>M039</v>
          </cell>
          <cell r="C54" t="str">
            <v xml:space="preserve">POSTE DE MADERA </v>
          </cell>
          <cell r="D54" t="str">
            <v>Unidad</v>
          </cell>
          <cell r="E54">
            <v>7500</v>
          </cell>
          <cell r="F54">
            <v>0</v>
          </cell>
          <cell r="G54">
            <v>0</v>
          </cell>
        </row>
        <row r="55">
          <cell r="B55" t="str">
            <v>M040</v>
          </cell>
          <cell r="C55" t="str">
            <v>PREFABRICADO ALCORQUE</v>
          </cell>
          <cell r="D55" t="str">
            <v>UN</v>
          </cell>
          <cell r="E55">
            <v>65000</v>
          </cell>
          <cell r="F55">
            <v>0</v>
          </cell>
          <cell r="G55">
            <v>0</v>
          </cell>
        </row>
        <row r="56">
          <cell r="B56" t="str">
            <v>M041</v>
          </cell>
          <cell r="C56" t="str">
            <v>REJILLA TIPO SUMIDERO</v>
          </cell>
          <cell r="D56" t="str">
            <v>Unidad</v>
          </cell>
          <cell r="E56">
            <v>180000</v>
          </cell>
          <cell r="F56">
            <v>0</v>
          </cell>
          <cell r="G56">
            <v>0</v>
          </cell>
        </row>
        <row r="57">
          <cell r="B57" t="str">
            <v>M042</v>
          </cell>
          <cell r="C57" t="str">
            <v>SEÑAL VERTICAL</v>
          </cell>
          <cell r="D57" t="str">
            <v>un</v>
          </cell>
          <cell r="E57">
            <v>215000</v>
          </cell>
          <cell r="F57">
            <v>0</v>
          </cell>
          <cell r="G57">
            <v>0</v>
          </cell>
        </row>
        <row r="58">
          <cell r="B58" t="str">
            <v>M043</v>
          </cell>
          <cell r="C58" t="str">
            <v>SIKAFLEX</v>
          </cell>
          <cell r="D58" t="str">
            <v>CC</v>
          </cell>
          <cell r="E58">
            <v>25000</v>
          </cell>
          <cell r="F58">
            <v>0</v>
          </cell>
          <cell r="G58">
            <v>0</v>
          </cell>
        </row>
        <row r="59">
          <cell r="B59" t="str">
            <v>M044</v>
          </cell>
          <cell r="C59" t="str">
            <v>SIKAROD</v>
          </cell>
          <cell r="D59" t="str">
            <v>ML</v>
          </cell>
          <cell r="E59">
            <v>2500</v>
          </cell>
          <cell r="F59">
            <v>0</v>
          </cell>
          <cell r="G59">
            <v>0</v>
          </cell>
        </row>
        <row r="60">
          <cell r="B60" t="str">
            <v>M045</v>
          </cell>
          <cell r="C60" t="str">
            <v>SILVICULTURA ESPECIE FORESTAL</v>
          </cell>
          <cell r="D60" t="str">
            <v>Unidad</v>
          </cell>
          <cell r="E60">
            <v>45000</v>
          </cell>
          <cell r="F60">
            <v>0</v>
          </cell>
          <cell r="G60">
            <v>0</v>
          </cell>
        </row>
        <row r="61">
          <cell r="B61" t="str">
            <v>M046</v>
          </cell>
          <cell r="C61" t="str">
            <v>SOLDADURA</v>
          </cell>
          <cell r="D61" t="str">
            <v>kg</v>
          </cell>
          <cell r="E61">
            <v>8500</v>
          </cell>
          <cell r="F61">
            <v>0</v>
          </cell>
          <cell r="G61">
            <v>0</v>
          </cell>
        </row>
        <row r="62">
          <cell r="B62" t="str">
            <v>M047</v>
          </cell>
          <cell r="C62" t="str">
            <v>SUBBASE GRANULAR</v>
          </cell>
          <cell r="D62" t="str">
            <v>M3</v>
          </cell>
          <cell r="E62">
            <v>25000</v>
          </cell>
          <cell r="F62">
            <v>0</v>
          </cell>
          <cell r="G62">
            <v>0</v>
          </cell>
        </row>
        <row r="63">
          <cell r="B63" t="str">
            <v>M048</v>
          </cell>
          <cell r="C63" t="str">
            <v>TABLETA GRIS TIPO ADOQUIN 20*20</v>
          </cell>
          <cell r="D63" t="str">
            <v>UN</v>
          </cell>
          <cell r="E63">
            <v>2000</v>
          </cell>
          <cell r="F63">
            <v>0</v>
          </cell>
          <cell r="G63">
            <v>0</v>
          </cell>
        </row>
        <row r="64">
          <cell r="B64" t="str">
            <v>M049</v>
          </cell>
          <cell r="C64" t="str">
            <v>TABLETA SEÑALIZACION 0,1*20 M AMARILLA</v>
          </cell>
          <cell r="D64" t="str">
            <v>UN</v>
          </cell>
          <cell r="E64">
            <v>2100</v>
          </cell>
          <cell r="F64">
            <v>0</v>
          </cell>
          <cell r="G64">
            <v>0</v>
          </cell>
        </row>
        <row r="65">
          <cell r="B65" t="str">
            <v>M050</v>
          </cell>
          <cell r="C65" t="str">
            <v>TABLETA TACTIL  GUIA 0,2*,2 M COLOR ROJO</v>
          </cell>
          <cell r="D65" t="str">
            <v>UN</v>
          </cell>
          <cell r="E65">
            <v>2480</v>
          </cell>
          <cell r="F65">
            <v>0</v>
          </cell>
          <cell r="G65">
            <v>0</v>
          </cell>
        </row>
        <row r="66">
          <cell r="B66" t="str">
            <v>M051</v>
          </cell>
          <cell r="C66" t="str">
            <v>TABLETA TACTIL ALERTA 20*20</v>
          </cell>
          <cell r="D66" t="str">
            <v>UN</v>
          </cell>
          <cell r="E66">
            <v>2520</v>
          </cell>
          <cell r="F66">
            <v>0</v>
          </cell>
          <cell r="G66">
            <v>0</v>
          </cell>
        </row>
        <row r="67">
          <cell r="B67" t="str">
            <v>M052</v>
          </cell>
          <cell r="C67" t="str">
            <v>THINER</v>
          </cell>
          <cell r="D67" t="str">
            <v>GL</v>
          </cell>
          <cell r="E67">
            <v>12600</v>
          </cell>
          <cell r="F67">
            <v>0</v>
          </cell>
          <cell r="G67">
            <v>0</v>
          </cell>
        </row>
        <row r="68">
          <cell r="B68" t="str">
            <v>M053</v>
          </cell>
          <cell r="C68" t="str">
            <v>TRITURADO 3/4"</v>
          </cell>
          <cell r="D68" t="str">
            <v>M3</v>
          </cell>
          <cell r="E68">
            <v>29000</v>
          </cell>
          <cell r="F68">
            <v>0</v>
          </cell>
          <cell r="G68">
            <v>0</v>
          </cell>
        </row>
        <row r="69">
          <cell r="B69" t="str">
            <v>M054</v>
          </cell>
          <cell r="C69" t="str">
            <v>TUBERIA CONCRETO 24"</v>
          </cell>
          <cell r="D69" t="str">
            <v>ML</v>
          </cell>
          <cell r="E69">
            <v>320000</v>
          </cell>
          <cell r="F69">
            <v>0</v>
          </cell>
          <cell r="G69">
            <v>0</v>
          </cell>
        </row>
        <row r="70">
          <cell r="B70" t="str">
            <v>M055</v>
          </cell>
          <cell r="C70" t="str">
            <v>TUBERIA CONCRETO 36"</v>
          </cell>
          <cell r="D70" t="str">
            <v>ML</v>
          </cell>
          <cell r="E70">
            <v>350000</v>
          </cell>
          <cell r="F70">
            <v>0</v>
          </cell>
          <cell r="G70">
            <v>0</v>
          </cell>
        </row>
        <row r="71">
          <cell r="B71" t="str">
            <v>M056</v>
          </cell>
          <cell r="C71" t="str">
            <v>TUBERIA NOVAFORT 14"</v>
          </cell>
          <cell r="D71" t="str">
            <v>ML</v>
          </cell>
          <cell r="E71">
            <v>131626.55333333332</v>
          </cell>
          <cell r="F71">
            <v>0</v>
          </cell>
          <cell r="G71">
            <v>0</v>
          </cell>
        </row>
        <row r="72">
          <cell r="B72" t="str">
            <v>M057</v>
          </cell>
          <cell r="C72" t="str">
            <v>TUBERIA NOVAFORT 16"</v>
          </cell>
          <cell r="D72" t="str">
            <v>ML</v>
          </cell>
          <cell r="E72">
            <v>184605.68666666665</v>
          </cell>
          <cell r="F72">
            <v>0</v>
          </cell>
          <cell r="G72">
            <v>0</v>
          </cell>
        </row>
        <row r="73">
          <cell r="B73" t="str">
            <v>M058</v>
          </cell>
          <cell r="C73" t="str">
            <v>TUBERIA NOVAFORT 18"</v>
          </cell>
          <cell r="D73" t="str">
            <v>ML</v>
          </cell>
          <cell r="E73">
            <v>244950.04666666663</v>
          </cell>
          <cell r="F73">
            <v>0</v>
          </cell>
          <cell r="G73">
            <v>0</v>
          </cell>
        </row>
        <row r="74">
          <cell r="B74" t="str">
            <v>M059</v>
          </cell>
          <cell r="C74" t="str">
            <v>TUBERIA NOVAFORT 20"</v>
          </cell>
          <cell r="D74" t="str">
            <v>ML</v>
          </cell>
          <cell r="E74">
            <v>306737.44666666666</v>
          </cell>
          <cell r="F74">
            <v>0</v>
          </cell>
          <cell r="G74">
            <v>0</v>
          </cell>
        </row>
        <row r="75">
          <cell r="B75" t="str">
            <v>M060</v>
          </cell>
          <cell r="C75" t="str">
            <v>TUBERIA NOVAFORT 24"</v>
          </cell>
          <cell r="D75" t="str">
            <v>ML</v>
          </cell>
          <cell r="E75">
            <v>461389.42</v>
          </cell>
          <cell r="F75">
            <v>0</v>
          </cell>
          <cell r="G75">
            <v>0</v>
          </cell>
        </row>
        <row r="76">
          <cell r="B76" t="str">
            <v>M061</v>
          </cell>
          <cell r="C76" t="str">
            <v>TUBERIA NOVAFORT 6"</v>
          </cell>
          <cell r="D76" t="str">
            <v>ML</v>
          </cell>
          <cell r="E76">
            <v>38267.046666666662</v>
          </cell>
          <cell r="F76">
            <v>0</v>
          </cell>
          <cell r="G76">
            <v>0</v>
          </cell>
        </row>
        <row r="77">
          <cell r="B77" t="str">
            <v>M062</v>
          </cell>
          <cell r="C77" t="str">
            <v>TUBERIA NOVAFORT 8"</v>
          </cell>
          <cell r="D77" t="str">
            <v>ML</v>
          </cell>
          <cell r="E77">
            <v>52260.706666666665</v>
          </cell>
          <cell r="F77">
            <v>0</v>
          </cell>
          <cell r="G77">
            <v>0</v>
          </cell>
        </row>
        <row r="78">
          <cell r="B78" t="str">
            <v>M063</v>
          </cell>
          <cell r="C78" t="str">
            <v>TUBERIA NOVAFORT 10"</v>
          </cell>
          <cell r="D78" t="str">
            <v>ML</v>
          </cell>
          <cell r="E78">
            <v>76329.546666666662</v>
          </cell>
          <cell r="F78">
            <v>0</v>
          </cell>
          <cell r="G78">
            <v>0</v>
          </cell>
        </row>
        <row r="79">
          <cell r="B79" t="str">
            <v>M064</v>
          </cell>
          <cell r="C79" t="str">
            <v>CONCRETO 3000 PSI</v>
          </cell>
          <cell r="D79" t="str">
            <v>M3</v>
          </cell>
          <cell r="E79">
            <v>410000</v>
          </cell>
          <cell r="F79">
            <v>0</v>
          </cell>
          <cell r="G79">
            <v>0</v>
          </cell>
        </row>
        <row r="80">
          <cell r="B80" t="str">
            <v>M065</v>
          </cell>
          <cell r="C80" t="str">
            <v>BANCA EN CONCRETO</v>
          </cell>
          <cell r="D80" t="str">
            <v>UN</v>
          </cell>
          <cell r="E80">
            <v>250000</v>
          </cell>
          <cell r="F80">
            <v>0</v>
          </cell>
          <cell r="G80">
            <v>0</v>
          </cell>
        </row>
        <row r="81">
          <cell r="B81" t="str">
            <v>M066</v>
          </cell>
          <cell r="C81" t="str">
            <v>GRAMA ZONA VERDE</v>
          </cell>
          <cell r="D81" t="str">
            <v>M2</v>
          </cell>
          <cell r="E81">
            <v>10000</v>
          </cell>
          <cell r="F81">
            <v>0</v>
          </cell>
          <cell r="G81">
            <v>0</v>
          </cell>
        </row>
        <row r="82">
          <cell r="B82" t="str">
            <v>M067</v>
          </cell>
          <cell r="C82" t="str">
            <v>MATERIAL TIPO LIMO DE PRESTAMO</v>
          </cell>
          <cell r="D82" t="str">
            <v>M3</v>
          </cell>
          <cell r="E82">
            <v>16000</v>
          </cell>
          <cell r="F82">
            <v>0</v>
          </cell>
          <cell r="G82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PRESUPUESTO"/>
      <sheetName val="MEM"/>
      <sheetName val="APU"/>
      <sheetName val="Hoja2"/>
      <sheetName val="DIS APU"/>
      <sheetName val="CUADRO CANTIDADES"/>
      <sheetName val="ADMON INTERVENT"/>
      <sheetName val="ADMON OBRA"/>
      <sheetName val="POLIZAS"/>
      <sheetName val="PRESTACION"/>
      <sheetName val="DOTACION"/>
      <sheetName val="EQUI"/>
      <sheetName val="MDEO"/>
      <sheetName val="TRAN"/>
      <sheetName val="MAT"/>
      <sheetName val="ESQUE"/>
      <sheetName val="LOGOS SUB REGION"/>
      <sheetName val="ESPECIFICACION NORMA"/>
      <sheetName val="NORMA INVIAS"/>
      <sheetName val="Hoja1"/>
    </sheetNames>
    <sheetDataSet>
      <sheetData sheetId="0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NOM_MUN</v>
          </cell>
          <cell r="F10" t="str">
            <v>MUNICIPIO DE TURBO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LOC_PRO</v>
          </cell>
          <cell r="F12" t="str">
            <v>CARRERA 14 ENTRE CALLE 99A Y CALLE 99</v>
          </cell>
          <cell r="G12">
            <v>0</v>
          </cell>
          <cell r="H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NOM_PRO</v>
          </cell>
          <cell r="F14" t="str">
            <v>CONSTRUCCION DE PASEOS URBANOS DE LAS CARRERAS 14 ENTRE LAS CALLES 96 Y 99A, Y DE LAS CALLES 99 Y 99A ENTRE LAS CARRERAS 13 Y 14 DEL MUNICIPIO DE TURBO.</v>
          </cell>
          <cell r="G14">
            <v>0</v>
          </cell>
          <cell r="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NORM</v>
          </cell>
          <cell r="F16" t="str">
            <v>INVIAS, RAS 2000, NORMAS EPM</v>
          </cell>
          <cell r="G16">
            <v>0</v>
          </cell>
          <cell r="H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 t="str">
            <v>FECHA</v>
          </cell>
          <cell r="F18">
            <v>42430</v>
          </cell>
          <cell r="G18">
            <v>0</v>
          </cell>
          <cell r="H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PROF_RESP</v>
          </cell>
          <cell r="F20" t="str">
            <v>JHON EMIR GAMBOA MENA</v>
          </cell>
          <cell r="G20">
            <v>0</v>
          </cell>
          <cell r="H20" t="str">
            <v>05202-316814 ANT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E001</v>
          </cell>
        </row>
      </sheetData>
      <sheetData sheetId="13">
        <row r="16">
          <cell r="B16" t="str">
            <v>MO001</v>
          </cell>
        </row>
      </sheetData>
      <sheetData sheetId="14">
        <row r="16">
          <cell r="B16" t="str">
            <v>T001</v>
          </cell>
        </row>
      </sheetData>
      <sheetData sheetId="15">
        <row r="16">
          <cell r="B16" t="str">
            <v>M001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PRESUPUESTO"/>
      <sheetName val="MEM"/>
      <sheetName val="APU"/>
      <sheetName val="DETALLE"/>
      <sheetName val="DIS_APU"/>
      <sheetName val="CUADRO_CANTIDADES"/>
      <sheetName val="ADMON_INTERVENT"/>
      <sheetName val="ADMON_OBRA"/>
      <sheetName val="POLIZAS"/>
      <sheetName val="PRESTACION"/>
      <sheetName val="DOTACION"/>
      <sheetName val="EQUI"/>
      <sheetName val="MDEO"/>
      <sheetName val="TRAN"/>
      <sheetName val="MAT"/>
      <sheetName val="ESQUE"/>
      <sheetName val="LOGOS_SUB_REGION"/>
      <sheetName val="ESPECIFICACION_NORMA"/>
      <sheetName val="NORMA_INVIAS"/>
      <sheetName val="Hoja1"/>
      <sheetName val="DIS APU"/>
      <sheetName val="CUADRO CANTIDADES"/>
      <sheetName val="ADMON INTERVENT"/>
      <sheetName val="ADMON OBRA"/>
      <sheetName val="LOGOS SUB REGION"/>
      <sheetName val="ESPECIFICACION NORMA"/>
      <sheetName val="NORMA INVIAS"/>
    </sheetNames>
    <sheetDataSet>
      <sheetData sheetId="0"/>
      <sheetData sheetId="1"/>
      <sheetData sheetId="2"/>
      <sheetData sheetId="3">
        <row r="16">
          <cell r="B16" t="str">
            <v>1.1</v>
          </cell>
          <cell r="C16" t="str">
            <v>DESCRIPCION:</v>
          </cell>
          <cell r="D16" t="str">
            <v>LOCALIZACIÒN Y REPLANTEO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PAR_01</v>
          </cell>
          <cell r="C17">
            <v>0</v>
          </cell>
          <cell r="D17" t="str">
            <v>UNIDAD</v>
          </cell>
          <cell r="E17" t="str">
            <v>M2</v>
          </cell>
          <cell r="F17" t="str">
            <v>CANTIDAD</v>
          </cell>
          <cell r="G17">
            <v>8281</v>
          </cell>
          <cell r="H17" t="str">
            <v>V. UNITARIO:</v>
          </cell>
          <cell r="I17">
            <v>1254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>Tarifa/Hora</v>
          </cell>
          <cell r="G19" t="str">
            <v>Rendimiento</v>
          </cell>
          <cell r="H19" t="str">
            <v>Valor-Unit.</v>
          </cell>
          <cell r="I19">
            <v>0</v>
          </cell>
        </row>
        <row r="20">
          <cell r="B20" t="str">
            <v>E009</v>
          </cell>
          <cell r="C20" t="str">
            <v xml:space="preserve">EQUIPO PARA COMISION DE TOPOGRAFIA </v>
          </cell>
          <cell r="D20">
            <v>0</v>
          </cell>
          <cell r="E20">
            <v>0</v>
          </cell>
          <cell r="F20">
            <v>57000</v>
          </cell>
          <cell r="G20">
            <v>8.9999999999999993E-3</v>
          </cell>
          <cell r="H20">
            <v>513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>Sub-Total</v>
          </cell>
          <cell r="G23" t="str">
            <v>1.1</v>
          </cell>
          <cell r="H23" t="str">
            <v>EQUI-1.1</v>
          </cell>
          <cell r="I23">
            <v>513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 t="str">
            <v>UNIDAD</v>
          </cell>
          <cell r="F25" t="str">
            <v>V.UNIT</v>
          </cell>
          <cell r="G25" t="str">
            <v>CANT</v>
          </cell>
          <cell r="H25" t="str">
            <v>V.TOTAL</v>
          </cell>
          <cell r="I25">
            <v>0</v>
          </cell>
        </row>
        <row r="26">
          <cell r="B26" t="str">
            <v>M030</v>
          </cell>
          <cell r="C26" t="str">
            <v>LISTON 2*2 MADEROA TIPO CHOIVA</v>
          </cell>
          <cell r="D26">
            <v>0</v>
          </cell>
          <cell r="E26" t="str">
            <v>Unidad</v>
          </cell>
          <cell r="F26">
            <v>14500</v>
          </cell>
          <cell r="G26">
            <v>0.01</v>
          </cell>
          <cell r="H26">
            <v>145</v>
          </cell>
          <cell r="I26">
            <v>0</v>
          </cell>
        </row>
        <row r="27">
          <cell r="B27" t="str">
            <v>M014</v>
          </cell>
          <cell r="C27" t="str">
            <v>CLAVO COMUN</v>
          </cell>
          <cell r="D27">
            <v>0</v>
          </cell>
          <cell r="E27" t="str">
            <v>KG</v>
          </cell>
          <cell r="F27">
            <v>2300</v>
          </cell>
          <cell r="G27">
            <v>0.01</v>
          </cell>
          <cell r="H27">
            <v>23</v>
          </cell>
          <cell r="I27">
            <v>0</v>
          </cell>
        </row>
        <row r="28">
          <cell r="B28" t="str">
            <v>M001</v>
          </cell>
          <cell r="C28" t="str">
            <v>1/4 DE PINTURA</v>
          </cell>
          <cell r="D28">
            <v>0</v>
          </cell>
          <cell r="E28" t="str">
            <v>G/4</v>
          </cell>
          <cell r="F28">
            <v>19400</v>
          </cell>
          <cell r="G28">
            <v>0.01</v>
          </cell>
          <cell r="H28">
            <v>194</v>
          </cell>
          <cell r="I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>Sub-Total</v>
          </cell>
          <cell r="G30" t="str">
            <v>1.1</v>
          </cell>
          <cell r="H30" t="str">
            <v>MAT-1.1</v>
          </cell>
          <cell r="I30">
            <v>362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0</v>
          </cell>
          <cell r="C32">
            <v>0</v>
          </cell>
          <cell r="D32" t="str">
            <v xml:space="preserve">CAN </v>
          </cell>
          <cell r="E32" t="str">
            <v>DISTANCIA</v>
          </cell>
          <cell r="F32" t="str">
            <v>M3-Km / UN-KM</v>
          </cell>
          <cell r="G32" t="str">
            <v>TARIFA</v>
          </cell>
          <cell r="H32" t="str">
            <v>Valor-Unit.</v>
          </cell>
          <cell r="I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 t="str">
            <v>Sub-Total</v>
          </cell>
          <cell r="G36" t="str">
            <v>1.1</v>
          </cell>
          <cell r="H36" t="str">
            <v>TRAN-1.1</v>
          </cell>
          <cell r="I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>
            <v>0</v>
          </cell>
          <cell r="C38">
            <v>0</v>
          </cell>
          <cell r="D38" t="str">
            <v>JORNAL-HORA</v>
          </cell>
          <cell r="E38" t="str">
            <v>PRES</v>
          </cell>
          <cell r="F38" t="str">
            <v>Jornal Total</v>
          </cell>
          <cell r="G38" t="str">
            <v>Rendimiento</v>
          </cell>
          <cell r="H38" t="str">
            <v>Valor-Unit.</v>
          </cell>
          <cell r="I38">
            <v>0</v>
          </cell>
        </row>
        <row r="39">
          <cell r="B39" t="str">
            <v>MO001</v>
          </cell>
          <cell r="C39" t="str">
            <v>TOPOGRAFO</v>
          </cell>
          <cell r="D39">
            <v>12324.724108573719</v>
          </cell>
          <cell r="E39">
            <v>0.56000000000000005</v>
          </cell>
          <cell r="F39">
            <v>19226.569609375001</v>
          </cell>
          <cell r="G39">
            <v>0.01</v>
          </cell>
          <cell r="H39">
            <v>192.26569609375002</v>
          </cell>
          <cell r="I39">
            <v>0</v>
          </cell>
        </row>
        <row r="40">
          <cell r="B40" t="str">
            <v>MO002</v>
          </cell>
          <cell r="C40" t="str">
            <v>CADENERO 1</v>
          </cell>
          <cell r="D40">
            <v>4426.7123898237178</v>
          </cell>
          <cell r="E40">
            <v>0.56000000000000005</v>
          </cell>
          <cell r="F40">
            <v>6905.6713281249995</v>
          </cell>
          <cell r="G40">
            <v>0.01</v>
          </cell>
          <cell r="H40">
            <v>69.056713281249998</v>
          </cell>
          <cell r="I40">
            <v>0</v>
          </cell>
        </row>
        <row r="41">
          <cell r="B41" t="str">
            <v>MO003</v>
          </cell>
          <cell r="C41" t="str">
            <v>CADENERO 2</v>
          </cell>
          <cell r="D41">
            <v>6411.5899439102559</v>
          </cell>
          <cell r="E41">
            <v>0.56000000000000005</v>
          </cell>
          <cell r="F41">
            <v>10002.0803125</v>
          </cell>
          <cell r="G41">
            <v>0.01</v>
          </cell>
          <cell r="H41">
            <v>100.020803125</v>
          </cell>
          <cell r="I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str">
            <v>Sub-Total</v>
          </cell>
          <cell r="G44" t="str">
            <v>1.1</v>
          </cell>
          <cell r="H44" t="str">
            <v>MDEO-1.1</v>
          </cell>
          <cell r="I44">
            <v>361.34321249999999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18.067160625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>Total Costo Directo</v>
          </cell>
          <cell r="G46">
            <v>0</v>
          </cell>
          <cell r="H46">
            <v>0</v>
          </cell>
          <cell r="I46">
            <v>1254</v>
          </cell>
        </row>
        <row r="47">
          <cell r="B47">
            <v>0</v>
          </cell>
          <cell r="C47">
            <v>0</v>
          </cell>
          <cell r="D47">
            <v>0</v>
          </cell>
          <cell r="E47" t="str">
            <v>PORCENTAJE</v>
          </cell>
          <cell r="F47">
            <v>0</v>
          </cell>
          <cell r="G47" t="str">
            <v>V. COSTO INDERECTO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0.02</v>
          </cell>
          <cell r="F48">
            <v>0</v>
          </cell>
          <cell r="G48">
            <v>25.080000000000002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0.23</v>
          </cell>
          <cell r="F49">
            <v>0</v>
          </cell>
          <cell r="G49">
            <v>288.42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0.05</v>
          </cell>
          <cell r="F50">
            <v>0</v>
          </cell>
          <cell r="G50">
            <v>62.7</v>
          </cell>
          <cell r="H50">
            <v>0</v>
          </cell>
          <cell r="I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0.02</v>
          </cell>
          <cell r="F51">
            <v>0</v>
          </cell>
          <cell r="G51">
            <v>25.080000000000002</v>
          </cell>
          <cell r="H51">
            <v>0</v>
          </cell>
          <cell r="I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401.28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1655.28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 t="str">
            <v>REVISA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 t="str">
            <v>FIRMA: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 t="str">
            <v>JHON EMIR GAMBOA MENA</v>
          </cell>
          <cell r="C57">
            <v>0</v>
          </cell>
          <cell r="E57" t="str">
            <v>NOMBRE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 t="str">
            <v>05202-316814 ANT</v>
          </cell>
          <cell r="C58">
            <v>0</v>
          </cell>
          <cell r="E58" t="str">
            <v>MAT: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B59">
            <v>0</v>
          </cell>
          <cell r="C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1.2</v>
          </cell>
          <cell r="C63" t="str">
            <v>DESCRIPCION:</v>
          </cell>
          <cell r="D63" t="str">
            <v>DEMOLICIÓN DE PAVIMENTOS RÍGIDOS, PISOS, ANDENES Y BORDILLOS DE CONCRETO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201.3-13</v>
          </cell>
          <cell r="C64">
            <v>0</v>
          </cell>
          <cell r="D64" t="str">
            <v>UNIDAD</v>
          </cell>
          <cell r="E64" t="str">
            <v>M2</v>
          </cell>
          <cell r="F64" t="str">
            <v>CANTIDAD</v>
          </cell>
          <cell r="G64">
            <v>205</v>
          </cell>
          <cell r="H64" t="str">
            <v>V. UNITARIO:</v>
          </cell>
          <cell r="I64">
            <v>21775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>Tarifa/Hora</v>
          </cell>
          <cell r="G66" t="str">
            <v>Rendimiento</v>
          </cell>
          <cell r="H66" t="str">
            <v>Valor-Unit.</v>
          </cell>
          <cell r="I66">
            <v>0</v>
          </cell>
        </row>
        <row r="67">
          <cell r="B67" t="str">
            <v>E008</v>
          </cell>
          <cell r="C67" t="str">
            <v>EQUIPO DEMOLEDOR TIPO COMPRESOR</v>
          </cell>
          <cell r="D67">
            <v>0</v>
          </cell>
          <cell r="E67">
            <v>0</v>
          </cell>
          <cell r="F67">
            <v>65000</v>
          </cell>
          <cell r="G67">
            <v>0.18</v>
          </cell>
          <cell r="H67">
            <v>11700</v>
          </cell>
          <cell r="I67">
            <v>0</v>
          </cell>
        </row>
        <row r="68">
          <cell r="B68" t="str">
            <v>E023</v>
          </cell>
          <cell r="C68" t="str">
            <v>RETROCARGADOR</v>
          </cell>
          <cell r="D68">
            <v>0</v>
          </cell>
          <cell r="E68">
            <v>0</v>
          </cell>
          <cell r="F68">
            <v>100000</v>
          </cell>
          <cell r="G68">
            <v>0.05</v>
          </cell>
          <cell r="H68">
            <v>5000</v>
          </cell>
          <cell r="I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>Sub-Total</v>
          </cell>
          <cell r="G71" t="str">
            <v>1.2</v>
          </cell>
          <cell r="H71" t="str">
            <v>EQUI-1.2</v>
          </cell>
          <cell r="I71">
            <v>16700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 t="str">
            <v>UNIDAD</v>
          </cell>
          <cell r="F73" t="str">
            <v>V.UNIT</v>
          </cell>
          <cell r="G73" t="str">
            <v>CANT</v>
          </cell>
          <cell r="H73" t="str">
            <v>V.TOTAL</v>
          </cell>
          <cell r="I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 t="str">
            <v>Sub-Total</v>
          </cell>
          <cell r="G79" t="str">
            <v>1.2</v>
          </cell>
          <cell r="H79" t="str">
            <v>MAT-1.2</v>
          </cell>
          <cell r="I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>
            <v>0</v>
          </cell>
          <cell r="C81">
            <v>0</v>
          </cell>
          <cell r="D81" t="str">
            <v xml:space="preserve">CAN </v>
          </cell>
          <cell r="E81" t="str">
            <v>DISTANCIA</v>
          </cell>
          <cell r="F81" t="str">
            <v>M3-Km / UN-KM</v>
          </cell>
          <cell r="G81" t="str">
            <v>TARIFA</v>
          </cell>
          <cell r="H81" t="str">
            <v>Valor-Unit.</v>
          </cell>
          <cell r="I81">
            <v>0</v>
          </cell>
        </row>
        <row r="82">
          <cell r="B82" t="str">
            <v>T004</v>
          </cell>
          <cell r="C82" t="str">
            <v>TRANS MAT SOBRANTE 0-5KM</v>
          </cell>
          <cell r="D82">
            <v>0.2</v>
          </cell>
          <cell r="E82">
            <v>5</v>
          </cell>
          <cell r="F82">
            <v>1</v>
          </cell>
          <cell r="G82">
            <v>1120</v>
          </cell>
          <cell r="H82">
            <v>1120</v>
          </cell>
          <cell r="I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 t="str">
            <v>Sub-Total</v>
          </cell>
          <cell r="G85" t="str">
            <v>1.2</v>
          </cell>
          <cell r="H85" t="str">
            <v>TRAN-1.2</v>
          </cell>
          <cell r="I85">
            <v>1120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B87">
            <v>0</v>
          </cell>
          <cell r="C87">
            <v>0</v>
          </cell>
          <cell r="D87" t="str">
            <v>JORNAL-HORA</v>
          </cell>
          <cell r="E87" t="str">
            <v>PRES</v>
          </cell>
          <cell r="F87" t="str">
            <v>Jornal Total</v>
          </cell>
          <cell r="G87" t="str">
            <v>Rendimiento</v>
          </cell>
          <cell r="H87" t="str">
            <v>Valor-Unit.</v>
          </cell>
          <cell r="I87">
            <v>0</v>
          </cell>
        </row>
        <row r="88">
          <cell r="B88" t="str">
            <v>MO004</v>
          </cell>
          <cell r="C88" t="str">
            <v>OFICIAL</v>
          </cell>
          <cell r="D88">
            <v>10270.602514022436</v>
          </cell>
          <cell r="E88">
            <v>0.56000000000000005</v>
          </cell>
          <cell r="F88">
            <v>16022.139921875001</v>
          </cell>
          <cell r="G88">
            <v>0.02</v>
          </cell>
          <cell r="H88">
            <v>320.44279843750002</v>
          </cell>
          <cell r="I88">
            <v>0</v>
          </cell>
        </row>
        <row r="89">
          <cell r="B89" t="str">
            <v>MO005</v>
          </cell>
          <cell r="C89" t="str">
            <v>AYUDANTE ENTENDIDO</v>
          </cell>
          <cell r="D89">
            <v>6411.5899439102559</v>
          </cell>
          <cell r="E89">
            <v>0.56000000000000005</v>
          </cell>
          <cell r="F89">
            <v>10002.0803125</v>
          </cell>
          <cell r="G89">
            <v>0.2</v>
          </cell>
          <cell r="H89">
            <v>2000.4160625000002</v>
          </cell>
          <cell r="I89">
            <v>0</v>
          </cell>
        </row>
        <row r="90">
          <cell r="B90" t="str">
            <v>MO006</v>
          </cell>
          <cell r="C90" t="str">
            <v>AYUDANTE</v>
          </cell>
          <cell r="D90">
            <v>4633.604176682692</v>
          </cell>
          <cell r="E90">
            <v>0.56000000000000005</v>
          </cell>
          <cell r="F90">
            <v>7228.4225156249995</v>
          </cell>
          <cell r="G90">
            <v>0.2</v>
          </cell>
          <cell r="H90">
            <v>1445.684503125</v>
          </cell>
          <cell r="I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>Sub-Total</v>
          </cell>
          <cell r="G93" t="str">
            <v>1.2</v>
          </cell>
          <cell r="H93" t="str">
            <v>MDEO-1.2</v>
          </cell>
          <cell r="I93">
            <v>3766.5433640625001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188.32716820312501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>Total Costo Directo</v>
          </cell>
          <cell r="G95">
            <v>0</v>
          </cell>
          <cell r="H95">
            <v>0</v>
          </cell>
          <cell r="I95">
            <v>21775</v>
          </cell>
        </row>
        <row r="96">
          <cell r="B96">
            <v>0</v>
          </cell>
          <cell r="C96">
            <v>0</v>
          </cell>
          <cell r="D96">
            <v>0</v>
          </cell>
          <cell r="E96" t="str">
            <v>PORCENTAJE</v>
          </cell>
          <cell r="F96">
            <v>0</v>
          </cell>
          <cell r="G96" t="str">
            <v>V. COSTO INDERECTO</v>
          </cell>
          <cell r="H96">
            <v>0</v>
          </cell>
          <cell r="I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0.02</v>
          </cell>
          <cell r="F97">
            <v>0</v>
          </cell>
          <cell r="G97">
            <v>435.5</v>
          </cell>
          <cell r="H97">
            <v>0</v>
          </cell>
          <cell r="I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0.23</v>
          </cell>
          <cell r="F98">
            <v>0</v>
          </cell>
          <cell r="G98">
            <v>5008.25</v>
          </cell>
          <cell r="H98">
            <v>0</v>
          </cell>
          <cell r="I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0.05</v>
          </cell>
          <cell r="F99">
            <v>0</v>
          </cell>
          <cell r="G99">
            <v>1088.75</v>
          </cell>
          <cell r="H99">
            <v>0</v>
          </cell>
          <cell r="I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0.02</v>
          </cell>
          <cell r="F100">
            <v>0</v>
          </cell>
          <cell r="G100">
            <v>435.5</v>
          </cell>
          <cell r="H100">
            <v>0</v>
          </cell>
          <cell r="I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6968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28743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 t="str">
            <v>REVISA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 t="str">
            <v>FIRMA: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B106" t="str">
            <v>JHON EMIR GAMBOA MENA</v>
          </cell>
          <cell r="C106">
            <v>0</v>
          </cell>
          <cell r="E106" t="str">
            <v>NOMBRE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B107" t="str">
            <v>05202-316814 ANT</v>
          </cell>
          <cell r="C107">
            <v>0</v>
          </cell>
          <cell r="E107" t="str">
            <v>MAT: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B108">
            <v>0</v>
          </cell>
          <cell r="C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I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B114" t="str">
            <v>1.3</v>
          </cell>
          <cell r="C114" t="str">
            <v>DESCRIPCION:</v>
          </cell>
          <cell r="D114" t="str">
            <v>REMOCION DE ESPECIES VEGETALES DE MENOR ALTURA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B115" t="str">
            <v>201.12-13</v>
          </cell>
          <cell r="C115">
            <v>0</v>
          </cell>
          <cell r="D115" t="str">
            <v>UNIDAD</v>
          </cell>
          <cell r="E115" t="str">
            <v>UNIDAD</v>
          </cell>
          <cell r="F115" t="str">
            <v>CANTIDAD</v>
          </cell>
          <cell r="G115">
            <v>31</v>
          </cell>
          <cell r="H115" t="str">
            <v>V. UNITARIO:</v>
          </cell>
          <cell r="I115">
            <v>118172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Tarifa/Hora</v>
          </cell>
          <cell r="G117" t="str">
            <v>Rendimiento</v>
          </cell>
          <cell r="H117" t="str">
            <v>Valor-Unit.</v>
          </cell>
          <cell r="I117">
            <v>0</v>
          </cell>
        </row>
        <row r="118">
          <cell r="B118" t="str">
            <v>E023</v>
          </cell>
          <cell r="C118" t="str">
            <v>RETROCARGADOR</v>
          </cell>
          <cell r="D118">
            <v>0</v>
          </cell>
          <cell r="E118">
            <v>0</v>
          </cell>
          <cell r="F118">
            <v>100000</v>
          </cell>
          <cell r="G118">
            <v>0.8</v>
          </cell>
          <cell r="H118">
            <v>80000</v>
          </cell>
          <cell r="I118">
            <v>0</v>
          </cell>
        </row>
        <row r="119">
          <cell r="B119" t="str">
            <v>E030</v>
          </cell>
          <cell r="C119" t="str">
            <v>MOTOSIERRA</v>
          </cell>
          <cell r="D119">
            <v>0</v>
          </cell>
          <cell r="E119">
            <v>0</v>
          </cell>
          <cell r="F119">
            <v>5800</v>
          </cell>
          <cell r="G119">
            <v>0.8</v>
          </cell>
          <cell r="H119">
            <v>4640</v>
          </cell>
          <cell r="I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Sub-Total</v>
          </cell>
          <cell r="G122" t="str">
            <v>1.3</v>
          </cell>
          <cell r="H122" t="str">
            <v>EQUI-1.3</v>
          </cell>
          <cell r="I122">
            <v>84640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 t="str">
            <v>UNIDAD</v>
          </cell>
          <cell r="F124" t="str">
            <v>V.UNIT</v>
          </cell>
          <cell r="G124" t="str">
            <v>CANT</v>
          </cell>
          <cell r="H124" t="str">
            <v>V.TOTAL</v>
          </cell>
          <cell r="I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 t="str">
            <v>Sub-Total</v>
          </cell>
          <cell r="G128" t="str">
            <v>1.3</v>
          </cell>
          <cell r="H128" t="str">
            <v>MAT-1.3</v>
          </cell>
          <cell r="I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B130">
            <v>0</v>
          </cell>
          <cell r="C130">
            <v>0</v>
          </cell>
          <cell r="D130" t="str">
            <v xml:space="preserve">CAN </v>
          </cell>
          <cell r="E130" t="str">
            <v>DISTANCIA</v>
          </cell>
          <cell r="F130" t="str">
            <v>M3-Km / UN-KM</v>
          </cell>
          <cell r="G130" t="str">
            <v>TARIFA</v>
          </cell>
          <cell r="H130" t="str">
            <v>Valor-Unit.</v>
          </cell>
          <cell r="I130">
            <v>0</v>
          </cell>
        </row>
        <row r="131">
          <cell r="B131" t="str">
            <v>T004</v>
          </cell>
          <cell r="C131" t="str">
            <v>TRANS MAT SOBRANTE 0-5KM</v>
          </cell>
          <cell r="D131">
            <v>1</v>
          </cell>
          <cell r="E131">
            <v>5</v>
          </cell>
          <cell r="F131">
            <v>5</v>
          </cell>
          <cell r="G131">
            <v>1120</v>
          </cell>
          <cell r="H131">
            <v>5600</v>
          </cell>
          <cell r="I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 t="str">
            <v>Sub-Total</v>
          </cell>
          <cell r="G134" t="str">
            <v>1.3</v>
          </cell>
          <cell r="H134" t="str">
            <v>TRAN-1.3</v>
          </cell>
          <cell r="I134">
            <v>5600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B136">
            <v>0</v>
          </cell>
          <cell r="C136">
            <v>0</v>
          </cell>
          <cell r="D136" t="str">
            <v>JORNAL-HORA</v>
          </cell>
          <cell r="E136" t="str">
            <v>PRES</v>
          </cell>
          <cell r="F136" t="str">
            <v>Jornal Total</v>
          </cell>
          <cell r="G136" t="str">
            <v>Rendimiento</v>
          </cell>
          <cell r="H136" t="str">
            <v>Valor-Unit.</v>
          </cell>
          <cell r="I136">
            <v>0</v>
          </cell>
        </row>
        <row r="137">
          <cell r="B137" t="str">
            <v>MO004</v>
          </cell>
          <cell r="C137" t="str">
            <v>OFICIAL</v>
          </cell>
          <cell r="D137">
            <v>10270.602514022436</v>
          </cell>
          <cell r="E137">
            <v>0.56000000000000005</v>
          </cell>
          <cell r="F137">
            <v>16022.139921875001</v>
          </cell>
          <cell r="G137">
            <v>0.8</v>
          </cell>
          <cell r="H137">
            <v>12817.711937500002</v>
          </cell>
          <cell r="I137">
            <v>0</v>
          </cell>
        </row>
        <row r="138">
          <cell r="B138" t="str">
            <v>MO005</v>
          </cell>
          <cell r="C138" t="str">
            <v>AYUDANTE ENTENDIDO</v>
          </cell>
          <cell r="D138">
            <v>6411.5899439102559</v>
          </cell>
          <cell r="E138">
            <v>0.56000000000000005</v>
          </cell>
          <cell r="F138">
            <v>10002.0803125</v>
          </cell>
          <cell r="G138">
            <v>0.8</v>
          </cell>
          <cell r="H138">
            <v>8001.6642500000007</v>
          </cell>
          <cell r="I138">
            <v>0</v>
          </cell>
        </row>
        <row r="139">
          <cell r="B139" t="str">
            <v>MO006</v>
          </cell>
          <cell r="C139" t="str">
            <v>AYUDANTE</v>
          </cell>
          <cell r="D139">
            <v>4633.604176682692</v>
          </cell>
          <cell r="E139">
            <v>0.56000000000000005</v>
          </cell>
          <cell r="F139">
            <v>7228.4225156249995</v>
          </cell>
          <cell r="G139">
            <v>0.8</v>
          </cell>
          <cell r="H139">
            <v>5782.7380125</v>
          </cell>
          <cell r="I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 t="str">
            <v>Sub-Total</v>
          </cell>
          <cell r="G142" t="str">
            <v>1.3</v>
          </cell>
          <cell r="H142" t="str">
            <v>MDEO-1.3</v>
          </cell>
          <cell r="I142">
            <v>26602.114200000004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1330.1057100000003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 t="str">
            <v>Total Costo Directo</v>
          </cell>
          <cell r="G144">
            <v>0</v>
          </cell>
          <cell r="H144">
            <v>0</v>
          </cell>
          <cell r="I144">
            <v>118172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 t="str">
            <v>PORCENTAJE</v>
          </cell>
          <cell r="F145">
            <v>0</v>
          </cell>
          <cell r="G145" t="str">
            <v>V. COSTO INDERECTO</v>
          </cell>
          <cell r="H145">
            <v>0</v>
          </cell>
          <cell r="I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0.02</v>
          </cell>
          <cell r="F146">
            <v>0</v>
          </cell>
          <cell r="G146">
            <v>2363.44</v>
          </cell>
          <cell r="H146">
            <v>0</v>
          </cell>
          <cell r="I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0.23</v>
          </cell>
          <cell r="F147">
            <v>0</v>
          </cell>
          <cell r="G147">
            <v>27179.56</v>
          </cell>
          <cell r="H147">
            <v>0</v>
          </cell>
          <cell r="I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0.05</v>
          </cell>
          <cell r="F148">
            <v>0</v>
          </cell>
          <cell r="G148">
            <v>5908.6</v>
          </cell>
          <cell r="H148">
            <v>0</v>
          </cell>
          <cell r="I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0.02</v>
          </cell>
          <cell r="F149">
            <v>0</v>
          </cell>
          <cell r="G149">
            <v>2363.44</v>
          </cell>
          <cell r="H149">
            <v>0</v>
          </cell>
          <cell r="I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37815.040000000001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155987.04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 t="str">
            <v>REVISA</v>
          </cell>
          <cell r="G153">
            <v>0</v>
          </cell>
          <cell r="H153">
            <v>0</v>
          </cell>
          <cell r="I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 t="str">
            <v>FIRMA:</v>
          </cell>
          <cell r="G154">
            <v>0</v>
          </cell>
          <cell r="H154">
            <v>0</v>
          </cell>
          <cell r="I154">
            <v>0</v>
          </cell>
        </row>
        <row r="155">
          <cell r="B155" t="str">
            <v>JHON EMIR GAMBOA MENA</v>
          </cell>
          <cell r="C155">
            <v>0</v>
          </cell>
          <cell r="F155" t="str">
            <v>NOMBRE</v>
          </cell>
          <cell r="G155">
            <v>0</v>
          </cell>
          <cell r="H155">
            <v>0</v>
          </cell>
          <cell r="I155">
            <v>0</v>
          </cell>
        </row>
        <row r="156">
          <cell r="B156" t="str">
            <v>05202-316814 ANT</v>
          </cell>
          <cell r="C156">
            <v>0</v>
          </cell>
          <cell r="F156" t="str">
            <v>MAT:</v>
          </cell>
          <cell r="G156">
            <v>0</v>
          </cell>
          <cell r="H156">
            <v>0</v>
          </cell>
          <cell r="I156">
            <v>0</v>
          </cell>
        </row>
        <row r="157">
          <cell r="B157">
            <v>0</v>
          </cell>
          <cell r="C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I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 t="str">
            <v>2.1</v>
          </cell>
          <cell r="C163" t="str">
            <v>DESCRIPCION:</v>
          </cell>
          <cell r="D163" t="str">
            <v>EXCAVACIONES VARIAS EN MATERIAL COMUN BAJO AGUA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B164" t="str">
            <v>600.1.2.2.3-13</v>
          </cell>
          <cell r="C164">
            <v>0</v>
          </cell>
          <cell r="D164" t="str">
            <v>UNIDAD</v>
          </cell>
          <cell r="E164" t="str">
            <v>M3</v>
          </cell>
          <cell r="F164" t="str">
            <v>CANTIDAD</v>
          </cell>
          <cell r="G164">
            <v>597</v>
          </cell>
          <cell r="H164" t="str">
            <v>V. UNITARIO:</v>
          </cell>
          <cell r="I164">
            <v>24647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 t="str">
            <v>Tarifa/Hora</v>
          </cell>
          <cell r="G166" t="str">
            <v>Rendimiento</v>
          </cell>
          <cell r="H166" t="str">
            <v>Valor-Unit.</v>
          </cell>
          <cell r="I166">
            <v>0</v>
          </cell>
        </row>
        <row r="167">
          <cell r="B167" t="str">
            <v>E024</v>
          </cell>
          <cell r="C167" t="str">
            <v>RETROEXCAVADORA</v>
          </cell>
          <cell r="D167">
            <v>0</v>
          </cell>
          <cell r="E167">
            <v>0</v>
          </cell>
          <cell r="F167">
            <v>122000</v>
          </cell>
          <cell r="G167">
            <v>0.15</v>
          </cell>
          <cell r="H167">
            <v>18300</v>
          </cell>
          <cell r="I167">
            <v>0</v>
          </cell>
        </row>
        <row r="168">
          <cell r="B168" t="str">
            <v>E031</v>
          </cell>
          <cell r="C168" t="str">
            <v>MOTOBOMBA</v>
          </cell>
          <cell r="D168">
            <v>0</v>
          </cell>
          <cell r="E168">
            <v>0</v>
          </cell>
          <cell r="F168">
            <v>7400</v>
          </cell>
          <cell r="G168">
            <v>0.15</v>
          </cell>
          <cell r="H168">
            <v>1110</v>
          </cell>
          <cell r="I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 t="str">
            <v>Sub-Total</v>
          </cell>
          <cell r="G171" t="str">
            <v>2.1</v>
          </cell>
          <cell r="H171" t="str">
            <v>EQUI-2.1</v>
          </cell>
          <cell r="I171">
            <v>19410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 t="str">
            <v>UNIDAD</v>
          </cell>
          <cell r="F173" t="str">
            <v>V.UNIT</v>
          </cell>
          <cell r="G173" t="str">
            <v>CANT</v>
          </cell>
          <cell r="H173" t="str">
            <v>V.TOTAL</v>
          </cell>
          <cell r="I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 t="str">
            <v>Sub-Total</v>
          </cell>
          <cell r="G177" t="str">
            <v>2.1</v>
          </cell>
          <cell r="H177" t="str">
            <v>MAT-2.1</v>
          </cell>
          <cell r="I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B179">
            <v>0</v>
          </cell>
          <cell r="C179">
            <v>0</v>
          </cell>
          <cell r="D179" t="str">
            <v xml:space="preserve">CAN </v>
          </cell>
          <cell r="E179" t="str">
            <v>DISTANCIA</v>
          </cell>
          <cell r="F179" t="str">
            <v>M3-Km / UN-KM</v>
          </cell>
          <cell r="G179" t="str">
            <v>TARIFA</v>
          </cell>
          <cell r="H179" t="str">
            <v>Valor-Unit.</v>
          </cell>
          <cell r="I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 t="str">
            <v>Sub-Total</v>
          </cell>
          <cell r="G183" t="str">
            <v>2.1</v>
          </cell>
          <cell r="H183" t="str">
            <v>TRAN-2.1</v>
          </cell>
          <cell r="I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0</v>
          </cell>
          <cell r="C185">
            <v>0</v>
          </cell>
          <cell r="D185" t="str">
            <v>JORNAL-HORA</v>
          </cell>
          <cell r="E185" t="str">
            <v>PRES</v>
          </cell>
          <cell r="F185" t="str">
            <v>Jornal Total</v>
          </cell>
          <cell r="G185" t="str">
            <v>Rendimiento</v>
          </cell>
          <cell r="H185" t="str">
            <v>Valor-Unit.</v>
          </cell>
          <cell r="I185">
            <v>0</v>
          </cell>
        </row>
        <row r="186">
          <cell r="B186" t="str">
            <v>MO004</v>
          </cell>
          <cell r="C186" t="str">
            <v>OFICIAL</v>
          </cell>
          <cell r="D186">
            <v>10270.602514022436</v>
          </cell>
          <cell r="E186">
            <v>0.56000000000000005</v>
          </cell>
          <cell r="F186">
            <v>16022.139921875001</v>
          </cell>
          <cell r="G186">
            <v>0.15</v>
          </cell>
          <cell r="H186">
            <v>2403.3209882812503</v>
          </cell>
          <cell r="I186">
            <v>0</v>
          </cell>
        </row>
        <row r="187">
          <cell r="B187" t="str">
            <v>MO005</v>
          </cell>
          <cell r="C187" t="str">
            <v>AYUDANTE ENTENDIDO</v>
          </cell>
          <cell r="D187">
            <v>6411.5899439102559</v>
          </cell>
          <cell r="E187">
            <v>0.56000000000000005</v>
          </cell>
          <cell r="F187">
            <v>10002.0803125</v>
          </cell>
          <cell r="G187">
            <v>0.15</v>
          </cell>
          <cell r="H187">
            <v>1500.3120468750001</v>
          </cell>
          <cell r="I187">
            <v>0</v>
          </cell>
        </row>
        <row r="188">
          <cell r="B188" t="str">
            <v>MO006</v>
          </cell>
          <cell r="C188" t="str">
            <v>AYUDANTE</v>
          </cell>
          <cell r="D188">
            <v>4633.604176682692</v>
          </cell>
          <cell r="E188">
            <v>0.56000000000000005</v>
          </cell>
          <cell r="F188">
            <v>7228.4225156249995</v>
          </cell>
          <cell r="G188">
            <v>0.15</v>
          </cell>
          <cell r="H188">
            <v>1084.2633773437499</v>
          </cell>
          <cell r="I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 t="str">
            <v>Sub-Total</v>
          </cell>
          <cell r="G191" t="str">
            <v>2.1</v>
          </cell>
          <cell r="H191" t="str">
            <v>MDEO-2.1</v>
          </cell>
          <cell r="I191">
            <v>4987.8964125000002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249.39482062500002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 t="str">
            <v>Total Costo Directo</v>
          </cell>
          <cell r="G193">
            <v>0</v>
          </cell>
          <cell r="H193">
            <v>0</v>
          </cell>
          <cell r="I193">
            <v>24647</v>
          </cell>
        </row>
        <row r="194">
          <cell r="B194">
            <v>0</v>
          </cell>
          <cell r="C194">
            <v>0</v>
          </cell>
          <cell r="D194">
            <v>0</v>
          </cell>
          <cell r="E194" t="str">
            <v>PORCENTAJE</v>
          </cell>
          <cell r="F194">
            <v>0</v>
          </cell>
          <cell r="G194" t="str">
            <v>V. COSTO INDERECTO</v>
          </cell>
          <cell r="H194">
            <v>0</v>
          </cell>
          <cell r="I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0.02</v>
          </cell>
          <cell r="F195">
            <v>0</v>
          </cell>
          <cell r="G195">
            <v>492.94</v>
          </cell>
          <cell r="H195">
            <v>0</v>
          </cell>
          <cell r="I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0.23</v>
          </cell>
          <cell r="F196">
            <v>0</v>
          </cell>
          <cell r="G196">
            <v>5668.81</v>
          </cell>
          <cell r="H196">
            <v>0</v>
          </cell>
          <cell r="I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0.05</v>
          </cell>
          <cell r="F197">
            <v>0</v>
          </cell>
          <cell r="G197">
            <v>1232.3500000000001</v>
          </cell>
          <cell r="H197">
            <v>0</v>
          </cell>
          <cell r="I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0.02</v>
          </cell>
          <cell r="F198">
            <v>0</v>
          </cell>
          <cell r="G198">
            <v>492.94</v>
          </cell>
          <cell r="H198">
            <v>0</v>
          </cell>
          <cell r="I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7887.04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32534.04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 t="str">
            <v>REVISA</v>
          </cell>
          <cell r="G202">
            <v>0</v>
          </cell>
          <cell r="H202">
            <v>0</v>
          </cell>
          <cell r="I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 t="str">
            <v>FIRMA:</v>
          </cell>
          <cell r="G203">
            <v>0</v>
          </cell>
          <cell r="H203">
            <v>0</v>
          </cell>
          <cell r="I203">
            <v>0</v>
          </cell>
        </row>
        <row r="204">
          <cell r="B204" t="str">
            <v>JHON EMIR GAMBOA MENA</v>
          </cell>
          <cell r="C204">
            <v>0</v>
          </cell>
          <cell r="F204" t="str">
            <v>NOMBRE</v>
          </cell>
          <cell r="G204">
            <v>0</v>
          </cell>
          <cell r="H204">
            <v>0</v>
          </cell>
          <cell r="I204">
            <v>0</v>
          </cell>
        </row>
        <row r="205">
          <cell r="B205" t="str">
            <v>05202-316814 ANT</v>
          </cell>
          <cell r="C205">
            <v>0</v>
          </cell>
          <cell r="F205" t="str">
            <v>MAT:</v>
          </cell>
          <cell r="G205">
            <v>0</v>
          </cell>
          <cell r="H205">
            <v>0</v>
          </cell>
          <cell r="I205">
            <v>0</v>
          </cell>
        </row>
        <row r="206">
          <cell r="B206">
            <v>0</v>
          </cell>
          <cell r="C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I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B212" t="str">
            <v>2.2</v>
          </cell>
          <cell r="C212" t="str">
            <v>DESCRIPCION:</v>
          </cell>
          <cell r="D212" t="str">
            <v>TRANSPORTE DE MATERIAL PROVENIENTE DE EXCAVACION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B213" t="str">
            <v>900.2-13</v>
          </cell>
          <cell r="C213">
            <v>0</v>
          </cell>
          <cell r="D213" t="str">
            <v>UNIDAD</v>
          </cell>
          <cell r="E213" t="str">
            <v>M3-KM</v>
          </cell>
          <cell r="F213" t="str">
            <v>CANTIDAD</v>
          </cell>
          <cell r="G213">
            <v>8479</v>
          </cell>
          <cell r="H213" t="str">
            <v>V. UNITARIO:</v>
          </cell>
          <cell r="I213">
            <v>1631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 t="str">
            <v>Tarifa/Hora</v>
          </cell>
          <cell r="G215" t="str">
            <v>Rendimiento</v>
          </cell>
          <cell r="H215" t="str">
            <v>Valor-Unit.</v>
          </cell>
          <cell r="I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 t="str">
            <v>Sub-Total</v>
          </cell>
          <cell r="G220" t="str">
            <v>2.2</v>
          </cell>
          <cell r="H220" t="str">
            <v>EQUI-2.2</v>
          </cell>
          <cell r="I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 t="str">
            <v>UNIDAD</v>
          </cell>
          <cell r="F222" t="str">
            <v>V.UNIT</v>
          </cell>
          <cell r="G222" t="str">
            <v>CANT</v>
          </cell>
          <cell r="H222" t="str">
            <v>V.TOTAL</v>
          </cell>
          <cell r="I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 t="str">
            <v>Sub-Total</v>
          </cell>
          <cell r="G226" t="str">
            <v>2.2</v>
          </cell>
          <cell r="H226" t="str">
            <v>MAT-2.2</v>
          </cell>
          <cell r="I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B228">
            <v>0</v>
          </cell>
          <cell r="C228">
            <v>0</v>
          </cell>
          <cell r="D228" t="str">
            <v xml:space="preserve">CAN </v>
          </cell>
          <cell r="E228" t="str">
            <v>DISTANCIA</v>
          </cell>
          <cell r="F228" t="str">
            <v>M3-Km / UN-KM</v>
          </cell>
          <cell r="G228" t="str">
            <v>TARIFA</v>
          </cell>
          <cell r="H228" t="str">
            <v>Valor-Unit.</v>
          </cell>
          <cell r="I228">
            <v>0</v>
          </cell>
        </row>
        <row r="229">
          <cell r="B229" t="str">
            <v>T004</v>
          </cell>
          <cell r="C229" t="str">
            <v>TRANS MAT SOBRANTE 0-5KM</v>
          </cell>
          <cell r="D229">
            <v>1.3</v>
          </cell>
          <cell r="E229">
            <v>1</v>
          </cell>
          <cell r="F229">
            <v>1.3</v>
          </cell>
          <cell r="G229">
            <v>1120</v>
          </cell>
          <cell r="H229">
            <v>1456</v>
          </cell>
          <cell r="I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 t="str">
            <v>Sub-Total</v>
          </cell>
          <cell r="G232" t="str">
            <v>2.2</v>
          </cell>
          <cell r="H232" t="str">
            <v>TRAN-2.2</v>
          </cell>
          <cell r="I232">
            <v>1456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B234">
            <v>0</v>
          </cell>
          <cell r="C234">
            <v>0</v>
          </cell>
          <cell r="D234" t="str">
            <v>JORNAL-HORA</v>
          </cell>
          <cell r="E234" t="str">
            <v>PRES</v>
          </cell>
          <cell r="F234" t="str">
            <v>Jornal Total</v>
          </cell>
          <cell r="G234" t="str">
            <v>Rendimiento</v>
          </cell>
          <cell r="H234" t="str">
            <v>Valor-Unit.</v>
          </cell>
          <cell r="I234">
            <v>0</v>
          </cell>
        </row>
        <row r="235">
          <cell r="B235" t="str">
            <v>MO004</v>
          </cell>
          <cell r="C235" t="str">
            <v>OFICIAL</v>
          </cell>
          <cell r="D235">
            <v>10270.602514022436</v>
          </cell>
          <cell r="E235">
            <v>0.56000000000000005</v>
          </cell>
          <cell r="F235">
            <v>16022.139921875001</v>
          </cell>
          <cell r="G235">
            <v>5.0000000000000001E-3</v>
          </cell>
          <cell r="H235">
            <v>80.110699609375004</v>
          </cell>
          <cell r="I235">
            <v>0</v>
          </cell>
        </row>
        <row r="236">
          <cell r="B236" t="str">
            <v>MO005</v>
          </cell>
          <cell r="C236" t="str">
            <v>AYUDANTE ENTENDIDO</v>
          </cell>
          <cell r="D236">
            <v>6411.5899439102559</v>
          </cell>
          <cell r="E236">
            <v>0.56000000000000005</v>
          </cell>
          <cell r="F236">
            <v>10002.0803125</v>
          </cell>
          <cell r="G236">
            <v>5.0000000000000001E-3</v>
          </cell>
          <cell r="H236">
            <v>50.0104015625</v>
          </cell>
          <cell r="I236">
            <v>0</v>
          </cell>
        </row>
        <row r="237">
          <cell r="B237" t="str">
            <v>MO006</v>
          </cell>
          <cell r="C237" t="str">
            <v>AYUDANTE</v>
          </cell>
          <cell r="D237">
            <v>4633.604176682692</v>
          </cell>
          <cell r="E237">
            <v>0.56000000000000005</v>
          </cell>
          <cell r="F237">
            <v>7228.4225156249995</v>
          </cell>
          <cell r="G237">
            <v>5.0000000000000001E-3</v>
          </cell>
          <cell r="H237">
            <v>36.142112578125001</v>
          </cell>
          <cell r="I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 t="str">
            <v>Sub-Total</v>
          </cell>
          <cell r="G240" t="str">
            <v>2.2</v>
          </cell>
          <cell r="H240" t="str">
            <v>MDEO-2.2</v>
          </cell>
          <cell r="I240">
            <v>166.26321375000001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8.3131606874999999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 t="str">
            <v>Total Costo Directo</v>
          </cell>
          <cell r="G242">
            <v>0</v>
          </cell>
          <cell r="H242">
            <v>0</v>
          </cell>
          <cell r="I242">
            <v>1631</v>
          </cell>
        </row>
        <row r="243">
          <cell r="B243">
            <v>0</v>
          </cell>
          <cell r="C243">
            <v>0</v>
          </cell>
          <cell r="D243">
            <v>0</v>
          </cell>
          <cell r="E243" t="str">
            <v>PORCENTAJE</v>
          </cell>
          <cell r="F243">
            <v>0</v>
          </cell>
          <cell r="G243" t="str">
            <v>V. COSTO INDERECTO</v>
          </cell>
          <cell r="H243">
            <v>0</v>
          </cell>
          <cell r="I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0.02</v>
          </cell>
          <cell r="F244">
            <v>0</v>
          </cell>
          <cell r="G244">
            <v>32.619999999999997</v>
          </cell>
          <cell r="H244">
            <v>0</v>
          </cell>
          <cell r="I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0.23</v>
          </cell>
          <cell r="F245">
            <v>0</v>
          </cell>
          <cell r="G245">
            <v>375.13</v>
          </cell>
          <cell r="H245">
            <v>0</v>
          </cell>
          <cell r="I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0.05</v>
          </cell>
          <cell r="F246">
            <v>0</v>
          </cell>
          <cell r="G246">
            <v>81.550000000000011</v>
          </cell>
          <cell r="H246">
            <v>0</v>
          </cell>
          <cell r="I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0.02</v>
          </cell>
          <cell r="F247">
            <v>0</v>
          </cell>
          <cell r="G247">
            <v>32.619999999999997</v>
          </cell>
          <cell r="H247">
            <v>0</v>
          </cell>
          <cell r="I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521.91999999999996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2152.92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 t="str">
            <v>REVISA</v>
          </cell>
          <cell r="G251">
            <v>0</v>
          </cell>
          <cell r="H251">
            <v>0</v>
          </cell>
          <cell r="I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 t="str">
            <v>FIRMA:</v>
          </cell>
          <cell r="G252">
            <v>0</v>
          </cell>
          <cell r="H252">
            <v>0</v>
          </cell>
          <cell r="I252">
            <v>0</v>
          </cell>
        </row>
        <row r="253">
          <cell r="B253" t="str">
            <v>JHON EMIR GAMBOA MENA</v>
          </cell>
          <cell r="C253">
            <v>0</v>
          </cell>
          <cell r="F253" t="str">
            <v>NOMBRE</v>
          </cell>
          <cell r="G253">
            <v>0</v>
          </cell>
          <cell r="H253">
            <v>0</v>
          </cell>
          <cell r="I253">
            <v>0</v>
          </cell>
        </row>
        <row r="254">
          <cell r="B254" t="str">
            <v>05202-316814 ANT</v>
          </cell>
          <cell r="C254">
            <v>0</v>
          </cell>
          <cell r="F254" t="str">
            <v>MAT:</v>
          </cell>
          <cell r="G254">
            <v>0</v>
          </cell>
          <cell r="H254">
            <v>0</v>
          </cell>
          <cell r="I254">
            <v>0</v>
          </cell>
        </row>
        <row r="255">
          <cell r="B255">
            <v>0</v>
          </cell>
          <cell r="C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B260" t="str">
            <v>2.3</v>
          </cell>
          <cell r="C260" t="str">
            <v>DESCRIPCION:</v>
          </cell>
          <cell r="D260" t="str">
            <v>REALCE DE VALVULA DE ACUEDUCTO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B261" t="str">
            <v>PAR_03</v>
          </cell>
          <cell r="C261">
            <v>0</v>
          </cell>
          <cell r="D261" t="str">
            <v>UNIDAD</v>
          </cell>
          <cell r="E261" t="str">
            <v>UNIDAD</v>
          </cell>
          <cell r="F261" t="str">
            <v>CANTIDAD</v>
          </cell>
          <cell r="G261">
            <v>5</v>
          </cell>
          <cell r="H261" t="str">
            <v>V. UNITARIO:</v>
          </cell>
          <cell r="I261">
            <v>134915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 t="str">
            <v>Tarifa/Hora</v>
          </cell>
          <cell r="G263" t="str">
            <v>Rendimiento</v>
          </cell>
          <cell r="H263" t="str">
            <v>Valor-Unit.</v>
          </cell>
          <cell r="I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 t="str">
            <v>Sub-Total</v>
          </cell>
          <cell r="G268" t="str">
            <v>2.3</v>
          </cell>
          <cell r="H268" t="str">
            <v>EQUI-2.3</v>
          </cell>
          <cell r="I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 t="str">
            <v>UNIDAD</v>
          </cell>
          <cell r="F270" t="str">
            <v>V.UNIT</v>
          </cell>
          <cell r="G270" t="str">
            <v>CANT</v>
          </cell>
          <cell r="H270" t="str">
            <v>V.TOTAL</v>
          </cell>
          <cell r="I270">
            <v>0</v>
          </cell>
        </row>
        <row r="271">
          <cell r="B271" t="str">
            <v>M035</v>
          </cell>
          <cell r="C271" t="str">
            <v>NIPLE 6"</v>
          </cell>
          <cell r="D271">
            <v>0</v>
          </cell>
          <cell r="E271" t="str">
            <v>Unidad</v>
          </cell>
          <cell r="F271">
            <v>100000</v>
          </cell>
          <cell r="G271">
            <v>1</v>
          </cell>
          <cell r="H271">
            <v>100000</v>
          </cell>
          <cell r="I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 t="str">
            <v>Sub-Total</v>
          </cell>
          <cell r="G274" t="str">
            <v>2.3</v>
          </cell>
          <cell r="H274" t="str">
            <v>MAT-2.3</v>
          </cell>
          <cell r="I274">
            <v>100000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B276">
            <v>0</v>
          </cell>
          <cell r="C276">
            <v>0</v>
          </cell>
          <cell r="D276" t="str">
            <v xml:space="preserve">CAN </v>
          </cell>
          <cell r="E276" t="str">
            <v>DISTANCIA</v>
          </cell>
          <cell r="F276" t="str">
            <v>M3-Km / UN-KM</v>
          </cell>
          <cell r="G276" t="str">
            <v>TARIFA</v>
          </cell>
          <cell r="H276" t="str">
            <v>Valor-Unit.</v>
          </cell>
          <cell r="I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 t="str">
            <v>Sub-Total</v>
          </cell>
          <cell r="G280" t="str">
            <v>2.3</v>
          </cell>
          <cell r="H280" t="str">
            <v>TRAN-2.3</v>
          </cell>
          <cell r="I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B282">
            <v>0</v>
          </cell>
          <cell r="C282">
            <v>0</v>
          </cell>
          <cell r="D282" t="str">
            <v>JORNAL-HORA</v>
          </cell>
          <cell r="E282" t="str">
            <v>PRES</v>
          </cell>
          <cell r="F282" t="str">
            <v>Jornal Total</v>
          </cell>
          <cell r="G282" t="str">
            <v>Rendimiento</v>
          </cell>
          <cell r="H282" t="str">
            <v>Valor-Unit.</v>
          </cell>
          <cell r="I282">
            <v>0</v>
          </cell>
        </row>
        <row r="283">
          <cell r="B283" t="str">
            <v>MO004</v>
          </cell>
          <cell r="C283" t="str">
            <v>OFICIAL</v>
          </cell>
          <cell r="D283">
            <v>10270.602514022436</v>
          </cell>
          <cell r="E283">
            <v>0.56000000000000005</v>
          </cell>
          <cell r="F283">
            <v>16022.139921875001</v>
          </cell>
          <cell r="G283">
            <v>1</v>
          </cell>
          <cell r="H283">
            <v>16022.139921875001</v>
          </cell>
          <cell r="I283">
            <v>0</v>
          </cell>
        </row>
        <row r="284">
          <cell r="B284" t="str">
            <v>MO005</v>
          </cell>
          <cell r="C284" t="str">
            <v>AYUDANTE ENTENDIDO</v>
          </cell>
          <cell r="D284">
            <v>6411.5899439102559</v>
          </cell>
          <cell r="E284">
            <v>0.56000000000000005</v>
          </cell>
          <cell r="F284">
            <v>10002.0803125</v>
          </cell>
          <cell r="G284">
            <v>1</v>
          </cell>
          <cell r="H284">
            <v>10002.0803125</v>
          </cell>
          <cell r="I284">
            <v>0</v>
          </cell>
        </row>
        <row r="285">
          <cell r="B285" t="str">
            <v>MO006</v>
          </cell>
          <cell r="C285" t="str">
            <v>AYUDANTE</v>
          </cell>
          <cell r="D285">
            <v>4633.604176682692</v>
          </cell>
          <cell r="E285">
            <v>0.56000000000000005</v>
          </cell>
          <cell r="F285">
            <v>7228.4225156249995</v>
          </cell>
          <cell r="G285">
            <v>1</v>
          </cell>
          <cell r="H285">
            <v>7228.4225156249995</v>
          </cell>
          <cell r="I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 t="str">
            <v>Sub-Total</v>
          </cell>
          <cell r="G288" t="str">
            <v>2.3</v>
          </cell>
          <cell r="H288" t="str">
            <v>MDEO-2.3</v>
          </cell>
          <cell r="I288">
            <v>33252.642749999999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1662.6321375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 t="str">
            <v>Total Costo Directo</v>
          </cell>
          <cell r="G290">
            <v>0</v>
          </cell>
          <cell r="H290">
            <v>0</v>
          </cell>
          <cell r="I290">
            <v>134915</v>
          </cell>
        </row>
        <row r="291">
          <cell r="B291">
            <v>0</v>
          </cell>
          <cell r="C291">
            <v>0</v>
          </cell>
          <cell r="D291">
            <v>0</v>
          </cell>
          <cell r="E291" t="str">
            <v>PORCENTAJE</v>
          </cell>
          <cell r="F291">
            <v>0</v>
          </cell>
          <cell r="G291" t="str">
            <v>V. COSTO INDERECTO</v>
          </cell>
          <cell r="H291">
            <v>0</v>
          </cell>
          <cell r="I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0.02</v>
          </cell>
          <cell r="F292">
            <v>0</v>
          </cell>
          <cell r="G292">
            <v>2698.3</v>
          </cell>
          <cell r="H292">
            <v>0</v>
          </cell>
          <cell r="I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0.23</v>
          </cell>
          <cell r="F293">
            <v>0</v>
          </cell>
          <cell r="G293">
            <v>31030.45</v>
          </cell>
          <cell r="H293">
            <v>0</v>
          </cell>
          <cell r="I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0.05</v>
          </cell>
          <cell r="F294">
            <v>0</v>
          </cell>
          <cell r="G294">
            <v>6745.75</v>
          </cell>
          <cell r="H294">
            <v>0</v>
          </cell>
          <cell r="I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0.02</v>
          </cell>
          <cell r="F295">
            <v>0</v>
          </cell>
          <cell r="G295">
            <v>2698.3</v>
          </cell>
          <cell r="H295">
            <v>0</v>
          </cell>
          <cell r="I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43172.800000000003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178087.8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 t="str">
            <v>REVISA</v>
          </cell>
          <cell r="G299">
            <v>0</v>
          </cell>
          <cell r="H299">
            <v>0</v>
          </cell>
          <cell r="I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 t="str">
            <v>FIRMA:</v>
          </cell>
          <cell r="G300">
            <v>0</v>
          </cell>
          <cell r="H300">
            <v>0</v>
          </cell>
          <cell r="I300">
            <v>0</v>
          </cell>
        </row>
        <row r="301">
          <cell r="B301" t="str">
            <v>JHON EMIR GAMBOA MENA</v>
          </cell>
          <cell r="C301">
            <v>0</v>
          </cell>
          <cell r="F301" t="str">
            <v>NOMBRE</v>
          </cell>
          <cell r="G301">
            <v>0</v>
          </cell>
          <cell r="H301">
            <v>0</v>
          </cell>
          <cell r="I301">
            <v>0</v>
          </cell>
        </row>
        <row r="302">
          <cell r="B302" t="str">
            <v>05202-316814 ANT</v>
          </cell>
          <cell r="C302">
            <v>0</v>
          </cell>
          <cell r="F302" t="str">
            <v>MAT:</v>
          </cell>
          <cell r="G302">
            <v>0</v>
          </cell>
          <cell r="H302">
            <v>0</v>
          </cell>
          <cell r="I302">
            <v>0</v>
          </cell>
        </row>
        <row r="303">
          <cell r="B303">
            <v>0</v>
          </cell>
          <cell r="C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B308" t="str">
            <v>2.4</v>
          </cell>
          <cell r="C308" t="str">
            <v>DESCRIPCION:</v>
          </cell>
          <cell r="D308" t="str">
            <v>REALCE DE CAJA INSPECCION CIRCULAR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B309" t="str">
            <v>PAR_04</v>
          </cell>
          <cell r="C309">
            <v>0</v>
          </cell>
          <cell r="D309" t="str">
            <v>UNIDAD</v>
          </cell>
          <cell r="E309" t="str">
            <v>UNIDAD</v>
          </cell>
          <cell r="F309" t="str">
            <v>CANTIDAD</v>
          </cell>
          <cell r="G309">
            <v>11</v>
          </cell>
          <cell r="H309" t="str">
            <v>V. UNITARIO:</v>
          </cell>
          <cell r="I309">
            <v>254915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 t="str">
            <v>Tarifa/Hora</v>
          </cell>
          <cell r="G311" t="str">
            <v>Rendimiento</v>
          </cell>
          <cell r="H311" t="str">
            <v>Valor-Unit.</v>
          </cell>
          <cell r="I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 t="str">
            <v>Sub-Total</v>
          </cell>
          <cell r="G316" t="str">
            <v>2.4</v>
          </cell>
          <cell r="H316" t="str">
            <v>EQUI-2.4</v>
          </cell>
          <cell r="I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 t="str">
            <v>UNIDAD</v>
          </cell>
          <cell r="F318" t="str">
            <v>V.UNIT</v>
          </cell>
          <cell r="G318" t="str">
            <v>CANT</v>
          </cell>
          <cell r="H318" t="str">
            <v>V.TOTAL</v>
          </cell>
          <cell r="I318">
            <v>0</v>
          </cell>
        </row>
        <row r="319">
          <cell r="B319" t="str">
            <v>M029</v>
          </cell>
          <cell r="C319" t="str">
            <v>HERRAJE PARA CAMARA DE INSPECCION TIPO MH</v>
          </cell>
          <cell r="D319">
            <v>0</v>
          </cell>
          <cell r="E319" t="str">
            <v>Unidad</v>
          </cell>
          <cell r="F319">
            <v>220000</v>
          </cell>
          <cell r="G319">
            <v>1</v>
          </cell>
          <cell r="H319">
            <v>220000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 t="str">
            <v>Sub-Total</v>
          </cell>
          <cell r="G322" t="str">
            <v>2.4</v>
          </cell>
          <cell r="H322" t="str">
            <v>MAT-2.4</v>
          </cell>
          <cell r="I322">
            <v>220000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B324">
            <v>0</v>
          </cell>
          <cell r="C324">
            <v>0</v>
          </cell>
          <cell r="D324" t="str">
            <v xml:space="preserve">CAN </v>
          </cell>
          <cell r="E324" t="str">
            <v>DISTANCIA</v>
          </cell>
          <cell r="F324" t="str">
            <v>M3-Km / UN-KM</v>
          </cell>
          <cell r="G324" t="str">
            <v>TARIFA</v>
          </cell>
          <cell r="H324" t="str">
            <v>Valor-Unit.</v>
          </cell>
          <cell r="I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 t="str">
            <v>Sub-Total</v>
          </cell>
          <cell r="G328" t="str">
            <v>2.4</v>
          </cell>
          <cell r="H328" t="str">
            <v>TRAN-2.4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>
            <v>0</v>
          </cell>
          <cell r="D330" t="str">
            <v>JORNAL-HORA</v>
          </cell>
          <cell r="E330" t="str">
            <v>PRES</v>
          </cell>
          <cell r="F330" t="str">
            <v>Jornal Total</v>
          </cell>
          <cell r="G330" t="str">
            <v>Rendimiento</v>
          </cell>
          <cell r="H330" t="str">
            <v>Valor-Unit.</v>
          </cell>
          <cell r="I330">
            <v>0</v>
          </cell>
        </row>
        <row r="331">
          <cell r="B331" t="str">
            <v>MO004</v>
          </cell>
          <cell r="C331" t="str">
            <v>OFICIAL</v>
          </cell>
          <cell r="D331">
            <v>10270.602514022436</v>
          </cell>
          <cell r="E331">
            <v>0.56000000000000005</v>
          </cell>
          <cell r="F331">
            <v>16022.139921875001</v>
          </cell>
          <cell r="G331">
            <v>1</v>
          </cell>
          <cell r="H331">
            <v>16022.139921875001</v>
          </cell>
          <cell r="I331">
            <v>0</v>
          </cell>
        </row>
        <row r="332">
          <cell r="B332" t="str">
            <v>MO005</v>
          </cell>
          <cell r="C332" t="str">
            <v>AYUDANTE ENTENDIDO</v>
          </cell>
          <cell r="D332">
            <v>6411.5899439102559</v>
          </cell>
          <cell r="E332">
            <v>0.56000000000000005</v>
          </cell>
          <cell r="F332">
            <v>10002.0803125</v>
          </cell>
          <cell r="G332">
            <v>1</v>
          </cell>
          <cell r="H332">
            <v>10002.0803125</v>
          </cell>
          <cell r="I332">
            <v>0</v>
          </cell>
        </row>
        <row r="333">
          <cell r="B333" t="str">
            <v>MO006</v>
          </cell>
          <cell r="C333" t="str">
            <v>AYUDANTE</v>
          </cell>
          <cell r="D333">
            <v>4633.604176682692</v>
          </cell>
          <cell r="E333">
            <v>0.56000000000000005</v>
          </cell>
          <cell r="F333">
            <v>7228.4225156249995</v>
          </cell>
          <cell r="G333">
            <v>1</v>
          </cell>
          <cell r="H333">
            <v>7228.4225156249995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 t="str">
            <v>Sub-Total</v>
          </cell>
          <cell r="G336" t="str">
            <v>2.4</v>
          </cell>
          <cell r="H336" t="str">
            <v>MDEO-2.4</v>
          </cell>
          <cell r="I336">
            <v>33252.642749999999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1662.6321375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 t="str">
            <v>Total Costo Directo</v>
          </cell>
          <cell r="G338">
            <v>0</v>
          </cell>
          <cell r="H338">
            <v>0</v>
          </cell>
          <cell r="I338">
            <v>254915</v>
          </cell>
        </row>
        <row r="339">
          <cell r="B339">
            <v>0</v>
          </cell>
          <cell r="C339">
            <v>0</v>
          </cell>
          <cell r="D339">
            <v>0</v>
          </cell>
          <cell r="E339" t="str">
            <v>PORCENTAJE</v>
          </cell>
          <cell r="F339">
            <v>0</v>
          </cell>
          <cell r="G339" t="str">
            <v>V. COSTO INDERECTO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0.02</v>
          </cell>
          <cell r="F340">
            <v>0</v>
          </cell>
          <cell r="G340">
            <v>5098.3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0.23</v>
          </cell>
          <cell r="F341">
            <v>0</v>
          </cell>
          <cell r="G341">
            <v>58630.450000000004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0.05</v>
          </cell>
          <cell r="F342">
            <v>0</v>
          </cell>
          <cell r="G342">
            <v>12745.75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0.02</v>
          </cell>
          <cell r="F343">
            <v>0</v>
          </cell>
          <cell r="G343">
            <v>5098.3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81572.800000000003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336487.8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 t="str">
            <v>REVISA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 t="str">
            <v>FIRMA:</v>
          </cell>
          <cell r="G348">
            <v>0</v>
          </cell>
          <cell r="H348">
            <v>0</v>
          </cell>
          <cell r="I348">
            <v>0</v>
          </cell>
        </row>
        <row r="349">
          <cell r="B349" t="str">
            <v>JHON EMIR GAMBOA MENA</v>
          </cell>
          <cell r="C349">
            <v>0</v>
          </cell>
          <cell r="F349" t="str">
            <v>NOMBRE</v>
          </cell>
          <cell r="G349">
            <v>0</v>
          </cell>
          <cell r="H349">
            <v>0</v>
          </cell>
          <cell r="I349">
            <v>0</v>
          </cell>
        </row>
        <row r="350">
          <cell r="B350" t="str">
            <v>05202-316814 ANT</v>
          </cell>
          <cell r="C350">
            <v>0</v>
          </cell>
          <cell r="F350" t="str">
            <v>MAT: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 t="str">
            <v>2.5</v>
          </cell>
          <cell r="C356" t="str">
            <v>DESCRIPCION:</v>
          </cell>
          <cell r="D356" t="str">
            <v>REALCE DE CAJAS DOMICILIARIAS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 t="str">
            <v>PAR_05</v>
          </cell>
          <cell r="C357">
            <v>0</v>
          </cell>
          <cell r="D357" t="str">
            <v>UNIDAD</v>
          </cell>
          <cell r="E357" t="str">
            <v>UNIDAD</v>
          </cell>
          <cell r="F357" t="str">
            <v>CANTIDAD</v>
          </cell>
          <cell r="G357">
            <v>111</v>
          </cell>
          <cell r="H357" t="str">
            <v>V. UNITARIO:</v>
          </cell>
          <cell r="I357">
            <v>244195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 t="str">
            <v>Tarifa/Hora</v>
          </cell>
          <cell r="G359" t="str">
            <v>Rendimiento</v>
          </cell>
          <cell r="H359" t="str">
            <v>Valor-Unit.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 t="str">
            <v>Sub-Total</v>
          </cell>
          <cell r="G364" t="str">
            <v>2.5</v>
          </cell>
          <cell r="H364" t="str">
            <v>EQUI-2.5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 t="str">
            <v>UNIDAD</v>
          </cell>
          <cell r="F366" t="str">
            <v>V.UNIT</v>
          </cell>
          <cell r="G366" t="str">
            <v>CANT</v>
          </cell>
          <cell r="H366" t="str">
            <v>V.TOTAL</v>
          </cell>
          <cell r="I366">
            <v>0</v>
          </cell>
        </row>
        <row r="367">
          <cell r="B367" t="str">
            <v>M064</v>
          </cell>
          <cell r="C367" t="str">
            <v>CONCRETO 3000 PSI</v>
          </cell>
          <cell r="D367">
            <v>0</v>
          </cell>
          <cell r="E367" t="str">
            <v>M3</v>
          </cell>
          <cell r="F367">
            <v>410000</v>
          </cell>
          <cell r="G367">
            <v>0.10799999999999998</v>
          </cell>
          <cell r="H367">
            <v>44279.999999999993</v>
          </cell>
          <cell r="I367">
            <v>0</v>
          </cell>
        </row>
        <row r="368">
          <cell r="B368" t="str">
            <v>M028</v>
          </cell>
          <cell r="C368" t="str">
            <v>HERRAJE PARA CAJA DOMICILIARIA INC REF</v>
          </cell>
          <cell r="D368">
            <v>0</v>
          </cell>
          <cell r="E368" t="str">
            <v>UN</v>
          </cell>
          <cell r="F368">
            <v>165000</v>
          </cell>
          <cell r="G368">
            <v>1</v>
          </cell>
          <cell r="H368">
            <v>165000</v>
          </cell>
          <cell r="I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 t="str">
            <v>Sub-Total</v>
          </cell>
          <cell r="G370" t="str">
            <v>2.5</v>
          </cell>
          <cell r="H370" t="str">
            <v>MAT-2.5</v>
          </cell>
          <cell r="I370">
            <v>209280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B372">
            <v>0</v>
          </cell>
          <cell r="C372">
            <v>0</v>
          </cell>
          <cell r="D372" t="str">
            <v xml:space="preserve">CAN </v>
          </cell>
          <cell r="E372" t="str">
            <v>DISTANCIA</v>
          </cell>
          <cell r="F372" t="str">
            <v>M3-Km / UN-KM</v>
          </cell>
          <cell r="G372" t="str">
            <v>TARIFA</v>
          </cell>
          <cell r="H372" t="str">
            <v>Valor-Unit.</v>
          </cell>
          <cell r="I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 t="str">
            <v>Sub-Total</v>
          </cell>
          <cell r="G376" t="str">
            <v>2.5</v>
          </cell>
          <cell r="H376" t="str">
            <v>TRAN-2.5</v>
          </cell>
          <cell r="I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B378">
            <v>0</v>
          </cell>
          <cell r="C378">
            <v>0</v>
          </cell>
          <cell r="D378" t="str">
            <v>JORNAL-HORA</v>
          </cell>
          <cell r="E378" t="str">
            <v>PRES</v>
          </cell>
          <cell r="F378" t="str">
            <v>Jornal Total</v>
          </cell>
          <cell r="G378" t="str">
            <v>Rendimiento</v>
          </cell>
          <cell r="H378" t="str">
            <v>Valor-Unit.</v>
          </cell>
          <cell r="I378">
            <v>0</v>
          </cell>
        </row>
        <row r="379">
          <cell r="B379" t="str">
            <v>MO004</v>
          </cell>
          <cell r="C379" t="str">
            <v>OFICIAL</v>
          </cell>
          <cell r="D379">
            <v>10270.602514022436</v>
          </cell>
          <cell r="E379">
            <v>0.56000000000000005</v>
          </cell>
          <cell r="F379">
            <v>16022.139921875001</v>
          </cell>
          <cell r="G379">
            <v>1</v>
          </cell>
          <cell r="H379">
            <v>16022.139921875001</v>
          </cell>
          <cell r="I379">
            <v>0</v>
          </cell>
        </row>
        <row r="380">
          <cell r="B380" t="str">
            <v>MO005</v>
          </cell>
          <cell r="C380" t="str">
            <v>AYUDANTE ENTENDIDO</v>
          </cell>
          <cell r="D380">
            <v>6411.5899439102559</v>
          </cell>
          <cell r="E380">
            <v>0.56000000000000005</v>
          </cell>
          <cell r="F380">
            <v>10002.0803125</v>
          </cell>
          <cell r="G380">
            <v>1</v>
          </cell>
          <cell r="H380">
            <v>10002.0803125</v>
          </cell>
          <cell r="I380">
            <v>0</v>
          </cell>
        </row>
        <row r="381">
          <cell r="B381" t="str">
            <v>MO006</v>
          </cell>
          <cell r="C381" t="str">
            <v>AYUDANTE</v>
          </cell>
          <cell r="D381">
            <v>4633.604176682692</v>
          </cell>
          <cell r="E381">
            <v>0.56000000000000005</v>
          </cell>
          <cell r="F381">
            <v>7228.4225156249995</v>
          </cell>
          <cell r="G381">
            <v>1</v>
          </cell>
          <cell r="H381">
            <v>7228.4225156249995</v>
          </cell>
          <cell r="I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 t="str">
            <v>Sub-Total</v>
          </cell>
          <cell r="G384" t="str">
            <v>2.5</v>
          </cell>
          <cell r="H384" t="str">
            <v>MDEO-2.5</v>
          </cell>
          <cell r="I384">
            <v>33252.642749999999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1662.6321375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 t="str">
            <v>Total Costo Directo</v>
          </cell>
          <cell r="G386">
            <v>0</v>
          </cell>
          <cell r="H386">
            <v>0</v>
          </cell>
          <cell r="I386">
            <v>244195</v>
          </cell>
        </row>
        <row r="387">
          <cell r="B387">
            <v>0</v>
          </cell>
          <cell r="C387">
            <v>0</v>
          </cell>
          <cell r="D387">
            <v>0</v>
          </cell>
          <cell r="E387" t="str">
            <v>PORCENTAJE</v>
          </cell>
          <cell r="F387">
            <v>0</v>
          </cell>
          <cell r="G387" t="str">
            <v>V. COSTO INDERECTO</v>
          </cell>
          <cell r="H387">
            <v>0</v>
          </cell>
          <cell r="I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0.02</v>
          </cell>
          <cell r="F388">
            <v>0</v>
          </cell>
          <cell r="G388">
            <v>4883.9000000000005</v>
          </cell>
          <cell r="H388">
            <v>0</v>
          </cell>
          <cell r="I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0.23</v>
          </cell>
          <cell r="F389">
            <v>0</v>
          </cell>
          <cell r="G389">
            <v>56164.850000000006</v>
          </cell>
          <cell r="H389">
            <v>0</v>
          </cell>
          <cell r="I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0.05</v>
          </cell>
          <cell r="F390">
            <v>0</v>
          </cell>
          <cell r="G390">
            <v>12209.75</v>
          </cell>
          <cell r="H390">
            <v>0</v>
          </cell>
          <cell r="I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0.02</v>
          </cell>
          <cell r="F391">
            <v>0</v>
          </cell>
          <cell r="G391">
            <v>4883.9000000000005</v>
          </cell>
          <cell r="H391">
            <v>0</v>
          </cell>
          <cell r="I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78142.399999999994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322337.40000000002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 t="str">
            <v>REVISA</v>
          </cell>
          <cell r="G395">
            <v>0</v>
          </cell>
          <cell r="H395">
            <v>0</v>
          </cell>
          <cell r="I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 t="str">
            <v>FIRMA:</v>
          </cell>
          <cell r="G396">
            <v>0</v>
          </cell>
          <cell r="H396">
            <v>0</v>
          </cell>
          <cell r="I396">
            <v>0</v>
          </cell>
        </row>
        <row r="397">
          <cell r="B397" t="str">
            <v>JHON EMIR GAMBOA MENA</v>
          </cell>
          <cell r="C397">
            <v>0</v>
          </cell>
          <cell r="F397" t="str">
            <v>NOMBRE</v>
          </cell>
          <cell r="G397">
            <v>0</v>
          </cell>
          <cell r="H397">
            <v>0</v>
          </cell>
          <cell r="I397">
            <v>0</v>
          </cell>
        </row>
        <row r="398">
          <cell r="B398" t="str">
            <v>05202-316814 ANT</v>
          </cell>
          <cell r="C398">
            <v>0</v>
          </cell>
          <cell r="F398" t="str">
            <v>MAT:</v>
          </cell>
          <cell r="G398">
            <v>0</v>
          </cell>
          <cell r="H398">
            <v>0</v>
          </cell>
          <cell r="I398">
            <v>0</v>
          </cell>
        </row>
        <row r="399">
          <cell r="B399">
            <v>0</v>
          </cell>
          <cell r="C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B404" t="str">
            <v>2.6</v>
          </cell>
          <cell r="C404" t="str">
            <v>DESCRIPCION:</v>
          </cell>
          <cell r="D404" t="str">
            <v>REALCE DE CAJAS DOMICILIARIAS MEDIDOR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B405" t="str">
            <v>812-EPM</v>
          </cell>
          <cell r="C405">
            <v>0</v>
          </cell>
          <cell r="D405" t="str">
            <v>UNIDAD</v>
          </cell>
          <cell r="E405" t="str">
            <v>UNIDAD</v>
          </cell>
          <cell r="F405" t="str">
            <v>CANTIDAD</v>
          </cell>
          <cell r="G405">
            <v>111</v>
          </cell>
          <cell r="H405" t="str">
            <v>V. UNITARIO:</v>
          </cell>
          <cell r="I405">
            <v>79195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 t="str">
            <v>Tarifa/Hora</v>
          </cell>
          <cell r="G407" t="str">
            <v>Rendimiento</v>
          </cell>
          <cell r="H407" t="str">
            <v>Valor-Unit.</v>
          </cell>
          <cell r="I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 t="str">
            <v>Sub-Total</v>
          </cell>
          <cell r="G412" t="str">
            <v>2.6</v>
          </cell>
          <cell r="H412" t="str">
            <v>EQUI-2.6</v>
          </cell>
          <cell r="I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 t="str">
            <v>UNIDAD</v>
          </cell>
          <cell r="F414" t="str">
            <v>V.UNIT</v>
          </cell>
          <cell r="G414" t="str">
            <v>CANT</v>
          </cell>
          <cell r="H414" t="str">
            <v>V.TOTAL</v>
          </cell>
          <cell r="I414">
            <v>0</v>
          </cell>
        </row>
        <row r="415">
          <cell r="B415" t="str">
            <v>M064</v>
          </cell>
          <cell r="C415" t="str">
            <v>CONCRETO 3000 PSI</v>
          </cell>
          <cell r="D415">
            <v>0</v>
          </cell>
          <cell r="E415" t="str">
            <v>M3</v>
          </cell>
          <cell r="F415">
            <v>410000</v>
          </cell>
          <cell r="G415">
            <v>0.10799999999999998</v>
          </cell>
          <cell r="H415">
            <v>44279.999999999993</v>
          </cell>
          <cell r="I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 t="str">
            <v>Sub-Total</v>
          </cell>
          <cell r="G418" t="str">
            <v>2.6</v>
          </cell>
          <cell r="H418" t="str">
            <v>MAT-2.6</v>
          </cell>
          <cell r="I418">
            <v>44279.999999999993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</row>
        <row r="420">
          <cell r="B420">
            <v>0</v>
          </cell>
          <cell r="C420">
            <v>0</v>
          </cell>
          <cell r="D420" t="str">
            <v xml:space="preserve">CAN </v>
          </cell>
          <cell r="E420" t="str">
            <v>DISTANCIA</v>
          </cell>
          <cell r="F420" t="str">
            <v>M3-Km / UN-KM</v>
          </cell>
          <cell r="G420" t="str">
            <v>TARIFA</v>
          </cell>
          <cell r="H420" t="str">
            <v>Valor-Unit.</v>
          </cell>
          <cell r="I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 t="str">
            <v>Sub-Total</v>
          </cell>
          <cell r="G424" t="str">
            <v>2.6</v>
          </cell>
          <cell r="H424" t="str">
            <v>TRAN-2.6</v>
          </cell>
          <cell r="I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B426">
            <v>0</v>
          </cell>
          <cell r="C426">
            <v>0</v>
          </cell>
          <cell r="D426" t="str">
            <v>JORNAL-HORA</v>
          </cell>
          <cell r="E426" t="str">
            <v>PRES</v>
          </cell>
          <cell r="F426" t="str">
            <v>Jornal Total</v>
          </cell>
          <cell r="G426" t="str">
            <v>Rendimiento</v>
          </cell>
          <cell r="H426" t="str">
            <v>Valor-Unit.</v>
          </cell>
          <cell r="I426">
            <v>0</v>
          </cell>
        </row>
        <row r="427">
          <cell r="B427" t="str">
            <v>MO004</v>
          </cell>
          <cell r="C427" t="str">
            <v>OFICIAL</v>
          </cell>
          <cell r="D427">
            <v>10270.602514022436</v>
          </cell>
          <cell r="E427">
            <v>0.56000000000000005</v>
          </cell>
          <cell r="F427">
            <v>16022.139921875001</v>
          </cell>
          <cell r="G427">
            <v>1</v>
          </cell>
          <cell r="H427">
            <v>16022.139921875001</v>
          </cell>
          <cell r="I427">
            <v>0</v>
          </cell>
        </row>
        <row r="428">
          <cell r="B428" t="str">
            <v>MO005</v>
          </cell>
          <cell r="C428" t="str">
            <v>AYUDANTE ENTENDIDO</v>
          </cell>
          <cell r="D428">
            <v>6411.5899439102559</v>
          </cell>
          <cell r="E428">
            <v>0.56000000000000005</v>
          </cell>
          <cell r="F428">
            <v>10002.0803125</v>
          </cell>
          <cell r="G428">
            <v>1</v>
          </cell>
          <cell r="H428">
            <v>10002.0803125</v>
          </cell>
          <cell r="I428">
            <v>0</v>
          </cell>
        </row>
        <row r="429">
          <cell r="B429" t="str">
            <v>MO006</v>
          </cell>
          <cell r="C429" t="str">
            <v>AYUDANTE</v>
          </cell>
          <cell r="D429">
            <v>4633.604176682692</v>
          </cell>
          <cell r="E429">
            <v>0.56000000000000005</v>
          </cell>
          <cell r="F429">
            <v>7228.4225156249995</v>
          </cell>
          <cell r="G429">
            <v>1</v>
          </cell>
          <cell r="H429">
            <v>7228.4225156249995</v>
          </cell>
          <cell r="I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 t="str">
            <v>Sub-Total</v>
          </cell>
          <cell r="G432" t="str">
            <v>2.6</v>
          </cell>
          <cell r="H432" t="str">
            <v>MDEO-2.6</v>
          </cell>
          <cell r="I432">
            <v>33252.642749999999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1662.6321375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 t="str">
            <v>Total Costo Directo</v>
          </cell>
          <cell r="G434">
            <v>0</v>
          </cell>
          <cell r="H434">
            <v>0</v>
          </cell>
          <cell r="I434">
            <v>79195</v>
          </cell>
        </row>
        <row r="435">
          <cell r="B435">
            <v>0</v>
          </cell>
          <cell r="C435">
            <v>0</v>
          </cell>
          <cell r="D435">
            <v>0</v>
          </cell>
          <cell r="E435" t="str">
            <v>PORCENTAJE</v>
          </cell>
          <cell r="F435">
            <v>0</v>
          </cell>
          <cell r="G435" t="str">
            <v>V. COSTO INDERECTO</v>
          </cell>
          <cell r="H435">
            <v>0</v>
          </cell>
          <cell r="I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0.02</v>
          </cell>
          <cell r="F436">
            <v>0</v>
          </cell>
          <cell r="G436">
            <v>1583.9</v>
          </cell>
          <cell r="H436">
            <v>0</v>
          </cell>
          <cell r="I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0.23</v>
          </cell>
          <cell r="F437">
            <v>0</v>
          </cell>
          <cell r="G437">
            <v>18214.850000000002</v>
          </cell>
          <cell r="H437">
            <v>0</v>
          </cell>
          <cell r="I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0.05</v>
          </cell>
          <cell r="F438">
            <v>0</v>
          </cell>
          <cell r="G438">
            <v>3959.75</v>
          </cell>
          <cell r="H438">
            <v>0</v>
          </cell>
          <cell r="I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0.02</v>
          </cell>
          <cell r="F439">
            <v>0</v>
          </cell>
          <cell r="G439">
            <v>1583.9</v>
          </cell>
          <cell r="H439">
            <v>0</v>
          </cell>
          <cell r="I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25342.400000000005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104537.40000000001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 t="str">
            <v>REVISA</v>
          </cell>
          <cell r="G443">
            <v>0</v>
          </cell>
          <cell r="H443">
            <v>0</v>
          </cell>
          <cell r="I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 t="str">
            <v>FIRMA:</v>
          </cell>
          <cell r="G444">
            <v>0</v>
          </cell>
          <cell r="H444">
            <v>0</v>
          </cell>
          <cell r="I444">
            <v>0</v>
          </cell>
        </row>
        <row r="445">
          <cell r="B445" t="str">
            <v>JHON EMIR GAMBOA MENA</v>
          </cell>
          <cell r="C445">
            <v>0</v>
          </cell>
          <cell r="F445" t="str">
            <v>NOMBRE</v>
          </cell>
          <cell r="G445">
            <v>0</v>
          </cell>
          <cell r="H445">
            <v>0</v>
          </cell>
          <cell r="I445">
            <v>0</v>
          </cell>
        </row>
        <row r="446">
          <cell r="B446" t="str">
            <v>05202-316814 ANT</v>
          </cell>
          <cell r="C446">
            <v>0</v>
          </cell>
          <cell r="F446" t="str">
            <v>MAT:</v>
          </cell>
          <cell r="G446">
            <v>0</v>
          </cell>
          <cell r="H446">
            <v>0</v>
          </cell>
          <cell r="I446">
            <v>0</v>
          </cell>
        </row>
        <row r="447">
          <cell r="B447">
            <v>0</v>
          </cell>
          <cell r="C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</row>
        <row r="452">
          <cell r="B452">
            <v>0</v>
          </cell>
          <cell r="C452" t="str">
            <v>DESCRIPCION:</v>
          </cell>
          <cell r="D452" t="e">
            <v>#N/A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</row>
        <row r="453">
          <cell r="B453" t="e">
            <v>#N/A</v>
          </cell>
          <cell r="C453">
            <v>0</v>
          </cell>
          <cell r="D453" t="str">
            <v>UNIDAD</v>
          </cell>
          <cell r="E453" t="str">
            <v>UNIDAD</v>
          </cell>
          <cell r="F453" t="str">
            <v>CANTIDAD</v>
          </cell>
          <cell r="G453" t="e">
            <v>#N/A</v>
          </cell>
          <cell r="H453" t="str">
            <v>V. UNITARIO:</v>
          </cell>
          <cell r="I453">
            <v>473515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 t="str">
            <v>Tarifa/Hora</v>
          </cell>
          <cell r="G455" t="str">
            <v>Rendimiento</v>
          </cell>
          <cell r="H455" t="str">
            <v>Valor-Unit.</v>
          </cell>
          <cell r="I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 t="str">
            <v>Sub-Total</v>
          </cell>
          <cell r="G460">
            <v>0</v>
          </cell>
          <cell r="H460">
            <v>0</v>
          </cell>
          <cell r="I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 t="str">
            <v>UNIDAD</v>
          </cell>
          <cell r="F462" t="str">
            <v>V.UNIT</v>
          </cell>
          <cell r="G462" t="str">
            <v>CANT</v>
          </cell>
          <cell r="H462" t="str">
            <v>V.TOTAL</v>
          </cell>
          <cell r="I462">
            <v>0</v>
          </cell>
        </row>
        <row r="463">
          <cell r="B463" t="str">
            <v>M016</v>
          </cell>
          <cell r="C463" t="str">
            <v>CONCRETO 2500 PSI</v>
          </cell>
          <cell r="D463">
            <v>0</v>
          </cell>
          <cell r="E463" t="str">
            <v>M3</v>
          </cell>
          <cell r="F463">
            <v>390000</v>
          </cell>
          <cell r="G463">
            <v>0.4</v>
          </cell>
          <cell r="H463">
            <v>156000</v>
          </cell>
          <cell r="I463">
            <v>0</v>
          </cell>
        </row>
        <row r="464">
          <cell r="B464" t="str">
            <v>M041</v>
          </cell>
          <cell r="C464" t="str">
            <v>REJILLA TIPO SUMIDERO</v>
          </cell>
          <cell r="D464">
            <v>0</v>
          </cell>
          <cell r="E464" t="str">
            <v>Unidad</v>
          </cell>
          <cell r="F464">
            <v>190000</v>
          </cell>
          <cell r="G464">
            <v>1</v>
          </cell>
          <cell r="H464">
            <v>190000</v>
          </cell>
          <cell r="I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 t="str">
            <v>Sub-Total</v>
          </cell>
          <cell r="G466">
            <v>0</v>
          </cell>
          <cell r="H466">
            <v>0</v>
          </cell>
          <cell r="I466">
            <v>346000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</row>
        <row r="468">
          <cell r="B468">
            <v>0</v>
          </cell>
          <cell r="C468">
            <v>0</v>
          </cell>
          <cell r="D468" t="str">
            <v xml:space="preserve">CAN </v>
          </cell>
          <cell r="E468" t="str">
            <v>DISTANCIA</v>
          </cell>
          <cell r="F468" t="str">
            <v>M3-Km / UN-KM</v>
          </cell>
          <cell r="G468" t="str">
            <v>TARIFA</v>
          </cell>
          <cell r="H468" t="str">
            <v>Valor-Unit.</v>
          </cell>
          <cell r="I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 t="str">
            <v>Sub-Total</v>
          </cell>
          <cell r="G472">
            <v>0</v>
          </cell>
          <cell r="H472">
            <v>0</v>
          </cell>
          <cell r="I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</row>
        <row r="474">
          <cell r="B474">
            <v>0</v>
          </cell>
          <cell r="C474">
            <v>0</v>
          </cell>
          <cell r="D474" t="str">
            <v>JORNAL-HORA</v>
          </cell>
          <cell r="E474" t="str">
            <v>PRES</v>
          </cell>
          <cell r="F474" t="str">
            <v>Jornal Total</v>
          </cell>
          <cell r="G474" t="str">
            <v>Rendimiento</v>
          </cell>
          <cell r="H474" t="str">
            <v>Valor-Unit.</v>
          </cell>
          <cell r="I474">
            <v>0</v>
          </cell>
        </row>
        <row r="475">
          <cell r="B475" t="str">
            <v>MO004</v>
          </cell>
          <cell r="C475" t="str">
            <v>OFICIAL</v>
          </cell>
          <cell r="D475">
            <v>10270.602514022436</v>
          </cell>
          <cell r="E475">
            <v>0.56000000000000005</v>
          </cell>
          <cell r="F475">
            <v>16022.139921875001</v>
          </cell>
          <cell r="G475">
            <v>3</v>
          </cell>
          <cell r="H475">
            <v>48066.419765625003</v>
          </cell>
          <cell r="I475">
            <v>0</v>
          </cell>
        </row>
        <row r="476">
          <cell r="B476" t="str">
            <v>MO005</v>
          </cell>
          <cell r="C476" t="str">
            <v>AYUDANTE ENTENDIDO</v>
          </cell>
          <cell r="D476">
            <v>6411.5899439102559</v>
          </cell>
          <cell r="E476">
            <v>0.56000000000000005</v>
          </cell>
          <cell r="F476">
            <v>10002.0803125</v>
          </cell>
          <cell r="G476">
            <v>3</v>
          </cell>
          <cell r="H476">
            <v>30006.240937499999</v>
          </cell>
          <cell r="I476">
            <v>0</v>
          </cell>
        </row>
        <row r="477">
          <cell r="B477" t="str">
            <v>MO006</v>
          </cell>
          <cell r="C477" t="str">
            <v>AYUDANTE</v>
          </cell>
          <cell r="D477">
            <v>4633.604176682692</v>
          </cell>
          <cell r="E477">
            <v>0.56000000000000005</v>
          </cell>
          <cell r="F477">
            <v>7228.4225156249995</v>
          </cell>
          <cell r="G477">
            <v>6</v>
          </cell>
          <cell r="H477">
            <v>43370.535093749997</v>
          </cell>
          <cell r="I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 t="str">
            <v>Sub-Total</v>
          </cell>
          <cell r="G480">
            <v>0</v>
          </cell>
          <cell r="H480">
            <v>0</v>
          </cell>
          <cell r="I480">
            <v>121443.19579687499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6072.1597898437503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 t="str">
            <v>Total Costo Directo</v>
          </cell>
          <cell r="G482">
            <v>0</v>
          </cell>
          <cell r="H482">
            <v>0</v>
          </cell>
          <cell r="I482">
            <v>473515</v>
          </cell>
        </row>
        <row r="483">
          <cell r="B483">
            <v>0</v>
          </cell>
          <cell r="C483">
            <v>0</v>
          </cell>
          <cell r="D483">
            <v>0</v>
          </cell>
          <cell r="E483" t="str">
            <v>PORCENTAJE</v>
          </cell>
          <cell r="F483">
            <v>0</v>
          </cell>
          <cell r="G483" t="str">
            <v>V. COSTO INDERECTO</v>
          </cell>
          <cell r="H483">
            <v>0</v>
          </cell>
          <cell r="I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0.02</v>
          </cell>
          <cell r="F484">
            <v>0</v>
          </cell>
          <cell r="G484">
            <v>9470.3000000000011</v>
          </cell>
          <cell r="H484">
            <v>0</v>
          </cell>
          <cell r="I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0.23</v>
          </cell>
          <cell r="F485">
            <v>0</v>
          </cell>
          <cell r="G485">
            <v>108908.45000000001</v>
          </cell>
          <cell r="H485">
            <v>0</v>
          </cell>
          <cell r="I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0.05</v>
          </cell>
          <cell r="F486">
            <v>0</v>
          </cell>
          <cell r="G486">
            <v>23675.75</v>
          </cell>
          <cell r="H486">
            <v>0</v>
          </cell>
          <cell r="I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0.02</v>
          </cell>
          <cell r="F487">
            <v>0</v>
          </cell>
          <cell r="G487">
            <v>9470.3000000000011</v>
          </cell>
          <cell r="H487">
            <v>0</v>
          </cell>
          <cell r="I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151524.79999999999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625039.80000000005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 t="str">
            <v>REVISA</v>
          </cell>
          <cell r="G491">
            <v>0</v>
          </cell>
          <cell r="H491">
            <v>0</v>
          </cell>
          <cell r="I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 t="str">
            <v>FIRMA:</v>
          </cell>
          <cell r="G492">
            <v>0</v>
          </cell>
          <cell r="H492">
            <v>0</v>
          </cell>
          <cell r="I492">
            <v>0</v>
          </cell>
        </row>
        <row r="493">
          <cell r="B493" t="str">
            <v>JHON EMIR GAMBOA MENA</v>
          </cell>
          <cell r="C493">
            <v>0</v>
          </cell>
          <cell r="F493" t="str">
            <v>NOMBRE</v>
          </cell>
          <cell r="G493">
            <v>0</v>
          </cell>
          <cell r="H493">
            <v>0</v>
          </cell>
          <cell r="I493">
            <v>0</v>
          </cell>
        </row>
        <row r="494">
          <cell r="B494" t="str">
            <v>05202-316814 ANT</v>
          </cell>
          <cell r="C494">
            <v>0</v>
          </cell>
          <cell r="F494" t="str">
            <v>MAT:</v>
          </cell>
          <cell r="G494">
            <v>0</v>
          </cell>
          <cell r="H494">
            <v>0</v>
          </cell>
          <cell r="I494">
            <v>0</v>
          </cell>
        </row>
        <row r="495">
          <cell r="B495">
            <v>0</v>
          </cell>
          <cell r="C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</row>
        <row r="500">
          <cell r="B500">
            <v>0</v>
          </cell>
          <cell r="C500" t="str">
            <v>DESCRIPCION:</v>
          </cell>
          <cell r="D500" t="e">
            <v>#N/A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</row>
        <row r="501">
          <cell r="B501" t="e">
            <v>#N/A</v>
          </cell>
          <cell r="C501">
            <v>0</v>
          </cell>
          <cell r="D501" t="str">
            <v>UNIDAD</v>
          </cell>
          <cell r="E501" t="str">
            <v>ML</v>
          </cell>
          <cell r="F501" t="str">
            <v>CANTIDAD</v>
          </cell>
          <cell r="G501" t="e">
            <v>#N/A</v>
          </cell>
          <cell r="H501" t="str">
            <v>V. UNITARIO:</v>
          </cell>
          <cell r="I501">
            <v>111245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 t="str">
            <v>Tarifa/Hora</v>
          </cell>
          <cell r="G503" t="str">
            <v>Rendimiento</v>
          </cell>
          <cell r="H503" t="str">
            <v>Valor-Unit.</v>
          </cell>
          <cell r="I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 t="str">
            <v>Sub-Total</v>
          </cell>
          <cell r="G508">
            <v>0</v>
          </cell>
          <cell r="H508">
            <v>0</v>
          </cell>
          <cell r="I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 t="str">
            <v>UNIDAD</v>
          </cell>
          <cell r="F510" t="str">
            <v>V.UNIT</v>
          </cell>
          <cell r="G510" t="str">
            <v>CANT</v>
          </cell>
          <cell r="H510" t="str">
            <v>V.TOTAL</v>
          </cell>
          <cell r="I510">
            <v>0</v>
          </cell>
        </row>
        <row r="511">
          <cell r="B511" t="str">
            <v>M063</v>
          </cell>
          <cell r="C511" t="str">
            <v>TUBERIA NOVAFORT 10"</v>
          </cell>
          <cell r="D511">
            <v>0</v>
          </cell>
          <cell r="E511" t="str">
            <v>ML</v>
          </cell>
          <cell r="F511">
            <v>76329.546666666662</v>
          </cell>
          <cell r="G511">
            <v>1</v>
          </cell>
          <cell r="H511">
            <v>76329.546666666662</v>
          </cell>
          <cell r="I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 t="str">
            <v>Sub-Total</v>
          </cell>
          <cell r="G514">
            <v>0</v>
          </cell>
          <cell r="H514">
            <v>0</v>
          </cell>
          <cell r="I514">
            <v>76329.546666666662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</row>
        <row r="516">
          <cell r="B516">
            <v>0</v>
          </cell>
          <cell r="C516">
            <v>0</v>
          </cell>
          <cell r="D516" t="str">
            <v xml:space="preserve">CAN </v>
          </cell>
          <cell r="E516" t="str">
            <v>DISTANCIA</v>
          </cell>
          <cell r="F516" t="str">
            <v>M3-Km / UN-KM</v>
          </cell>
          <cell r="G516" t="str">
            <v>TARIFA</v>
          </cell>
          <cell r="H516" t="str">
            <v>Valor-Unit.</v>
          </cell>
          <cell r="I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 t="str">
            <v>Sub-Total</v>
          </cell>
          <cell r="G520">
            <v>0</v>
          </cell>
          <cell r="H520">
            <v>0</v>
          </cell>
          <cell r="I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</row>
        <row r="522">
          <cell r="B522">
            <v>0</v>
          </cell>
          <cell r="C522">
            <v>0</v>
          </cell>
          <cell r="D522" t="str">
            <v>JORNAL-HORA</v>
          </cell>
          <cell r="E522" t="str">
            <v>PRES</v>
          </cell>
          <cell r="F522" t="str">
            <v>Jornal Total</v>
          </cell>
          <cell r="G522" t="str">
            <v>Rendimiento</v>
          </cell>
          <cell r="H522" t="str">
            <v>Valor-Unit.</v>
          </cell>
          <cell r="I522">
            <v>0</v>
          </cell>
        </row>
        <row r="523">
          <cell r="B523" t="str">
            <v>MO004</v>
          </cell>
          <cell r="C523" t="str">
            <v>OFICIAL</v>
          </cell>
          <cell r="D523">
            <v>10270.602514022436</v>
          </cell>
          <cell r="E523">
            <v>0.56000000000000005</v>
          </cell>
          <cell r="F523">
            <v>16022.139921875001</v>
          </cell>
          <cell r="G523">
            <v>1</v>
          </cell>
          <cell r="H523">
            <v>16022.139921875001</v>
          </cell>
          <cell r="I523">
            <v>0</v>
          </cell>
        </row>
        <row r="524">
          <cell r="B524" t="str">
            <v>MO005</v>
          </cell>
          <cell r="C524" t="str">
            <v>AYUDANTE ENTENDIDO</v>
          </cell>
          <cell r="D524">
            <v>6411.5899439102559</v>
          </cell>
          <cell r="E524">
            <v>0.56000000000000005</v>
          </cell>
          <cell r="F524">
            <v>10002.0803125</v>
          </cell>
          <cell r="G524">
            <v>1</v>
          </cell>
          <cell r="H524">
            <v>10002.0803125</v>
          </cell>
          <cell r="I524">
            <v>0</v>
          </cell>
        </row>
        <row r="525">
          <cell r="B525" t="str">
            <v>MO006</v>
          </cell>
          <cell r="C525" t="str">
            <v>AYUDANTE</v>
          </cell>
          <cell r="D525">
            <v>4633.604176682692</v>
          </cell>
          <cell r="E525">
            <v>0.56000000000000005</v>
          </cell>
          <cell r="F525">
            <v>7228.4225156249995</v>
          </cell>
          <cell r="G525">
            <v>1</v>
          </cell>
          <cell r="H525">
            <v>7228.4225156249995</v>
          </cell>
          <cell r="I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 t="str">
            <v>Sub-Total</v>
          </cell>
          <cell r="G528">
            <v>0</v>
          </cell>
          <cell r="H528">
            <v>0</v>
          </cell>
          <cell r="I528">
            <v>33252.642749999999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1662.6321375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 t="str">
            <v>Total Costo Directo</v>
          </cell>
          <cell r="G530">
            <v>0</v>
          </cell>
          <cell r="H530">
            <v>0</v>
          </cell>
          <cell r="I530">
            <v>111245</v>
          </cell>
        </row>
        <row r="531">
          <cell r="B531">
            <v>0</v>
          </cell>
          <cell r="C531">
            <v>0</v>
          </cell>
          <cell r="D531">
            <v>0</v>
          </cell>
          <cell r="E531" t="str">
            <v>PORCENTAJE</v>
          </cell>
          <cell r="F531">
            <v>0</v>
          </cell>
          <cell r="G531" t="str">
            <v>V. COSTO INDERECTO</v>
          </cell>
          <cell r="H531">
            <v>0</v>
          </cell>
          <cell r="I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0.02</v>
          </cell>
          <cell r="F532">
            <v>0</v>
          </cell>
          <cell r="G532">
            <v>2224.9</v>
          </cell>
          <cell r="H532">
            <v>0</v>
          </cell>
          <cell r="I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0.23</v>
          </cell>
          <cell r="F533">
            <v>0</v>
          </cell>
          <cell r="G533">
            <v>25586.350000000002</v>
          </cell>
          <cell r="H533">
            <v>0</v>
          </cell>
          <cell r="I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0.05</v>
          </cell>
          <cell r="F534">
            <v>0</v>
          </cell>
          <cell r="G534">
            <v>5562.25</v>
          </cell>
          <cell r="H534">
            <v>0</v>
          </cell>
          <cell r="I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0.02</v>
          </cell>
          <cell r="F535">
            <v>0</v>
          </cell>
          <cell r="G535">
            <v>2224.9</v>
          </cell>
          <cell r="H535">
            <v>0</v>
          </cell>
          <cell r="I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35598.400000000001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146843.4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 t="str">
            <v>REVISA</v>
          </cell>
          <cell r="G539">
            <v>0</v>
          </cell>
          <cell r="H539">
            <v>0</v>
          </cell>
          <cell r="I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 t="str">
            <v>FIRMA:</v>
          </cell>
          <cell r="G540">
            <v>0</v>
          </cell>
          <cell r="H540">
            <v>0</v>
          </cell>
          <cell r="I540">
            <v>0</v>
          </cell>
        </row>
        <row r="541">
          <cell r="B541" t="str">
            <v>JHON EMIR GAMBOA MENA</v>
          </cell>
          <cell r="C541">
            <v>0</v>
          </cell>
          <cell r="F541" t="str">
            <v>NOMBRE</v>
          </cell>
          <cell r="G541">
            <v>0</v>
          </cell>
          <cell r="H541">
            <v>0</v>
          </cell>
          <cell r="I541">
            <v>0</v>
          </cell>
        </row>
        <row r="542">
          <cell r="B542" t="str">
            <v>05202-316814 ANT</v>
          </cell>
          <cell r="C542">
            <v>0</v>
          </cell>
          <cell r="F542" t="str">
            <v>MAT:</v>
          </cell>
          <cell r="G542">
            <v>0</v>
          </cell>
          <cell r="H542">
            <v>0</v>
          </cell>
          <cell r="I542">
            <v>0</v>
          </cell>
        </row>
        <row r="543">
          <cell r="B543">
            <v>0</v>
          </cell>
          <cell r="C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I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</row>
        <row r="549">
          <cell r="B549">
            <v>0</v>
          </cell>
          <cell r="C549" t="str">
            <v>DESCRIPCION:</v>
          </cell>
          <cell r="D549" t="e">
            <v>#N/A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</row>
        <row r="550">
          <cell r="B550" t="e">
            <v>#N/A</v>
          </cell>
          <cell r="C550">
            <v>0</v>
          </cell>
          <cell r="D550" t="str">
            <v>UNIDAD</v>
          </cell>
          <cell r="E550" t="str">
            <v>ML</v>
          </cell>
          <cell r="F550" t="str">
            <v>CANTIDAD</v>
          </cell>
          <cell r="G550" t="e">
            <v>#N/A</v>
          </cell>
          <cell r="H550" t="str">
            <v>V. UNITARIO:</v>
          </cell>
          <cell r="I550">
            <v>170033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 t="str">
            <v>Tarifa/Hora</v>
          </cell>
          <cell r="G552" t="str">
            <v>Rendimiento</v>
          </cell>
          <cell r="H552" t="str">
            <v>Valor-Unit.</v>
          </cell>
          <cell r="I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 t="str">
            <v>Sub-Total</v>
          </cell>
          <cell r="G557">
            <v>0</v>
          </cell>
          <cell r="H557">
            <v>0</v>
          </cell>
          <cell r="I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 t="str">
            <v>UNIDAD</v>
          </cell>
          <cell r="F559" t="str">
            <v>V.UNIT</v>
          </cell>
          <cell r="G559" t="str">
            <v>CANT</v>
          </cell>
          <cell r="H559" t="str">
            <v>V.TOTAL</v>
          </cell>
          <cell r="I559">
            <v>0</v>
          </cell>
        </row>
        <row r="560">
          <cell r="B560" t="str">
            <v>M056</v>
          </cell>
          <cell r="C560" t="str">
            <v>TUBERIA NOVAFORT 14"</v>
          </cell>
          <cell r="D560">
            <v>0</v>
          </cell>
          <cell r="E560" t="str">
            <v>ML</v>
          </cell>
          <cell r="F560">
            <v>131626.55333333332</v>
          </cell>
          <cell r="G560">
            <v>1</v>
          </cell>
          <cell r="H560">
            <v>131626.55333333332</v>
          </cell>
          <cell r="I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 t="str">
            <v>Sub-Total</v>
          </cell>
          <cell r="G563">
            <v>0</v>
          </cell>
          <cell r="H563">
            <v>0</v>
          </cell>
          <cell r="I563">
            <v>131626.55333333332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</row>
        <row r="565">
          <cell r="B565">
            <v>0</v>
          </cell>
          <cell r="C565">
            <v>0</v>
          </cell>
          <cell r="D565" t="str">
            <v xml:space="preserve">CAN </v>
          </cell>
          <cell r="E565" t="str">
            <v>DISTANCIA</v>
          </cell>
          <cell r="F565" t="str">
            <v>M3-Km / UN-KM</v>
          </cell>
          <cell r="G565" t="str">
            <v>TARIFA</v>
          </cell>
          <cell r="H565" t="str">
            <v>Valor-Unit.</v>
          </cell>
          <cell r="I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 t="str">
            <v>Sub-Total</v>
          </cell>
          <cell r="G569">
            <v>0</v>
          </cell>
          <cell r="H569">
            <v>0</v>
          </cell>
          <cell r="I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B571">
            <v>0</v>
          </cell>
          <cell r="C571">
            <v>0</v>
          </cell>
          <cell r="D571" t="str">
            <v>JORNAL-HORA</v>
          </cell>
          <cell r="E571" t="str">
            <v>PRES</v>
          </cell>
          <cell r="F571" t="str">
            <v>Jornal Total</v>
          </cell>
          <cell r="G571" t="str">
            <v>Rendimiento</v>
          </cell>
          <cell r="H571" t="str">
            <v>Valor-Unit.</v>
          </cell>
          <cell r="I571">
            <v>0</v>
          </cell>
        </row>
        <row r="572">
          <cell r="B572" t="str">
            <v>MO004</v>
          </cell>
          <cell r="C572" t="str">
            <v>OFICIAL</v>
          </cell>
          <cell r="D572">
            <v>10270.602514022436</v>
          </cell>
          <cell r="E572">
            <v>0.56000000000000005</v>
          </cell>
          <cell r="F572">
            <v>16022.139921875001</v>
          </cell>
          <cell r="G572">
            <v>1.1000000000000001</v>
          </cell>
          <cell r="H572">
            <v>17624.353914062503</v>
          </cell>
          <cell r="I572">
            <v>0</v>
          </cell>
        </row>
        <row r="573">
          <cell r="B573" t="str">
            <v>MO005</v>
          </cell>
          <cell r="C573" t="str">
            <v>AYUDANTE ENTENDIDO</v>
          </cell>
          <cell r="D573">
            <v>6411.5899439102559</v>
          </cell>
          <cell r="E573">
            <v>0.56000000000000005</v>
          </cell>
          <cell r="F573">
            <v>10002.0803125</v>
          </cell>
          <cell r="G573">
            <v>1.1000000000000001</v>
          </cell>
          <cell r="H573">
            <v>11002.28834375</v>
          </cell>
          <cell r="I573">
            <v>0</v>
          </cell>
        </row>
        <row r="574">
          <cell r="B574" t="str">
            <v>MO006</v>
          </cell>
          <cell r="C574" t="str">
            <v>AYUDANTE</v>
          </cell>
          <cell r="D574">
            <v>4633.604176682692</v>
          </cell>
          <cell r="E574">
            <v>0.56000000000000005</v>
          </cell>
          <cell r="F574">
            <v>7228.4225156249995</v>
          </cell>
          <cell r="G574">
            <v>1.1000000000000001</v>
          </cell>
          <cell r="H574">
            <v>7951.2647671875002</v>
          </cell>
          <cell r="I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 t="str">
            <v>Sub-Total</v>
          </cell>
          <cell r="G576">
            <v>0</v>
          </cell>
          <cell r="H576">
            <v>0</v>
          </cell>
          <cell r="I576">
            <v>36577.907025000008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1828.8953512500004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 t="str">
            <v>Total Costo Directo</v>
          </cell>
          <cell r="G578">
            <v>0</v>
          </cell>
          <cell r="H578">
            <v>0</v>
          </cell>
          <cell r="I578">
            <v>170033</v>
          </cell>
        </row>
        <row r="579">
          <cell r="B579">
            <v>0</v>
          </cell>
          <cell r="C579">
            <v>0</v>
          </cell>
          <cell r="D579">
            <v>0</v>
          </cell>
          <cell r="E579" t="str">
            <v>PORCENTAJE</v>
          </cell>
          <cell r="F579">
            <v>0</v>
          </cell>
          <cell r="G579" t="str">
            <v>V. COSTO INDERECTO</v>
          </cell>
          <cell r="H579">
            <v>0</v>
          </cell>
          <cell r="I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0.02</v>
          </cell>
          <cell r="F580">
            <v>0</v>
          </cell>
          <cell r="G580">
            <v>3400.66</v>
          </cell>
          <cell r="H580">
            <v>0</v>
          </cell>
          <cell r="I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0.23</v>
          </cell>
          <cell r="F581">
            <v>0</v>
          </cell>
          <cell r="G581">
            <v>39107.590000000004</v>
          </cell>
          <cell r="H581">
            <v>0</v>
          </cell>
          <cell r="I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0.05</v>
          </cell>
          <cell r="F582">
            <v>0</v>
          </cell>
          <cell r="G582">
            <v>8501.65</v>
          </cell>
          <cell r="H582">
            <v>0</v>
          </cell>
          <cell r="I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0.02</v>
          </cell>
          <cell r="F583">
            <v>0</v>
          </cell>
          <cell r="G583">
            <v>3400.66</v>
          </cell>
          <cell r="H583">
            <v>0</v>
          </cell>
          <cell r="I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54410.559999999998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224443.56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 t="str">
            <v>REVISA</v>
          </cell>
          <cell r="G587">
            <v>0</v>
          </cell>
          <cell r="H587">
            <v>0</v>
          </cell>
          <cell r="I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 t="str">
            <v>FIRMA:</v>
          </cell>
          <cell r="G588">
            <v>0</v>
          </cell>
          <cell r="H588">
            <v>0</v>
          </cell>
          <cell r="I588">
            <v>0</v>
          </cell>
        </row>
        <row r="589">
          <cell r="B589" t="str">
            <v>JHON EMIR GAMBOA MENA</v>
          </cell>
          <cell r="C589">
            <v>0</v>
          </cell>
          <cell r="F589" t="str">
            <v>NOMBRE</v>
          </cell>
          <cell r="G589">
            <v>0</v>
          </cell>
          <cell r="H589">
            <v>0</v>
          </cell>
          <cell r="I589">
            <v>0</v>
          </cell>
        </row>
        <row r="590">
          <cell r="B590" t="str">
            <v>05202-316814 ANT</v>
          </cell>
          <cell r="C590">
            <v>0</v>
          </cell>
          <cell r="F590" t="str">
            <v>MAT:</v>
          </cell>
          <cell r="G590">
            <v>0</v>
          </cell>
          <cell r="H590">
            <v>0</v>
          </cell>
          <cell r="I590">
            <v>0</v>
          </cell>
        </row>
        <row r="591">
          <cell r="B591">
            <v>0</v>
          </cell>
          <cell r="C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</row>
        <row r="595">
          <cell r="I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</row>
        <row r="597">
          <cell r="B597">
            <v>0</v>
          </cell>
          <cell r="C597" t="str">
            <v>DESCRIPCION:</v>
          </cell>
          <cell r="D597" t="e">
            <v>#N/A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</row>
        <row r="598">
          <cell r="B598" t="e">
            <v>#N/A</v>
          </cell>
          <cell r="C598">
            <v>0</v>
          </cell>
          <cell r="D598" t="str">
            <v>UNIDAD</v>
          </cell>
          <cell r="E598" t="str">
            <v>ML</v>
          </cell>
          <cell r="F598" t="str">
            <v>CANTIDAD</v>
          </cell>
          <cell r="G598" t="e">
            <v>#N/A</v>
          </cell>
          <cell r="H598" t="str">
            <v>V. UNITARIO:</v>
          </cell>
          <cell r="I598">
            <v>223012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 t="str">
            <v>Tarifa/Hora</v>
          </cell>
          <cell r="G600" t="str">
            <v>Rendimiento</v>
          </cell>
          <cell r="H600" t="str">
            <v>Valor-Unit.</v>
          </cell>
          <cell r="I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 t="str">
            <v>Sub-Total</v>
          </cell>
          <cell r="G605">
            <v>0</v>
          </cell>
          <cell r="H605">
            <v>0</v>
          </cell>
          <cell r="I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 t="str">
            <v>UNIDAD</v>
          </cell>
          <cell r="F607" t="str">
            <v>V.UNIT</v>
          </cell>
          <cell r="G607" t="str">
            <v>CANT</v>
          </cell>
          <cell r="H607" t="str">
            <v>V.TOTAL</v>
          </cell>
          <cell r="I607">
            <v>0</v>
          </cell>
        </row>
        <row r="608">
          <cell r="B608" t="str">
            <v>M057</v>
          </cell>
          <cell r="C608" t="str">
            <v>TUBERIA NOVAFORT 16"</v>
          </cell>
          <cell r="D608">
            <v>0</v>
          </cell>
          <cell r="E608" t="str">
            <v>ML</v>
          </cell>
          <cell r="F608">
            <v>184605.68666666665</v>
          </cell>
          <cell r="G608">
            <v>1</v>
          </cell>
          <cell r="H608">
            <v>184605.68666666665</v>
          </cell>
          <cell r="I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>Sub-Total</v>
          </cell>
          <cell r="G611">
            <v>0</v>
          </cell>
          <cell r="H611">
            <v>0</v>
          </cell>
          <cell r="I611">
            <v>184605.68666666665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</row>
        <row r="613">
          <cell r="B613">
            <v>0</v>
          </cell>
          <cell r="C613">
            <v>0</v>
          </cell>
          <cell r="D613" t="str">
            <v xml:space="preserve">CAN </v>
          </cell>
          <cell r="E613" t="str">
            <v>DISTANCIA</v>
          </cell>
          <cell r="F613" t="str">
            <v>M3-Km / UN-KM</v>
          </cell>
          <cell r="G613" t="str">
            <v>TARIFA</v>
          </cell>
          <cell r="H613" t="str">
            <v>Valor-Unit.</v>
          </cell>
          <cell r="I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 t="str">
            <v>Sub-Total</v>
          </cell>
          <cell r="G617">
            <v>0</v>
          </cell>
          <cell r="H617">
            <v>0</v>
          </cell>
          <cell r="I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</row>
        <row r="619">
          <cell r="B619">
            <v>0</v>
          </cell>
          <cell r="C619">
            <v>0</v>
          </cell>
          <cell r="D619" t="str">
            <v>JORNAL-HORA</v>
          </cell>
          <cell r="E619" t="str">
            <v>PRES</v>
          </cell>
          <cell r="F619" t="str">
            <v>Jornal Total</v>
          </cell>
          <cell r="G619" t="str">
            <v>Rendimiento</v>
          </cell>
          <cell r="H619" t="str">
            <v>Valor-Unit.</v>
          </cell>
          <cell r="I619">
            <v>0</v>
          </cell>
        </row>
        <row r="620">
          <cell r="B620" t="str">
            <v>MO004</v>
          </cell>
          <cell r="C620" t="str">
            <v>OFICIAL</v>
          </cell>
          <cell r="D620">
            <v>10270.602514022436</v>
          </cell>
          <cell r="E620">
            <v>0.56000000000000005</v>
          </cell>
          <cell r="F620">
            <v>16022.139921875001</v>
          </cell>
          <cell r="G620">
            <v>1.1000000000000001</v>
          </cell>
          <cell r="H620">
            <v>17624.353914062503</v>
          </cell>
          <cell r="I620">
            <v>0</v>
          </cell>
        </row>
        <row r="621">
          <cell r="B621" t="str">
            <v>MO005</v>
          </cell>
          <cell r="C621" t="str">
            <v>AYUDANTE ENTENDIDO</v>
          </cell>
          <cell r="D621">
            <v>6411.5899439102559</v>
          </cell>
          <cell r="E621">
            <v>0.56000000000000005</v>
          </cell>
          <cell r="F621">
            <v>10002.0803125</v>
          </cell>
          <cell r="G621">
            <v>1.1000000000000001</v>
          </cell>
          <cell r="H621">
            <v>11002.28834375</v>
          </cell>
          <cell r="I621">
            <v>0</v>
          </cell>
        </row>
        <row r="622">
          <cell r="B622" t="str">
            <v>MO006</v>
          </cell>
          <cell r="C622" t="str">
            <v>AYUDANTE</v>
          </cell>
          <cell r="D622">
            <v>4633.604176682692</v>
          </cell>
          <cell r="E622">
            <v>0.56000000000000005</v>
          </cell>
          <cell r="F622">
            <v>7228.4225156249995</v>
          </cell>
          <cell r="G622">
            <v>1.1000000000000001</v>
          </cell>
          <cell r="H622">
            <v>7951.2647671875002</v>
          </cell>
          <cell r="I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 t="str">
            <v>Sub-Total</v>
          </cell>
          <cell r="G625">
            <v>0</v>
          </cell>
          <cell r="H625">
            <v>0</v>
          </cell>
          <cell r="I625">
            <v>36577.907025000008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1828.8953512500004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 t="str">
            <v>Total Costo Directo</v>
          </cell>
          <cell r="G627">
            <v>0</v>
          </cell>
          <cell r="H627">
            <v>0</v>
          </cell>
          <cell r="I627">
            <v>223012</v>
          </cell>
        </row>
        <row r="628">
          <cell r="B628">
            <v>0</v>
          </cell>
          <cell r="C628">
            <v>0</v>
          </cell>
          <cell r="D628">
            <v>0</v>
          </cell>
          <cell r="E628" t="str">
            <v>PORCENTAJE</v>
          </cell>
          <cell r="F628">
            <v>0</v>
          </cell>
          <cell r="G628" t="str">
            <v>V. COSTO INDERECTO</v>
          </cell>
          <cell r="H628">
            <v>0</v>
          </cell>
          <cell r="I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0.02</v>
          </cell>
          <cell r="F629">
            <v>0</v>
          </cell>
          <cell r="G629">
            <v>4460.24</v>
          </cell>
          <cell r="H629">
            <v>0</v>
          </cell>
          <cell r="I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0.23</v>
          </cell>
          <cell r="F630">
            <v>0</v>
          </cell>
          <cell r="G630">
            <v>51292.76</v>
          </cell>
          <cell r="H630">
            <v>0</v>
          </cell>
          <cell r="I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0.05</v>
          </cell>
          <cell r="F631">
            <v>0</v>
          </cell>
          <cell r="G631">
            <v>11150.6</v>
          </cell>
          <cell r="H631">
            <v>0</v>
          </cell>
          <cell r="I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0.02</v>
          </cell>
          <cell r="F632">
            <v>0</v>
          </cell>
          <cell r="G632">
            <v>4460.24</v>
          </cell>
          <cell r="H632">
            <v>0</v>
          </cell>
          <cell r="I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71363.840000000011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294375.84000000003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 t="str">
            <v>REVISA</v>
          </cell>
          <cell r="G636">
            <v>0</v>
          </cell>
          <cell r="H636">
            <v>0</v>
          </cell>
          <cell r="I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 t="str">
            <v>FIRMA:</v>
          </cell>
          <cell r="G637">
            <v>0</v>
          </cell>
          <cell r="H637">
            <v>0</v>
          </cell>
          <cell r="I637">
            <v>0</v>
          </cell>
        </row>
        <row r="638">
          <cell r="B638" t="str">
            <v>JHON EMIR GAMBOA MENA</v>
          </cell>
          <cell r="C638">
            <v>0</v>
          </cell>
          <cell r="F638" t="str">
            <v>NOMBRE</v>
          </cell>
          <cell r="G638">
            <v>0</v>
          </cell>
          <cell r="H638">
            <v>0</v>
          </cell>
          <cell r="I638">
            <v>0</v>
          </cell>
        </row>
        <row r="639">
          <cell r="B639" t="str">
            <v>05202-316814 ANT</v>
          </cell>
          <cell r="C639">
            <v>0</v>
          </cell>
          <cell r="F639" t="str">
            <v>MAT:</v>
          </cell>
          <cell r="G639">
            <v>0</v>
          </cell>
          <cell r="H639">
            <v>0</v>
          </cell>
          <cell r="I639">
            <v>0</v>
          </cell>
        </row>
        <row r="640">
          <cell r="B640">
            <v>0</v>
          </cell>
          <cell r="C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</row>
        <row r="644">
          <cell r="I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</row>
        <row r="646">
          <cell r="B646">
            <v>0</v>
          </cell>
          <cell r="C646" t="str">
            <v>DESCRIPCION:</v>
          </cell>
          <cell r="D646" t="e">
            <v>#N/A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</row>
        <row r="647">
          <cell r="B647" t="e">
            <v>#N/A</v>
          </cell>
          <cell r="C647">
            <v>0</v>
          </cell>
          <cell r="D647" t="str">
            <v>UNIDAD</v>
          </cell>
          <cell r="E647" t="str">
            <v>ML</v>
          </cell>
          <cell r="F647" t="str">
            <v>CANTIDAD</v>
          </cell>
          <cell r="G647" t="e">
            <v>#N/A</v>
          </cell>
          <cell r="H647" t="str">
            <v>V. UNITARIO:</v>
          </cell>
          <cell r="I647">
            <v>87176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 t="str">
            <v>Tarifa/Hora</v>
          </cell>
          <cell r="G649" t="str">
            <v>Rendimiento</v>
          </cell>
          <cell r="H649" t="str">
            <v>Valor-Unit.</v>
          </cell>
          <cell r="I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 t="str">
            <v>Sub-Total</v>
          </cell>
          <cell r="G654">
            <v>0</v>
          </cell>
          <cell r="H654" t="str">
            <v>EQUI-2.11</v>
          </cell>
          <cell r="I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 t="str">
            <v>UNIDAD</v>
          </cell>
          <cell r="F656" t="str">
            <v>V.UNIT</v>
          </cell>
          <cell r="G656" t="str">
            <v>CANT</v>
          </cell>
          <cell r="H656" t="str">
            <v>V.TOTAL</v>
          </cell>
          <cell r="I656">
            <v>0</v>
          </cell>
        </row>
        <row r="657">
          <cell r="B657" t="str">
            <v>M062</v>
          </cell>
          <cell r="C657" t="str">
            <v>TUBERIA NOVAFORT 8"</v>
          </cell>
          <cell r="D657">
            <v>0</v>
          </cell>
          <cell r="E657" t="str">
            <v>ML</v>
          </cell>
          <cell r="F657">
            <v>52260.706666666665</v>
          </cell>
          <cell r="G657">
            <v>1</v>
          </cell>
          <cell r="H657">
            <v>52260.706666666665</v>
          </cell>
          <cell r="I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 t="str">
            <v>Sub-Total</v>
          </cell>
          <cell r="G660">
            <v>0</v>
          </cell>
          <cell r="H660" t="str">
            <v>MAT-2.11</v>
          </cell>
          <cell r="I660">
            <v>52260.706666666665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</row>
        <row r="662">
          <cell r="B662">
            <v>0</v>
          </cell>
          <cell r="C662">
            <v>0</v>
          </cell>
          <cell r="D662" t="str">
            <v xml:space="preserve">CAN </v>
          </cell>
          <cell r="E662" t="str">
            <v>DISTANCIA</v>
          </cell>
          <cell r="F662" t="str">
            <v>M3-Km / UN-KM</v>
          </cell>
          <cell r="G662" t="str">
            <v>TARIFA</v>
          </cell>
          <cell r="H662" t="str">
            <v>Valor-Unit.</v>
          </cell>
          <cell r="I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 t="str">
            <v>Sub-Total</v>
          </cell>
          <cell r="G666">
            <v>0</v>
          </cell>
          <cell r="H666" t="str">
            <v>TRAN-2.11</v>
          </cell>
          <cell r="I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</row>
        <row r="668">
          <cell r="B668">
            <v>0</v>
          </cell>
          <cell r="C668">
            <v>0</v>
          </cell>
          <cell r="D668" t="str">
            <v>JORNAL-HORA</v>
          </cell>
          <cell r="E668" t="str">
            <v>PRES</v>
          </cell>
          <cell r="F668" t="str">
            <v>Jornal Total</v>
          </cell>
          <cell r="G668" t="str">
            <v>Rendimiento</v>
          </cell>
          <cell r="H668" t="str">
            <v>Valor-Unit.</v>
          </cell>
          <cell r="I668">
            <v>0</v>
          </cell>
        </row>
        <row r="669">
          <cell r="B669" t="str">
            <v>MO004</v>
          </cell>
          <cell r="C669" t="str">
            <v>OFICIAL</v>
          </cell>
          <cell r="D669">
            <v>10270.602514022436</v>
          </cell>
          <cell r="E669">
            <v>0.56000000000000005</v>
          </cell>
          <cell r="F669">
            <v>16022.139921875001</v>
          </cell>
          <cell r="G669">
            <v>1</v>
          </cell>
          <cell r="H669">
            <v>16022.139921875001</v>
          </cell>
          <cell r="I669">
            <v>0</v>
          </cell>
        </row>
        <row r="670">
          <cell r="B670" t="str">
            <v>MO005</v>
          </cell>
          <cell r="C670" t="str">
            <v>AYUDANTE ENTENDIDO</v>
          </cell>
          <cell r="D670">
            <v>6411.5899439102559</v>
          </cell>
          <cell r="E670">
            <v>0.56000000000000005</v>
          </cell>
          <cell r="F670">
            <v>10002.0803125</v>
          </cell>
          <cell r="G670">
            <v>1</v>
          </cell>
          <cell r="H670">
            <v>10002.0803125</v>
          </cell>
          <cell r="I670">
            <v>0</v>
          </cell>
        </row>
        <row r="671">
          <cell r="B671" t="str">
            <v>MO006</v>
          </cell>
          <cell r="C671" t="str">
            <v>AYUDANTE</v>
          </cell>
          <cell r="D671">
            <v>4633.604176682692</v>
          </cell>
          <cell r="E671">
            <v>0.56000000000000005</v>
          </cell>
          <cell r="F671">
            <v>7228.4225156249995</v>
          </cell>
          <cell r="G671">
            <v>1</v>
          </cell>
          <cell r="H671">
            <v>7228.4225156249995</v>
          </cell>
          <cell r="I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 t="str">
            <v>Sub-Total</v>
          </cell>
          <cell r="G674">
            <v>0</v>
          </cell>
          <cell r="H674" t="str">
            <v>MDEO-2.11</v>
          </cell>
          <cell r="I674">
            <v>33252.642749999999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1662.6321375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 t="str">
            <v>Total Costo Directo</v>
          </cell>
          <cell r="G676">
            <v>0</v>
          </cell>
          <cell r="H676">
            <v>0</v>
          </cell>
          <cell r="I676">
            <v>87176</v>
          </cell>
        </row>
        <row r="677">
          <cell r="B677">
            <v>0</v>
          </cell>
          <cell r="C677">
            <v>0</v>
          </cell>
          <cell r="D677">
            <v>0</v>
          </cell>
          <cell r="E677" t="str">
            <v>PORCENTAJE</v>
          </cell>
          <cell r="F677">
            <v>0</v>
          </cell>
          <cell r="G677" t="str">
            <v>V. COSTO INDERECTO</v>
          </cell>
          <cell r="H677">
            <v>0</v>
          </cell>
          <cell r="I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0.02</v>
          </cell>
          <cell r="F678">
            <v>0</v>
          </cell>
          <cell r="G678">
            <v>1743.52</v>
          </cell>
          <cell r="H678">
            <v>0</v>
          </cell>
          <cell r="I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0.23</v>
          </cell>
          <cell r="F679">
            <v>0</v>
          </cell>
          <cell r="G679">
            <v>20050.48</v>
          </cell>
          <cell r="H679">
            <v>0</v>
          </cell>
          <cell r="I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0.05</v>
          </cell>
          <cell r="F680">
            <v>0</v>
          </cell>
          <cell r="G680">
            <v>4358.8</v>
          </cell>
          <cell r="H680">
            <v>0</v>
          </cell>
          <cell r="I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0.02</v>
          </cell>
          <cell r="F681">
            <v>0</v>
          </cell>
          <cell r="G681">
            <v>1743.52</v>
          </cell>
          <cell r="H681">
            <v>0</v>
          </cell>
          <cell r="I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27896.32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115072.32000000001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 t="str">
            <v>REVISA</v>
          </cell>
          <cell r="G685">
            <v>0</v>
          </cell>
          <cell r="H685">
            <v>0</v>
          </cell>
          <cell r="I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 t="str">
            <v>FIRMA:</v>
          </cell>
          <cell r="G686">
            <v>0</v>
          </cell>
          <cell r="H686">
            <v>0</v>
          </cell>
          <cell r="I686">
            <v>0</v>
          </cell>
        </row>
        <row r="687">
          <cell r="B687" t="str">
            <v>JHON EMIR GAMBOA MENA</v>
          </cell>
          <cell r="C687">
            <v>0</v>
          </cell>
          <cell r="F687" t="str">
            <v>NOMBRE</v>
          </cell>
          <cell r="G687">
            <v>0</v>
          </cell>
          <cell r="H687">
            <v>0</v>
          </cell>
          <cell r="I687">
            <v>0</v>
          </cell>
        </row>
        <row r="688">
          <cell r="B688" t="str">
            <v>05202-316814 ANT</v>
          </cell>
          <cell r="C688">
            <v>0</v>
          </cell>
          <cell r="F688" t="str">
            <v>MAT:</v>
          </cell>
          <cell r="G688">
            <v>0</v>
          </cell>
          <cell r="H688">
            <v>0</v>
          </cell>
          <cell r="I688">
            <v>0</v>
          </cell>
        </row>
        <row r="689">
          <cell r="B689">
            <v>0</v>
          </cell>
          <cell r="C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</row>
        <row r="693">
          <cell r="I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</row>
        <row r="695">
          <cell r="B695">
            <v>0</v>
          </cell>
          <cell r="C695" t="str">
            <v>DESCRIPCION:</v>
          </cell>
          <cell r="D695" t="e">
            <v>#N/A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</row>
        <row r="696">
          <cell r="B696" t="e">
            <v>#N/A</v>
          </cell>
          <cell r="C696">
            <v>0</v>
          </cell>
          <cell r="D696" t="str">
            <v>UNIDAD</v>
          </cell>
          <cell r="E696" t="str">
            <v>ML</v>
          </cell>
          <cell r="F696" t="str">
            <v>CANTIDAD</v>
          </cell>
          <cell r="G696" t="e">
            <v>#N/A</v>
          </cell>
          <cell r="H696" t="str">
            <v>V. UNITARIO:</v>
          </cell>
          <cell r="I696">
            <v>83684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 t="str">
            <v>Tarifa/Hora</v>
          </cell>
          <cell r="G698" t="str">
            <v>Rendimiento</v>
          </cell>
          <cell r="H698" t="str">
            <v>Valor-Unit.</v>
          </cell>
          <cell r="I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 t="str">
            <v>Sub-Total</v>
          </cell>
          <cell r="G703">
            <v>0</v>
          </cell>
          <cell r="H703" t="str">
            <v>EQUI-2.12</v>
          </cell>
          <cell r="I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 t="str">
            <v>UNIDAD</v>
          </cell>
          <cell r="F705" t="str">
            <v>V.UNIT</v>
          </cell>
          <cell r="G705" t="str">
            <v>CANT</v>
          </cell>
          <cell r="H705" t="str">
            <v>V.TOTAL</v>
          </cell>
          <cell r="I705">
            <v>0</v>
          </cell>
        </row>
        <row r="706">
          <cell r="B706" t="str">
            <v>M062</v>
          </cell>
          <cell r="C706" t="str">
            <v>TUBERIA NOVAFORT 8"</v>
          </cell>
          <cell r="D706">
            <v>0</v>
          </cell>
          <cell r="E706" t="str">
            <v>ML</v>
          </cell>
          <cell r="F706">
            <v>52260.706666666665</v>
          </cell>
          <cell r="G706">
            <v>1</v>
          </cell>
          <cell r="H706">
            <v>52260.706666666665</v>
          </cell>
          <cell r="I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 t="str">
            <v>Sub-Total</v>
          </cell>
          <cell r="G710">
            <v>0</v>
          </cell>
          <cell r="H710" t="str">
            <v>MAT-2.12</v>
          </cell>
          <cell r="I710">
            <v>52260.706666666665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</row>
        <row r="712">
          <cell r="B712">
            <v>0</v>
          </cell>
          <cell r="C712">
            <v>0</v>
          </cell>
          <cell r="D712" t="str">
            <v xml:space="preserve">CAN </v>
          </cell>
          <cell r="E712" t="str">
            <v>DISTANCIA</v>
          </cell>
          <cell r="F712" t="str">
            <v>M3-Km / UN-KM</v>
          </cell>
          <cell r="G712" t="str">
            <v>TARIFA</v>
          </cell>
          <cell r="H712" t="str">
            <v>Valor-Unit.</v>
          </cell>
          <cell r="I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 t="str">
            <v>Sub-Total</v>
          </cell>
          <cell r="G716">
            <v>0</v>
          </cell>
          <cell r="H716" t="str">
            <v>TRAN-2.12</v>
          </cell>
          <cell r="I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</row>
        <row r="718">
          <cell r="B718">
            <v>0</v>
          </cell>
          <cell r="C718">
            <v>0</v>
          </cell>
          <cell r="D718" t="str">
            <v>JORNAL-HORA</v>
          </cell>
          <cell r="E718" t="str">
            <v>PRES</v>
          </cell>
          <cell r="F718" t="str">
            <v>Jornal Total</v>
          </cell>
          <cell r="G718" t="str">
            <v>Rendimiento</v>
          </cell>
          <cell r="H718" t="str">
            <v>Valor-Unit.</v>
          </cell>
          <cell r="I718">
            <v>0</v>
          </cell>
        </row>
        <row r="719">
          <cell r="B719" t="str">
            <v>MO004</v>
          </cell>
          <cell r="C719" t="str">
            <v>OFICIAL</v>
          </cell>
          <cell r="D719">
            <v>10270.602514022436</v>
          </cell>
          <cell r="E719">
            <v>0.56000000000000005</v>
          </cell>
          <cell r="F719">
            <v>16022.139921875001</v>
          </cell>
          <cell r="G719">
            <v>0.9</v>
          </cell>
          <cell r="H719">
            <v>14419.925929687501</v>
          </cell>
          <cell r="I719">
            <v>0</v>
          </cell>
        </row>
        <row r="720">
          <cell r="B720" t="str">
            <v>MO005</v>
          </cell>
          <cell r="C720" t="str">
            <v>AYUDANTE ENTENDIDO</v>
          </cell>
          <cell r="D720">
            <v>6411.5899439102559</v>
          </cell>
          <cell r="E720">
            <v>0.56000000000000005</v>
          </cell>
          <cell r="F720">
            <v>10002.0803125</v>
          </cell>
          <cell r="G720">
            <v>0.9</v>
          </cell>
          <cell r="H720">
            <v>9001.87228125</v>
          </cell>
          <cell r="I720">
            <v>0</v>
          </cell>
        </row>
        <row r="721">
          <cell r="B721" t="str">
            <v>MO006</v>
          </cell>
          <cell r="C721" t="str">
            <v>AYUDANTE</v>
          </cell>
          <cell r="D721">
            <v>4633.604176682692</v>
          </cell>
          <cell r="E721">
            <v>0.56000000000000005</v>
          </cell>
          <cell r="F721">
            <v>7228.4225156249995</v>
          </cell>
          <cell r="G721">
            <v>0.9</v>
          </cell>
          <cell r="H721">
            <v>6505.5802640624997</v>
          </cell>
          <cell r="I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 t="str">
            <v>Sub-Total</v>
          </cell>
          <cell r="G723">
            <v>0</v>
          </cell>
          <cell r="H723" t="str">
            <v>MDEO-2.12</v>
          </cell>
          <cell r="I723">
            <v>29927.378475000001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1496.3689237500002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 t="str">
            <v>Total Costo Directo</v>
          </cell>
          <cell r="G725">
            <v>0</v>
          </cell>
          <cell r="H725">
            <v>0</v>
          </cell>
          <cell r="I725">
            <v>83684</v>
          </cell>
        </row>
        <row r="726">
          <cell r="B726">
            <v>0</v>
          </cell>
          <cell r="C726">
            <v>0</v>
          </cell>
          <cell r="D726">
            <v>0</v>
          </cell>
          <cell r="E726" t="str">
            <v>PORCENTAJE</v>
          </cell>
          <cell r="F726">
            <v>0</v>
          </cell>
          <cell r="G726" t="str">
            <v>V. COSTO INDERECTO</v>
          </cell>
          <cell r="H726">
            <v>0</v>
          </cell>
          <cell r="I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0.02</v>
          </cell>
          <cell r="F727">
            <v>0</v>
          </cell>
          <cell r="G727">
            <v>1673.68</v>
          </cell>
          <cell r="H727">
            <v>0</v>
          </cell>
          <cell r="I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0.23</v>
          </cell>
          <cell r="F728">
            <v>0</v>
          </cell>
          <cell r="G728">
            <v>19247.32</v>
          </cell>
          <cell r="H728">
            <v>0</v>
          </cell>
          <cell r="I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0.05</v>
          </cell>
          <cell r="F729">
            <v>0</v>
          </cell>
          <cell r="G729">
            <v>4184.2</v>
          </cell>
          <cell r="H729">
            <v>0</v>
          </cell>
          <cell r="I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0.02</v>
          </cell>
          <cell r="F730">
            <v>0</v>
          </cell>
          <cell r="G730">
            <v>1673.68</v>
          </cell>
          <cell r="H730">
            <v>0</v>
          </cell>
          <cell r="I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26778.880000000001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110462.88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 t="str">
            <v>REVISA</v>
          </cell>
          <cell r="G734">
            <v>0</v>
          </cell>
          <cell r="H734">
            <v>0</v>
          </cell>
          <cell r="I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 t="str">
            <v>FIRMA:</v>
          </cell>
          <cell r="G735">
            <v>0</v>
          </cell>
          <cell r="H735">
            <v>0</v>
          </cell>
          <cell r="I735">
            <v>0</v>
          </cell>
        </row>
        <row r="736">
          <cell r="B736" t="str">
            <v>JHON EMIR GAMBOA MENA</v>
          </cell>
          <cell r="C736">
            <v>0</v>
          </cell>
          <cell r="F736" t="str">
            <v>NOMBRE</v>
          </cell>
          <cell r="G736">
            <v>0</v>
          </cell>
          <cell r="H736">
            <v>0</v>
          </cell>
          <cell r="I736">
            <v>0</v>
          </cell>
        </row>
        <row r="737">
          <cell r="B737" t="str">
            <v>05202-316814 ANT</v>
          </cell>
          <cell r="C737">
            <v>0</v>
          </cell>
          <cell r="F737" t="str">
            <v>MAT:</v>
          </cell>
          <cell r="G737">
            <v>0</v>
          </cell>
          <cell r="H737">
            <v>0</v>
          </cell>
          <cell r="I737">
            <v>0</v>
          </cell>
        </row>
        <row r="738">
          <cell r="B738">
            <v>0</v>
          </cell>
          <cell r="C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I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</row>
        <row r="744">
          <cell r="B744">
            <v>0</v>
          </cell>
          <cell r="C744" t="str">
            <v>DESCRIPCION:</v>
          </cell>
          <cell r="D744" t="e">
            <v>#N/A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B745" t="e">
            <v>#N/A</v>
          </cell>
          <cell r="C745">
            <v>0</v>
          </cell>
          <cell r="D745" t="str">
            <v>UNIDAD</v>
          </cell>
          <cell r="E745" t="str">
            <v>UNIDAD</v>
          </cell>
          <cell r="F745" t="str">
            <v>CANTIDAD</v>
          </cell>
          <cell r="G745" t="e">
            <v>#N/A</v>
          </cell>
          <cell r="H745" t="str">
            <v>V. UNITARIO:</v>
          </cell>
          <cell r="I745">
            <v>1720221</v>
          </cell>
        </row>
        <row r="746"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 t="str">
            <v>Tarifa/Hora</v>
          </cell>
          <cell r="G747" t="str">
            <v>Rendimiento</v>
          </cell>
          <cell r="H747" t="str">
            <v>Valor-Unit.</v>
          </cell>
          <cell r="I747">
            <v>0</v>
          </cell>
        </row>
        <row r="748">
          <cell r="B748" t="str">
            <v>E016</v>
          </cell>
          <cell r="C748" t="str">
            <v>FORMALETA PARA CILINDRO</v>
          </cell>
          <cell r="D748">
            <v>0</v>
          </cell>
          <cell r="E748" t="str">
            <v>HORA</v>
          </cell>
          <cell r="F748">
            <v>7500</v>
          </cell>
          <cell r="G748">
            <v>8</v>
          </cell>
          <cell r="H748">
            <v>60000</v>
          </cell>
          <cell r="I748">
            <v>0</v>
          </cell>
        </row>
        <row r="749">
          <cell r="B749" t="str">
            <v>E017</v>
          </cell>
          <cell r="C749" t="str">
            <v>FORMALETA PARA CONO</v>
          </cell>
          <cell r="D749">
            <v>0</v>
          </cell>
          <cell r="E749" t="str">
            <v>HORA</v>
          </cell>
          <cell r="F749">
            <v>7500</v>
          </cell>
          <cell r="G749">
            <v>8</v>
          </cell>
          <cell r="H749">
            <v>60000</v>
          </cell>
          <cell r="I749">
            <v>0</v>
          </cell>
        </row>
        <row r="750"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 t="str">
            <v>Sub-Total</v>
          </cell>
          <cell r="G752">
            <v>0</v>
          </cell>
          <cell r="H752" t="str">
            <v>EQUI-2.13</v>
          </cell>
          <cell r="I752">
            <v>120000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 t="str">
            <v>UNIDAD</v>
          </cell>
          <cell r="F754" t="str">
            <v>V.UNIT</v>
          </cell>
          <cell r="G754" t="str">
            <v>CANT</v>
          </cell>
          <cell r="H754" t="str">
            <v>V.TOTAL</v>
          </cell>
          <cell r="I754">
            <v>0</v>
          </cell>
        </row>
        <row r="755">
          <cell r="B755" t="str">
            <v>M064</v>
          </cell>
          <cell r="C755" t="str">
            <v>CONCRETO 3000 PSI</v>
          </cell>
          <cell r="D755">
            <v>0</v>
          </cell>
          <cell r="E755" t="str">
            <v>M3</v>
          </cell>
          <cell r="F755">
            <v>410000</v>
          </cell>
          <cell r="G755">
            <v>2.5</v>
          </cell>
          <cell r="H755">
            <v>1025000</v>
          </cell>
          <cell r="I755">
            <v>0</v>
          </cell>
        </row>
        <row r="756">
          <cell r="B756" t="str">
            <v>M029</v>
          </cell>
          <cell r="C756">
            <v>0</v>
          </cell>
          <cell r="D756">
            <v>0</v>
          </cell>
          <cell r="E756" t="str">
            <v>Unidad</v>
          </cell>
          <cell r="F756">
            <v>220000</v>
          </cell>
          <cell r="G756">
            <v>1</v>
          </cell>
          <cell r="H756">
            <v>220000</v>
          </cell>
          <cell r="I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 t="str">
            <v>Sub-Total</v>
          </cell>
          <cell r="G759">
            <v>0</v>
          </cell>
          <cell r="H759" t="str">
            <v>MAT-2.13</v>
          </cell>
          <cell r="I759">
            <v>1245000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</row>
        <row r="761">
          <cell r="B761">
            <v>0</v>
          </cell>
          <cell r="C761">
            <v>0</v>
          </cell>
          <cell r="D761" t="str">
            <v xml:space="preserve">CAN </v>
          </cell>
          <cell r="E761" t="str">
            <v>DISTANCIA</v>
          </cell>
          <cell r="F761" t="str">
            <v>M3-Km / UN-KM</v>
          </cell>
          <cell r="G761" t="str">
            <v>TARIFA</v>
          </cell>
          <cell r="H761" t="str">
            <v>Valor-Unit.</v>
          </cell>
          <cell r="I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</row>
        <row r="765"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 t="str">
            <v>Sub-Total</v>
          </cell>
          <cell r="G765">
            <v>0</v>
          </cell>
          <cell r="H765" t="str">
            <v>TRAN-2.13</v>
          </cell>
          <cell r="I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</row>
        <row r="767">
          <cell r="B767">
            <v>0</v>
          </cell>
          <cell r="C767">
            <v>0</v>
          </cell>
          <cell r="D767" t="str">
            <v>JORNAL-HORA</v>
          </cell>
          <cell r="E767" t="str">
            <v>PRES</v>
          </cell>
          <cell r="F767" t="str">
            <v>Jornal Total</v>
          </cell>
          <cell r="G767" t="str">
            <v>Rendimiento</v>
          </cell>
          <cell r="H767" t="str">
            <v>Valor-Unit.</v>
          </cell>
          <cell r="I767">
            <v>0</v>
          </cell>
        </row>
        <row r="768">
          <cell r="B768" t="str">
            <v>MO004</v>
          </cell>
          <cell r="C768" t="str">
            <v>OFICIAL</v>
          </cell>
          <cell r="D768">
            <v>10270.602514022436</v>
          </cell>
          <cell r="E768">
            <v>0.56000000000000005</v>
          </cell>
          <cell r="F768">
            <v>16022.139921875001</v>
          </cell>
          <cell r="G768">
            <v>8</v>
          </cell>
          <cell r="H768">
            <v>128177.11937500001</v>
          </cell>
          <cell r="I768">
            <v>0</v>
          </cell>
        </row>
        <row r="769">
          <cell r="B769" t="str">
            <v>MO005</v>
          </cell>
          <cell r="C769" t="str">
            <v>AYUDANTE ENTENDIDO</v>
          </cell>
          <cell r="D769">
            <v>6411.5899439102559</v>
          </cell>
          <cell r="E769">
            <v>0.56000000000000005</v>
          </cell>
          <cell r="F769">
            <v>10002.0803125</v>
          </cell>
          <cell r="G769">
            <v>8</v>
          </cell>
          <cell r="H769">
            <v>80016.642500000002</v>
          </cell>
          <cell r="I769">
            <v>0</v>
          </cell>
        </row>
        <row r="770">
          <cell r="B770" t="str">
            <v>MO006</v>
          </cell>
          <cell r="C770" t="str">
            <v>AYUDANTE</v>
          </cell>
          <cell r="D770">
            <v>4633.604176682692</v>
          </cell>
          <cell r="E770">
            <v>0.56000000000000005</v>
          </cell>
          <cell r="F770">
            <v>7228.4225156249995</v>
          </cell>
          <cell r="G770">
            <v>18</v>
          </cell>
          <cell r="H770">
            <v>130111.60528125</v>
          </cell>
          <cell r="I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 t="str">
            <v>Sub-Total</v>
          </cell>
          <cell r="G773">
            <v>0</v>
          </cell>
          <cell r="H773" t="str">
            <v>MDEO-2.13</v>
          </cell>
          <cell r="I773">
            <v>338305.36715625005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16915.268357812503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 t="str">
            <v>Total Costo Directo</v>
          </cell>
          <cell r="G775">
            <v>0</v>
          </cell>
          <cell r="H775">
            <v>0</v>
          </cell>
          <cell r="I775">
            <v>1720221</v>
          </cell>
        </row>
        <row r="776">
          <cell r="B776">
            <v>0</v>
          </cell>
          <cell r="C776">
            <v>0</v>
          </cell>
          <cell r="D776">
            <v>0</v>
          </cell>
          <cell r="E776" t="str">
            <v>PORCENTAJE</v>
          </cell>
          <cell r="F776">
            <v>0</v>
          </cell>
          <cell r="G776" t="str">
            <v>V. COSTO INDERECTO</v>
          </cell>
          <cell r="H776">
            <v>0</v>
          </cell>
          <cell r="I776">
            <v>0</v>
          </cell>
        </row>
        <row r="777">
          <cell r="B777">
            <v>0</v>
          </cell>
          <cell r="C777">
            <v>0</v>
          </cell>
          <cell r="D777">
            <v>0</v>
          </cell>
          <cell r="E777">
            <v>0.02</v>
          </cell>
          <cell r="F777">
            <v>0</v>
          </cell>
          <cell r="G777">
            <v>34404.42</v>
          </cell>
          <cell r="H777">
            <v>0</v>
          </cell>
          <cell r="I777">
            <v>0</v>
          </cell>
        </row>
        <row r="778">
          <cell r="B778">
            <v>0</v>
          </cell>
          <cell r="C778">
            <v>0</v>
          </cell>
          <cell r="D778">
            <v>0</v>
          </cell>
          <cell r="E778">
            <v>0.23</v>
          </cell>
          <cell r="F778">
            <v>0</v>
          </cell>
          <cell r="G778">
            <v>395650.83</v>
          </cell>
          <cell r="H778">
            <v>0</v>
          </cell>
          <cell r="I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0.05</v>
          </cell>
          <cell r="F779">
            <v>0</v>
          </cell>
          <cell r="G779">
            <v>86011.05</v>
          </cell>
          <cell r="H779">
            <v>0</v>
          </cell>
          <cell r="I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0.02</v>
          </cell>
          <cell r="F780">
            <v>0</v>
          </cell>
          <cell r="G780">
            <v>34404.42</v>
          </cell>
          <cell r="H780">
            <v>0</v>
          </cell>
          <cell r="I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550470.72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2270691.7199999997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 t="str">
            <v>REVISA</v>
          </cell>
          <cell r="G784">
            <v>0</v>
          </cell>
          <cell r="H784">
            <v>0</v>
          </cell>
          <cell r="I784">
            <v>0</v>
          </cell>
        </row>
        <row r="785"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 t="str">
            <v>FIRMA:</v>
          </cell>
          <cell r="G785">
            <v>0</v>
          </cell>
          <cell r="H785">
            <v>0</v>
          </cell>
          <cell r="I785">
            <v>0</v>
          </cell>
        </row>
        <row r="786">
          <cell r="B786" t="str">
            <v>JHON EMIR GAMBOA MENA</v>
          </cell>
          <cell r="C786">
            <v>0</v>
          </cell>
          <cell r="F786" t="str">
            <v>NOMBRE</v>
          </cell>
          <cell r="G786">
            <v>0</v>
          </cell>
          <cell r="H786">
            <v>0</v>
          </cell>
          <cell r="I786">
            <v>0</v>
          </cell>
        </row>
        <row r="787">
          <cell r="B787" t="str">
            <v>05202-316814 ANT</v>
          </cell>
          <cell r="C787">
            <v>0</v>
          </cell>
          <cell r="F787" t="str">
            <v>MAT:</v>
          </cell>
          <cell r="G787">
            <v>0</v>
          </cell>
          <cell r="H787">
            <v>0</v>
          </cell>
          <cell r="I787">
            <v>0</v>
          </cell>
        </row>
        <row r="788">
          <cell r="B788">
            <v>0</v>
          </cell>
          <cell r="C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</row>
        <row r="793">
          <cell r="B793">
            <v>0</v>
          </cell>
          <cell r="C793" t="str">
            <v>DESCRIPCION:</v>
          </cell>
          <cell r="D793" t="e">
            <v>#N/A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</row>
        <row r="794">
          <cell r="B794" t="e">
            <v>#N/A</v>
          </cell>
          <cell r="C794">
            <v>0</v>
          </cell>
          <cell r="D794" t="str">
            <v>UNIDAD</v>
          </cell>
          <cell r="E794" t="str">
            <v>M3</v>
          </cell>
          <cell r="F794" t="str">
            <v>CANTIDAD</v>
          </cell>
          <cell r="G794" t="e">
            <v>#N/A</v>
          </cell>
          <cell r="H794" t="str">
            <v>V. UNITARIO:</v>
          </cell>
          <cell r="I794">
            <v>100703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 t="str">
            <v>Tarifa/Hora</v>
          </cell>
          <cell r="G796" t="str">
            <v>Rendimiento</v>
          </cell>
          <cell r="H796" t="str">
            <v>Valor-Unit.</v>
          </cell>
          <cell r="I796">
            <v>0</v>
          </cell>
        </row>
        <row r="797">
          <cell r="B797" t="str">
            <v>E001</v>
          </cell>
          <cell r="C797" t="str">
            <v>COMPACTADOR TIPO CANGURO</v>
          </cell>
          <cell r="D797">
            <v>0</v>
          </cell>
          <cell r="E797" t="str">
            <v>HORA</v>
          </cell>
          <cell r="F797">
            <v>7500</v>
          </cell>
          <cell r="G797">
            <v>0.3</v>
          </cell>
          <cell r="H797">
            <v>2250</v>
          </cell>
          <cell r="I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 t="str">
            <v>Sub-Total</v>
          </cell>
          <cell r="G801">
            <v>0</v>
          </cell>
          <cell r="H801" t="str">
            <v>EQUI-2.14</v>
          </cell>
          <cell r="I801">
            <v>2250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 t="str">
            <v>UNIDAD</v>
          </cell>
          <cell r="F803" t="str">
            <v>V.UNIT</v>
          </cell>
          <cell r="G803" t="str">
            <v>CANT</v>
          </cell>
          <cell r="H803" t="str">
            <v>V.TOTAL</v>
          </cell>
          <cell r="I803">
            <v>0</v>
          </cell>
        </row>
        <row r="804">
          <cell r="B804" t="str">
            <v>M033</v>
          </cell>
          <cell r="C804" t="str">
            <v>MATERIAL GRANULAR DE PRESTAMO</v>
          </cell>
          <cell r="D804">
            <v>0</v>
          </cell>
          <cell r="E804" t="str">
            <v>M3</v>
          </cell>
          <cell r="F804">
            <v>30000</v>
          </cell>
          <cell r="G804">
            <v>1.1000000000000001</v>
          </cell>
          <cell r="H804">
            <v>33000</v>
          </cell>
          <cell r="I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 t="str">
            <v>Sub-Total</v>
          </cell>
          <cell r="G808">
            <v>0</v>
          </cell>
          <cell r="H808" t="str">
            <v>MAT-2.14</v>
          </cell>
          <cell r="I808">
            <v>33000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</row>
        <row r="810">
          <cell r="B810">
            <v>0</v>
          </cell>
          <cell r="C810">
            <v>0</v>
          </cell>
          <cell r="D810" t="str">
            <v xml:space="preserve">CAN </v>
          </cell>
          <cell r="E810" t="str">
            <v>DISTANCIA</v>
          </cell>
          <cell r="F810" t="str">
            <v>M3-Km / UN-KM</v>
          </cell>
          <cell r="G810" t="str">
            <v>TARIFA</v>
          </cell>
          <cell r="H810" t="str">
            <v>Valor-Unit.</v>
          </cell>
          <cell r="I810">
            <v>0</v>
          </cell>
        </row>
        <row r="811">
          <cell r="B811" t="str">
            <v>T008</v>
          </cell>
          <cell r="C811" t="str">
            <v>TRANS MATERIAL &gt; 10 KM</v>
          </cell>
          <cell r="D811">
            <v>1.1000000000000001</v>
          </cell>
          <cell r="E811">
            <v>49</v>
          </cell>
          <cell r="F811">
            <v>53.900000000000006</v>
          </cell>
          <cell r="G811">
            <v>1020</v>
          </cell>
          <cell r="H811">
            <v>54978.000000000007</v>
          </cell>
          <cell r="I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</row>
        <row r="814"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 t="str">
            <v>Sub-Total</v>
          </cell>
          <cell r="G814">
            <v>0</v>
          </cell>
          <cell r="H814" t="str">
            <v>TRAN-2.14</v>
          </cell>
          <cell r="I814">
            <v>54978.000000000007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</row>
        <row r="816">
          <cell r="B816">
            <v>0</v>
          </cell>
          <cell r="C816">
            <v>0</v>
          </cell>
          <cell r="D816" t="str">
            <v>JORNAL-HORA</v>
          </cell>
          <cell r="E816" t="str">
            <v>PRES</v>
          </cell>
          <cell r="F816" t="str">
            <v>Jornal Total</v>
          </cell>
          <cell r="G816" t="str">
            <v>Rendimiento</v>
          </cell>
          <cell r="H816" t="str">
            <v>Valor-Unit.</v>
          </cell>
          <cell r="I816">
            <v>0</v>
          </cell>
        </row>
        <row r="817">
          <cell r="B817" t="str">
            <v>MO004</v>
          </cell>
          <cell r="C817" t="str">
            <v>OFICIAL</v>
          </cell>
          <cell r="D817">
            <v>10270.602514022436</v>
          </cell>
          <cell r="E817">
            <v>0.56000000000000005</v>
          </cell>
          <cell r="F817">
            <v>16022.139921875001</v>
          </cell>
          <cell r="G817">
            <v>0.3</v>
          </cell>
          <cell r="H817">
            <v>4806.6419765625005</v>
          </cell>
          <cell r="I817">
            <v>0</v>
          </cell>
        </row>
        <row r="818">
          <cell r="B818" t="str">
            <v>MO005</v>
          </cell>
          <cell r="C818" t="str">
            <v>AYUDANTE ENTENDIDO</v>
          </cell>
          <cell r="D818">
            <v>6411.5899439102559</v>
          </cell>
          <cell r="E818">
            <v>0.56000000000000005</v>
          </cell>
          <cell r="F818">
            <v>10002.0803125</v>
          </cell>
          <cell r="G818">
            <v>0.3</v>
          </cell>
          <cell r="H818">
            <v>3000.6240937500002</v>
          </cell>
          <cell r="I818">
            <v>0</v>
          </cell>
        </row>
        <row r="819">
          <cell r="B819" t="str">
            <v>MO006</v>
          </cell>
          <cell r="C819" t="str">
            <v>AYUDANTE</v>
          </cell>
          <cell r="D819">
            <v>4633.604176682692</v>
          </cell>
          <cell r="E819">
            <v>0.56000000000000005</v>
          </cell>
          <cell r="F819">
            <v>7228.4225156249995</v>
          </cell>
          <cell r="G819">
            <v>0.3</v>
          </cell>
          <cell r="H819">
            <v>2168.5267546874998</v>
          </cell>
          <cell r="I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 t="str">
            <v>Sub-Total</v>
          </cell>
          <cell r="G822">
            <v>0</v>
          </cell>
          <cell r="H822" t="str">
            <v>MDEO-2.14</v>
          </cell>
          <cell r="I822">
            <v>9975.7928250000004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498.78964125000005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 t="str">
            <v>Total Costo Directo</v>
          </cell>
          <cell r="G824">
            <v>0</v>
          </cell>
          <cell r="H824">
            <v>0</v>
          </cell>
          <cell r="I824">
            <v>100703</v>
          </cell>
        </row>
        <row r="825">
          <cell r="B825">
            <v>0</v>
          </cell>
          <cell r="C825">
            <v>0</v>
          </cell>
          <cell r="D825">
            <v>0</v>
          </cell>
          <cell r="E825" t="str">
            <v>PORCENTAJE</v>
          </cell>
          <cell r="F825">
            <v>0</v>
          </cell>
          <cell r="G825" t="str">
            <v>V. COSTO INDERECTO</v>
          </cell>
          <cell r="H825">
            <v>0</v>
          </cell>
          <cell r="I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0.02</v>
          </cell>
          <cell r="F826">
            <v>0</v>
          </cell>
          <cell r="G826">
            <v>2014.06</v>
          </cell>
          <cell r="H826">
            <v>0</v>
          </cell>
          <cell r="I826">
            <v>0</v>
          </cell>
        </row>
        <row r="827">
          <cell r="B827">
            <v>0</v>
          </cell>
          <cell r="C827">
            <v>0</v>
          </cell>
          <cell r="D827">
            <v>0</v>
          </cell>
          <cell r="E827">
            <v>0.23</v>
          </cell>
          <cell r="F827">
            <v>0</v>
          </cell>
          <cell r="G827">
            <v>23161.690000000002</v>
          </cell>
          <cell r="H827">
            <v>0</v>
          </cell>
          <cell r="I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0.05</v>
          </cell>
          <cell r="F828">
            <v>0</v>
          </cell>
          <cell r="G828">
            <v>5035.1500000000005</v>
          </cell>
          <cell r="H828">
            <v>0</v>
          </cell>
          <cell r="I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0.02</v>
          </cell>
          <cell r="F829">
            <v>0</v>
          </cell>
          <cell r="G829">
            <v>2014.06</v>
          </cell>
          <cell r="H829">
            <v>0</v>
          </cell>
          <cell r="I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32224.960000000006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132927.96000000002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 t="str">
            <v>REVISA</v>
          </cell>
          <cell r="G833">
            <v>0</v>
          </cell>
          <cell r="H833">
            <v>0</v>
          </cell>
          <cell r="I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 t="str">
            <v>FIRMA:</v>
          </cell>
          <cell r="G834">
            <v>0</v>
          </cell>
          <cell r="H834">
            <v>0</v>
          </cell>
          <cell r="I834">
            <v>0</v>
          </cell>
        </row>
        <row r="835">
          <cell r="B835" t="str">
            <v>JHON EMIR GAMBOA MENA</v>
          </cell>
          <cell r="C835">
            <v>0</v>
          </cell>
          <cell r="F835" t="str">
            <v>NOMBRE</v>
          </cell>
          <cell r="G835">
            <v>0</v>
          </cell>
          <cell r="H835">
            <v>0</v>
          </cell>
          <cell r="I835">
            <v>0</v>
          </cell>
        </row>
        <row r="836">
          <cell r="B836" t="str">
            <v>05202-316814 ANT</v>
          </cell>
          <cell r="C836">
            <v>0</v>
          </cell>
          <cell r="F836" t="str">
            <v>MAT:</v>
          </cell>
          <cell r="G836">
            <v>0</v>
          </cell>
          <cell r="H836">
            <v>0</v>
          </cell>
          <cell r="I836">
            <v>0</v>
          </cell>
        </row>
        <row r="837">
          <cell r="B837">
            <v>0</v>
          </cell>
          <cell r="C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</row>
        <row r="842">
          <cell r="B842">
            <v>0</v>
          </cell>
          <cell r="C842" t="str">
            <v>DESCRIPCION:</v>
          </cell>
          <cell r="D842" t="e">
            <v>#N/A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</row>
        <row r="843">
          <cell r="B843" t="e">
            <v>#N/A</v>
          </cell>
          <cell r="C843">
            <v>0</v>
          </cell>
          <cell r="D843" t="str">
            <v>UNIDAD</v>
          </cell>
          <cell r="E843" t="str">
            <v>M3</v>
          </cell>
          <cell r="F843" t="str">
            <v>CANTIDAD</v>
          </cell>
          <cell r="G843" t="e">
            <v>#N/A</v>
          </cell>
          <cell r="H843" t="str">
            <v>V. UNITARIO:</v>
          </cell>
          <cell r="I843">
            <v>50061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 t="str">
            <v>Tarifa/Hora</v>
          </cell>
          <cell r="G845" t="str">
            <v>Rendimiento</v>
          </cell>
          <cell r="H845" t="str">
            <v>Valor-Unit.</v>
          </cell>
          <cell r="I845">
            <v>0</v>
          </cell>
        </row>
        <row r="846">
          <cell r="B846" t="str">
            <v>E001</v>
          </cell>
          <cell r="C846" t="str">
            <v>COMPACTADOR TIPO CANGURO</v>
          </cell>
          <cell r="D846">
            <v>0</v>
          </cell>
          <cell r="E846" t="str">
            <v>HORA</v>
          </cell>
          <cell r="F846">
            <v>7500</v>
          </cell>
          <cell r="G846">
            <v>0.3</v>
          </cell>
          <cell r="H846">
            <v>2250</v>
          </cell>
          <cell r="I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 t="str">
            <v>Sub-Total</v>
          </cell>
          <cell r="G850">
            <v>0</v>
          </cell>
          <cell r="H850" t="str">
            <v>EQUI-2.15</v>
          </cell>
          <cell r="I850">
            <v>2250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 t="str">
            <v>UNIDAD</v>
          </cell>
          <cell r="F852" t="str">
            <v>V.UNIT</v>
          </cell>
          <cell r="G852" t="str">
            <v>CANT</v>
          </cell>
          <cell r="H852" t="str">
            <v>V.TOTAL</v>
          </cell>
          <cell r="I852">
            <v>0</v>
          </cell>
        </row>
        <row r="853">
          <cell r="B853" t="str">
            <v>M067</v>
          </cell>
          <cell r="C853" t="str">
            <v>MATERIAL TIPO LIMO DE PRESTAMO</v>
          </cell>
          <cell r="D853">
            <v>0</v>
          </cell>
          <cell r="E853" t="str">
            <v>M3</v>
          </cell>
          <cell r="F853">
            <v>22000</v>
          </cell>
          <cell r="G853">
            <v>1.3</v>
          </cell>
          <cell r="H853">
            <v>28600</v>
          </cell>
          <cell r="I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 t="str">
            <v>Sub-Total</v>
          </cell>
          <cell r="G857">
            <v>0</v>
          </cell>
          <cell r="H857" t="str">
            <v>MAT-2.15</v>
          </cell>
          <cell r="I857">
            <v>28600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</row>
        <row r="859">
          <cell r="B859">
            <v>0</v>
          </cell>
          <cell r="C859">
            <v>0</v>
          </cell>
          <cell r="D859" t="str">
            <v xml:space="preserve">CAN </v>
          </cell>
          <cell r="E859" t="str">
            <v>DISTANCIA</v>
          </cell>
          <cell r="F859" t="str">
            <v>M3-Km / UN-KM</v>
          </cell>
          <cell r="G859" t="str">
            <v>TARIFA</v>
          </cell>
          <cell r="H859" t="str">
            <v>Valor-Unit.</v>
          </cell>
          <cell r="I859">
            <v>0</v>
          </cell>
        </row>
        <row r="860">
          <cell r="B860" t="str">
            <v>T009</v>
          </cell>
          <cell r="C860" t="str">
            <v>TRANS MATERIAL &lt; 10 KM</v>
          </cell>
          <cell r="D860">
            <v>1.3</v>
          </cell>
          <cell r="E860">
            <v>6</v>
          </cell>
          <cell r="F860">
            <v>7.8000000000000007</v>
          </cell>
          <cell r="G860">
            <v>1120</v>
          </cell>
          <cell r="H860">
            <v>8736</v>
          </cell>
          <cell r="I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 t="str">
            <v>Sub-Total</v>
          </cell>
          <cell r="G863">
            <v>0</v>
          </cell>
          <cell r="H863" t="str">
            <v>TRAN-2.15</v>
          </cell>
          <cell r="I863">
            <v>8736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</row>
        <row r="865">
          <cell r="B865">
            <v>0</v>
          </cell>
          <cell r="C865">
            <v>0</v>
          </cell>
          <cell r="D865" t="str">
            <v>JORNAL-HORA</v>
          </cell>
          <cell r="E865" t="str">
            <v>PRES</v>
          </cell>
          <cell r="F865" t="str">
            <v>Jornal Total</v>
          </cell>
          <cell r="G865" t="str">
            <v>Rendimiento</v>
          </cell>
          <cell r="H865" t="str">
            <v>Valor-Unit.</v>
          </cell>
          <cell r="I865">
            <v>0</v>
          </cell>
        </row>
        <row r="866">
          <cell r="B866" t="str">
            <v>MO004</v>
          </cell>
          <cell r="C866" t="str">
            <v>OFICIAL</v>
          </cell>
          <cell r="D866">
            <v>10270.602514022436</v>
          </cell>
          <cell r="E866">
            <v>0.56000000000000005</v>
          </cell>
          <cell r="F866">
            <v>16022.139921875001</v>
          </cell>
          <cell r="G866">
            <v>0.3</v>
          </cell>
          <cell r="H866">
            <v>4806.6419765625005</v>
          </cell>
          <cell r="I866">
            <v>0</v>
          </cell>
        </row>
        <row r="867">
          <cell r="B867" t="str">
            <v>MO005</v>
          </cell>
          <cell r="C867" t="str">
            <v>AYUDANTE ENTENDIDO</v>
          </cell>
          <cell r="D867">
            <v>6411.5899439102559</v>
          </cell>
          <cell r="E867">
            <v>0.56000000000000005</v>
          </cell>
          <cell r="F867">
            <v>10002.0803125</v>
          </cell>
          <cell r="G867">
            <v>0.3</v>
          </cell>
          <cell r="H867">
            <v>3000.6240937500002</v>
          </cell>
          <cell r="I867">
            <v>0</v>
          </cell>
        </row>
        <row r="868">
          <cell r="B868" t="str">
            <v>MO006</v>
          </cell>
          <cell r="C868" t="str">
            <v>AYUDANTE</v>
          </cell>
          <cell r="D868">
            <v>4633.604176682692</v>
          </cell>
          <cell r="E868">
            <v>0.56000000000000005</v>
          </cell>
          <cell r="F868">
            <v>7228.4225156249995</v>
          </cell>
          <cell r="G868">
            <v>0.3</v>
          </cell>
          <cell r="H868">
            <v>2168.5267546874998</v>
          </cell>
          <cell r="I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 t="str">
            <v>Sub-Total</v>
          </cell>
          <cell r="G871">
            <v>0</v>
          </cell>
          <cell r="H871" t="str">
            <v>MDEO-2.15</v>
          </cell>
          <cell r="I871">
            <v>9975.7928250000004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498.78964125000005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 t="str">
            <v>Total Costo Directo</v>
          </cell>
          <cell r="G873">
            <v>0</v>
          </cell>
          <cell r="H873">
            <v>0</v>
          </cell>
          <cell r="I873">
            <v>50061</v>
          </cell>
        </row>
        <row r="874">
          <cell r="B874">
            <v>0</v>
          </cell>
          <cell r="C874">
            <v>0</v>
          </cell>
          <cell r="D874">
            <v>0</v>
          </cell>
          <cell r="E874" t="str">
            <v>PORCENTAJE</v>
          </cell>
          <cell r="F874">
            <v>0</v>
          </cell>
          <cell r="G874" t="str">
            <v>V. COSTO INDERECTO</v>
          </cell>
          <cell r="H874">
            <v>0</v>
          </cell>
          <cell r="I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0.02</v>
          </cell>
          <cell r="F875">
            <v>0</v>
          </cell>
          <cell r="G875">
            <v>1001.22</v>
          </cell>
          <cell r="H875">
            <v>0</v>
          </cell>
          <cell r="I875">
            <v>0</v>
          </cell>
        </row>
        <row r="876">
          <cell r="B876">
            <v>0</v>
          </cell>
          <cell r="C876">
            <v>0</v>
          </cell>
          <cell r="D876">
            <v>0</v>
          </cell>
          <cell r="E876">
            <v>0.23</v>
          </cell>
          <cell r="F876">
            <v>0</v>
          </cell>
          <cell r="G876">
            <v>11514.03</v>
          </cell>
          <cell r="H876">
            <v>0</v>
          </cell>
          <cell r="I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0.05</v>
          </cell>
          <cell r="F877">
            <v>0</v>
          </cell>
          <cell r="G877">
            <v>2503.0500000000002</v>
          </cell>
          <cell r="H877">
            <v>0</v>
          </cell>
          <cell r="I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0.02</v>
          </cell>
          <cell r="F878">
            <v>0</v>
          </cell>
          <cell r="G878">
            <v>1001.22</v>
          </cell>
          <cell r="H878">
            <v>0</v>
          </cell>
          <cell r="I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16019.519999999999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66080.52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 t="str">
            <v>REVISA</v>
          </cell>
          <cell r="G882">
            <v>0</v>
          </cell>
          <cell r="H882">
            <v>0</v>
          </cell>
          <cell r="I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 t="str">
            <v>FIRMA:</v>
          </cell>
          <cell r="G883">
            <v>0</v>
          </cell>
          <cell r="H883">
            <v>0</v>
          </cell>
          <cell r="I883">
            <v>0</v>
          </cell>
        </row>
        <row r="884">
          <cell r="B884" t="str">
            <v>JHON EMIR GAMBOA MENA</v>
          </cell>
          <cell r="C884">
            <v>0</v>
          </cell>
          <cell r="F884" t="str">
            <v>NOMBRE</v>
          </cell>
          <cell r="G884">
            <v>0</v>
          </cell>
          <cell r="H884">
            <v>0</v>
          </cell>
          <cell r="I884">
            <v>0</v>
          </cell>
        </row>
        <row r="885">
          <cell r="B885" t="str">
            <v>05202-316814 ANT</v>
          </cell>
          <cell r="C885">
            <v>0</v>
          </cell>
          <cell r="F885" t="str">
            <v>MAT:</v>
          </cell>
          <cell r="G885">
            <v>0</v>
          </cell>
          <cell r="H885">
            <v>0</v>
          </cell>
          <cell r="I885">
            <v>0</v>
          </cell>
        </row>
        <row r="886">
          <cell r="B886">
            <v>0</v>
          </cell>
          <cell r="C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</row>
        <row r="891">
          <cell r="B891" t="str">
            <v>3.1</v>
          </cell>
          <cell r="C891" t="str">
            <v>DESCRIPCION:</v>
          </cell>
          <cell r="D891" t="str">
            <v>EXCAVACION DE LA EXPLANEACION, CANALES Y PRESTAMOS, CAJEOS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</row>
        <row r="892">
          <cell r="B892" t="str">
            <v>210-13</v>
          </cell>
          <cell r="C892">
            <v>0</v>
          </cell>
          <cell r="D892" t="str">
            <v>UNIDAD</v>
          </cell>
          <cell r="E892" t="str">
            <v>M3</v>
          </cell>
          <cell r="F892" t="str">
            <v>CANTIDAD</v>
          </cell>
          <cell r="G892">
            <v>1897</v>
          </cell>
          <cell r="H892" t="str">
            <v>V. UNITARIO:</v>
          </cell>
          <cell r="I892">
            <v>31808</v>
          </cell>
        </row>
        <row r="893"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 t="str">
            <v>Tarifa/Hora</v>
          </cell>
          <cell r="G894" t="str">
            <v>Rendimiento</v>
          </cell>
          <cell r="H894" t="str">
            <v>Valor-Unit.</v>
          </cell>
          <cell r="I894">
            <v>0</v>
          </cell>
        </row>
        <row r="895">
          <cell r="B895" t="str">
            <v>E024</v>
          </cell>
          <cell r="C895" t="str">
            <v>RETROEXCAVADORA</v>
          </cell>
          <cell r="D895">
            <v>0</v>
          </cell>
          <cell r="E895">
            <v>0</v>
          </cell>
          <cell r="F895">
            <v>122000</v>
          </cell>
          <cell r="G895">
            <v>0.08</v>
          </cell>
          <cell r="H895">
            <v>9760</v>
          </cell>
          <cell r="I895">
            <v>0</v>
          </cell>
        </row>
        <row r="896">
          <cell r="B896" t="str">
            <v>E009</v>
          </cell>
          <cell r="C896" t="str">
            <v xml:space="preserve">EQUIPO PARA COMISION DE TOPOGRAFIA </v>
          </cell>
          <cell r="D896">
            <v>0</v>
          </cell>
          <cell r="E896">
            <v>0</v>
          </cell>
          <cell r="F896">
            <v>57000</v>
          </cell>
          <cell r="G896">
            <v>0.08</v>
          </cell>
          <cell r="H896">
            <v>4560</v>
          </cell>
          <cell r="I896">
            <v>0</v>
          </cell>
        </row>
        <row r="897">
          <cell r="B897" t="str">
            <v>E019</v>
          </cell>
          <cell r="C897" t="str">
            <v>MOTONIVELADORA</v>
          </cell>
          <cell r="D897">
            <v>0</v>
          </cell>
          <cell r="E897">
            <v>0</v>
          </cell>
          <cell r="F897">
            <v>130000</v>
          </cell>
          <cell r="G897">
            <v>0.05</v>
          </cell>
          <cell r="H897">
            <v>6500</v>
          </cell>
          <cell r="I897">
            <v>0</v>
          </cell>
        </row>
        <row r="898">
          <cell r="B898" t="str">
            <v>E028</v>
          </cell>
          <cell r="C898" t="str">
            <v>VIBROCOMPACTADOR</v>
          </cell>
          <cell r="D898">
            <v>0</v>
          </cell>
          <cell r="E898">
            <v>0</v>
          </cell>
          <cell r="F898">
            <v>120000</v>
          </cell>
          <cell r="G898">
            <v>0.05</v>
          </cell>
          <cell r="H898">
            <v>6000</v>
          </cell>
          <cell r="I898">
            <v>0</v>
          </cell>
        </row>
        <row r="899">
          <cell r="B899" t="str">
            <v>E026</v>
          </cell>
          <cell r="C899" t="str">
            <v>TANQUE DE ALMACENAMIENTO DE AGUA</v>
          </cell>
          <cell r="D899">
            <v>0</v>
          </cell>
          <cell r="E899">
            <v>0</v>
          </cell>
          <cell r="F899">
            <v>1000</v>
          </cell>
          <cell r="G899">
            <v>0.05</v>
          </cell>
          <cell r="H899">
            <v>50</v>
          </cell>
          <cell r="I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 t="str">
            <v>Sub-Total</v>
          </cell>
          <cell r="G900" t="str">
            <v>3.1</v>
          </cell>
          <cell r="H900" t="str">
            <v>EQUI-3.1</v>
          </cell>
          <cell r="I900">
            <v>26820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 t="str">
            <v>UNIDAD</v>
          </cell>
          <cell r="F902" t="str">
            <v>V.UNIT</v>
          </cell>
          <cell r="G902" t="str">
            <v>CANT</v>
          </cell>
          <cell r="H902" t="str">
            <v>V.TOTAL</v>
          </cell>
          <cell r="I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 t="str">
            <v>Sub-Total</v>
          </cell>
          <cell r="G906" t="str">
            <v>3.1</v>
          </cell>
          <cell r="H906" t="str">
            <v>MAT-3.1</v>
          </cell>
          <cell r="I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</row>
        <row r="908">
          <cell r="B908">
            <v>0</v>
          </cell>
          <cell r="C908">
            <v>0</v>
          </cell>
          <cell r="D908" t="str">
            <v xml:space="preserve">CAN </v>
          </cell>
          <cell r="E908" t="str">
            <v>DISTANCIA</v>
          </cell>
          <cell r="F908" t="str">
            <v>M3-Km / UN-KM</v>
          </cell>
          <cell r="G908" t="str">
            <v>TARIFA</v>
          </cell>
          <cell r="H908" t="str">
            <v>Valor-Unit.</v>
          </cell>
          <cell r="I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 t="str">
            <v>Sub-Total</v>
          </cell>
          <cell r="G912" t="str">
            <v>3.1</v>
          </cell>
          <cell r="H912" t="str">
            <v>TRAN-3.1</v>
          </cell>
          <cell r="I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</row>
        <row r="914">
          <cell r="B914">
            <v>0</v>
          </cell>
          <cell r="C914">
            <v>0</v>
          </cell>
          <cell r="D914" t="str">
            <v>JORNAL-HORA</v>
          </cell>
          <cell r="E914" t="str">
            <v>PRES</v>
          </cell>
          <cell r="F914" t="str">
            <v>Jornal Total</v>
          </cell>
          <cell r="G914" t="str">
            <v>Rendimiento</v>
          </cell>
          <cell r="H914" t="str">
            <v>Valor-Unit.</v>
          </cell>
          <cell r="I914">
            <v>0</v>
          </cell>
        </row>
        <row r="915">
          <cell r="B915" t="str">
            <v>MO004</v>
          </cell>
          <cell r="C915" t="str">
            <v>OFICIAL</v>
          </cell>
          <cell r="D915">
            <v>10270.602514022436</v>
          </cell>
          <cell r="E915">
            <v>0.56000000000000005</v>
          </cell>
          <cell r="F915">
            <v>16022.139921875001</v>
          </cell>
          <cell r="G915">
            <v>0.08</v>
          </cell>
          <cell r="H915">
            <v>1281.7711937500001</v>
          </cell>
          <cell r="I915">
            <v>0</v>
          </cell>
        </row>
        <row r="916">
          <cell r="B916" t="str">
            <v>MO005</v>
          </cell>
          <cell r="C916" t="str">
            <v>AYUDANTE ENTENDIDO</v>
          </cell>
          <cell r="D916">
            <v>6411.5899439102559</v>
          </cell>
          <cell r="E916">
            <v>0.56000000000000005</v>
          </cell>
          <cell r="F916">
            <v>10002.0803125</v>
          </cell>
          <cell r="G916">
            <v>0.08</v>
          </cell>
          <cell r="H916">
            <v>800.166425</v>
          </cell>
          <cell r="I916">
            <v>0</v>
          </cell>
        </row>
        <row r="917">
          <cell r="B917" t="str">
            <v>MO006</v>
          </cell>
          <cell r="C917" t="str">
            <v>AYUDANTE</v>
          </cell>
          <cell r="D917">
            <v>4633.604176682692</v>
          </cell>
          <cell r="E917">
            <v>0.56000000000000005</v>
          </cell>
          <cell r="F917">
            <v>7228.4225156249995</v>
          </cell>
          <cell r="G917">
            <v>0.08</v>
          </cell>
          <cell r="H917">
            <v>578.27380125000002</v>
          </cell>
          <cell r="I917">
            <v>0</v>
          </cell>
        </row>
        <row r="918">
          <cell r="B918" t="str">
            <v>MO001</v>
          </cell>
          <cell r="C918" t="str">
            <v>TOPOGRAFO</v>
          </cell>
          <cell r="D918">
            <v>12324.724108573719</v>
          </cell>
          <cell r="E918">
            <v>0.56000000000000005</v>
          </cell>
          <cell r="F918">
            <v>19226.569609375001</v>
          </cell>
          <cell r="G918">
            <v>0.08</v>
          </cell>
          <cell r="H918">
            <v>1538.1255687500002</v>
          </cell>
          <cell r="I918">
            <v>0</v>
          </cell>
        </row>
        <row r="919">
          <cell r="B919" t="str">
            <v>MO002</v>
          </cell>
          <cell r="C919" t="str">
            <v>CADENERO 1</v>
          </cell>
          <cell r="D919">
            <v>4426.7123898237178</v>
          </cell>
          <cell r="E919">
            <v>0.56000000000000005</v>
          </cell>
          <cell r="F919">
            <v>6905.6713281249995</v>
          </cell>
          <cell r="G919">
            <v>0.08</v>
          </cell>
          <cell r="H919">
            <v>552.45370624999998</v>
          </cell>
          <cell r="I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 t="str">
            <v>Sub-Total</v>
          </cell>
          <cell r="G921" t="str">
            <v>3.1</v>
          </cell>
          <cell r="H921" t="str">
            <v>MDEO-3.1</v>
          </cell>
          <cell r="I921">
            <v>4750.7906950000006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237.53953475000003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 t="str">
            <v>Total Costo Directo</v>
          </cell>
          <cell r="G923">
            <v>0</v>
          </cell>
          <cell r="H923">
            <v>0</v>
          </cell>
          <cell r="I923">
            <v>31808</v>
          </cell>
        </row>
        <row r="924">
          <cell r="B924">
            <v>0</v>
          </cell>
          <cell r="C924">
            <v>0</v>
          </cell>
          <cell r="D924">
            <v>0</v>
          </cell>
          <cell r="E924" t="str">
            <v>PORCENTAJE</v>
          </cell>
          <cell r="F924">
            <v>0</v>
          </cell>
          <cell r="G924" t="str">
            <v>V. COSTO INDERECTO</v>
          </cell>
          <cell r="H924">
            <v>0</v>
          </cell>
          <cell r="I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0.02</v>
          </cell>
          <cell r="F925">
            <v>0</v>
          </cell>
          <cell r="G925">
            <v>636.16</v>
          </cell>
          <cell r="H925">
            <v>0</v>
          </cell>
          <cell r="I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0.23</v>
          </cell>
          <cell r="F926">
            <v>0</v>
          </cell>
          <cell r="G926">
            <v>7315.84</v>
          </cell>
          <cell r="H926">
            <v>0</v>
          </cell>
          <cell r="I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0.05</v>
          </cell>
          <cell r="F927">
            <v>0</v>
          </cell>
          <cell r="G927">
            <v>1590.4</v>
          </cell>
          <cell r="H927">
            <v>0</v>
          </cell>
          <cell r="I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0.02</v>
          </cell>
          <cell r="F928">
            <v>0</v>
          </cell>
          <cell r="G928">
            <v>636.16</v>
          </cell>
          <cell r="H928">
            <v>0</v>
          </cell>
          <cell r="I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10178.56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41986.559999999998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 t="str">
            <v>REVISA</v>
          </cell>
          <cell r="G932">
            <v>0</v>
          </cell>
          <cell r="H932">
            <v>0</v>
          </cell>
          <cell r="I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 t="str">
            <v>FIRMA:</v>
          </cell>
          <cell r="G933">
            <v>0</v>
          </cell>
          <cell r="H933">
            <v>0</v>
          </cell>
          <cell r="I933">
            <v>0</v>
          </cell>
        </row>
        <row r="934">
          <cell r="B934" t="str">
            <v>JHON EMIR GAMBOA MENA</v>
          </cell>
          <cell r="C934">
            <v>0</v>
          </cell>
          <cell r="F934" t="str">
            <v>NOMBRE</v>
          </cell>
          <cell r="G934">
            <v>0</v>
          </cell>
          <cell r="H934">
            <v>0</v>
          </cell>
          <cell r="I934">
            <v>0</v>
          </cell>
        </row>
        <row r="935">
          <cell r="B935" t="str">
            <v>05202-316814 ANT</v>
          </cell>
          <cell r="C935">
            <v>0</v>
          </cell>
          <cell r="F935" t="str">
            <v>MAT:</v>
          </cell>
          <cell r="G935">
            <v>0</v>
          </cell>
          <cell r="H935">
            <v>0</v>
          </cell>
          <cell r="I935">
            <v>0</v>
          </cell>
        </row>
        <row r="936">
          <cell r="B936">
            <v>0</v>
          </cell>
          <cell r="C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</row>
        <row r="941">
          <cell r="B941" t="str">
            <v>3.2</v>
          </cell>
          <cell r="C941" t="str">
            <v>DESCRIPCION:</v>
          </cell>
          <cell r="D941" t="str">
            <v>ESTABILIZACION DE LOS SUELOS DE SUBRASANTE  CON GEOTEXTIL TEJIDO 2400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</row>
        <row r="942">
          <cell r="B942" t="str">
            <v>232-13</v>
          </cell>
          <cell r="C942">
            <v>0</v>
          </cell>
          <cell r="D942" t="str">
            <v>UNIDAD</v>
          </cell>
          <cell r="E942" t="str">
            <v>M2</v>
          </cell>
          <cell r="F942" t="str">
            <v>CANTIDAD</v>
          </cell>
          <cell r="G942">
            <v>5127</v>
          </cell>
          <cell r="H942" t="str">
            <v>V. UNITARIO:</v>
          </cell>
          <cell r="I942">
            <v>10086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 t="str">
            <v>Tarifa/Hora</v>
          </cell>
          <cell r="G944" t="str">
            <v>Rendimiento</v>
          </cell>
          <cell r="H944" t="str">
            <v>Valor-Unit.</v>
          </cell>
          <cell r="I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 t="str">
            <v>Sub-Total</v>
          </cell>
          <cell r="G949" t="str">
            <v>3.2</v>
          </cell>
          <cell r="H949" t="str">
            <v>EQUI-3.2</v>
          </cell>
          <cell r="I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 t="str">
            <v>UNIDAD</v>
          </cell>
          <cell r="F951" t="str">
            <v>V.UNIT</v>
          </cell>
          <cell r="G951" t="str">
            <v>CANT</v>
          </cell>
          <cell r="H951" t="str">
            <v>V.TOTAL</v>
          </cell>
          <cell r="I951">
            <v>0</v>
          </cell>
        </row>
        <row r="952">
          <cell r="B952" t="str">
            <v>M027</v>
          </cell>
          <cell r="C952" t="str">
            <v>GEOTEXTIL TEJIDO 2400 T</v>
          </cell>
          <cell r="D952">
            <v>0</v>
          </cell>
          <cell r="E952">
            <v>0</v>
          </cell>
          <cell r="F952">
            <v>8500</v>
          </cell>
          <cell r="G952">
            <v>1</v>
          </cell>
          <cell r="H952">
            <v>8500</v>
          </cell>
          <cell r="I952">
            <v>0</v>
          </cell>
        </row>
        <row r="953">
          <cell r="B953" t="str">
            <v>M030</v>
          </cell>
          <cell r="C953" t="str">
            <v>LISTON 2*2 MADEROA TIPO CHOIVA</v>
          </cell>
          <cell r="D953">
            <v>0</v>
          </cell>
          <cell r="E953">
            <v>0</v>
          </cell>
          <cell r="F953">
            <v>14500</v>
          </cell>
          <cell r="G953">
            <v>1E-3</v>
          </cell>
          <cell r="H953">
            <v>14.5</v>
          </cell>
          <cell r="I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 t="str">
            <v>Sub-Total</v>
          </cell>
          <cell r="G955" t="str">
            <v>3.2</v>
          </cell>
          <cell r="H955" t="str">
            <v>MAT-3.2</v>
          </cell>
          <cell r="I955">
            <v>8514.5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</row>
        <row r="957">
          <cell r="B957">
            <v>0</v>
          </cell>
          <cell r="C957">
            <v>0</v>
          </cell>
          <cell r="D957" t="str">
            <v xml:space="preserve">CAN </v>
          </cell>
          <cell r="E957" t="str">
            <v>DISTANCIA</v>
          </cell>
          <cell r="F957" t="str">
            <v>M3-Km / UN-KM</v>
          </cell>
          <cell r="G957" t="str">
            <v>TARIFA</v>
          </cell>
          <cell r="H957" t="str">
            <v>Valor-Unit.</v>
          </cell>
          <cell r="I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 t="str">
            <v>Sub-Total</v>
          </cell>
          <cell r="G961" t="str">
            <v>3.2</v>
          </cell>
          <cell r="H961" t="str">
            <v>TRAN-3.2</v>
          </cell>
          <cell r="I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</row>
        <row r="963">
          <cell r="B963">
            <v>0</v>
          </cell>
          <cell r="C963">
            <v>0</v>
          </cell>
          <cell r="D963" t="str">
            <v>JORNAL-HORA</v>
          </cell>
          <cell r="E963" t="str">
            <v>PRES</v>
          </cell>
          <cell r="F963" t="str">
            <v>JORNAL TOTAL</v>
          </cell>
          <cell r="G963" t="str">
            <v>RENDIEMIENTO</v>
          </cell>
          <cell r="H963" t="str">
            <v>VALOR-UNIT</v>
          </cell>
          <cell r="I963">
            <v>0</v>
          </cell>
        </row>
        <row r="964">
          <cell r="B964" t="str">
            <v>MO004</v>
          </cell>
          <cell r="C964" t="str">
            <v>OFICIAL</v>
          </cell>
          <cell r="D964">
            <v>10270.602514022436</v>
          </cell>
          <cell r="E964">
            <v>0.56000000000000005</v>
          </cell>
          <cell r="F964">
            <v>16022.139921875001</v>
          </cell>
          <cell r="G964">
            <v>4.4999999999999998E-2</v>
          </cell>
          <cell r="H964">
            <v>720.99629648437508</v>
          </cell>
          <cell r="I964">
            <v>0</v>
          </cell>
        </row>
        <row r="965">
          <cell r="B965" t="str">
            <v>MO005</v>
          </cell>
          <cell r="C965" t="str">
            <v>AYUDANTE ENTENDIDO</v>
          </cell>
          <cell r="D965">
            <v>6411.5899439102559</v>
          </cell>
          <cell r="E965">
            <v>0.56000000000000005</v>
          </cell>
          <cell r="F965">
            <v>10002.0803125</v>
          </cell>
          <cell r="G965">
            <v>4.4999999999999998E-2</v>
          </cell>
          <cell r="H965">
            <v>450.09361406249997</v>
          </cell>
          <cell r="I965">
            <v>0</v>
          </cell>
        </row>
        <row r="966">
          <cell r="B966" t="str">
            <v>MO006</v>
          </cell>
          <cell r="C966" t="str">
            <v>AYUDANTE</v>
          </cell>
          <cell r="D966">
            <v>4633.604176682692</v>
          </cell>
          <cell r="E966">
            <v>0.56000000000000005</v>
          </cell>
          <cell r="F966">
            <v>7228.4225156249995</v>
          </cell>
          <cell r="G966">
            <v>4.4999999999999998E-2</v>
          </cell>
          <cell r="H966">
            <v>325.27901320312498</v>
          </cell>
          <cell r="I966">
            <v>0</v>
          </cell>
        </row>
        <row r="967"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 t="str">
            <v>Sub-Total</v>
          </cell>
          <cell r="G970" t="str">
            <v>3.2</v>
          </cell>
          <cell r="H970" t="str">
            <v>MDEO-3.2</v>
          </cell>
          <cell r="I970">
            <v>1496.36892375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74.818446187500001</v>
          </cell>
        </row>
        <row r="972"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 t="str">
            <v>Total Costo Directo</v>
          </cell>
          <cell r="G972">
            <v>0</v>
          </cell>
          <cell r="H972">
            <v>0</v>
          </cell>
          <cell r="I972">
            <v>10086</v>
          </cell>
        </row>
        <row r="973">
          <cell r="B973">
            <v>0</v>
          </cell>
          <cell r="C973">
            <v>0</v>
          </cell>
          <cell r="D973">
            <v>0</v>
          </cell>
          <cell r="E973" t="str">
            <v>PORCENTAJE</v>
          </cell>
          <cell r="F973">
            <v>0</v>
          </cell>
          <cell r="G973" t="str">
            <v>V. COSTO INDERECTO</v>
          </cell>
          <cell r="H973">
            <v>0</v>
          </cell>
          <cell r="I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0.02</v>
          </cell>
          <cell r="F974">
            <v>0</v>
          </cell>
          <cell r="G974">
            <v>201.72</v>
          </cell>
          <cell r="H974">
            <v>0</v>
          </cell>
          <cell r="I974">
            <v>0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0.23</v>
          </cell>
          <cell r="F975">
            <v>0</v>
          </cell>
          <cell r="G975">
            <v>2319.7800000000002</v>
          </cell>
          <cell r="H975">
            <v>0</v>
          </cell>
          <cell r="I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>
            <v>0.05</v>
          </cell>
          <cell r="F976">
            <v>0</v>
          </cell>
          <cell r="G976">
            <v>504.3</v>
          </cell>
          <cell r="H976">
            <v>0</v>
          </cell>
          <cell r="I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0.02</v>
          </cell>
          <cell r="F977">
            <v>0</v>
          </cell>
          <cell r="G977">
            <v>201.72</v>
          </cell>
          <cell r="H977">
            <v>0</v>
          </cell>
          <cell r="I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3227.52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13313.52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 t="str">
            <v>REVISA</v>
          </cell>
          <cell r="G981">
            <v>0</v>
          </cell>
          <cell r="H981">
            <v>0</v>
          </cell>
          <cell r="I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 t="str">
            <v>FIRMA:</v>
          </cell>
          <cell r="G982">
            <v>0</v>
          </cell>
          <cell r="H982">
            <v>0</v>
          </cell>
          <cell r="I982">
            <v>0</v>
          </cell>
        </row>
        <row r="983">
          <cell r="B983" t="str">
            <v>JHON EMIR GAMBOA MENA</v>
          </cell>
          <cell r="C983">
            <v>0</v>
          </cell>
          <cell r="F983" t="str">
            <v>NOMBRE</v>
          </cell>
          <cell r="G983">
            <v>0</v>
          </cell>
          <cell r="H983">
            <v>0</v>
          </cell>
          <cell r="I983">
            <v>0</v>
          </cell>
        </row>
        <row r="984">
          <cell r="B984" t="str">
            <v>05202-316814 ANT</v>
          </cell>
          <cell r="C984">
            <v>0</v>
          </cell>
          <cell r="F984" t="str">
            <v>MAT:</v>
          </cell>
          <cell r="G984">
            <v>0</v>
          </cell>
          <cell r="H984">
            <v>0</v>
          </cell>
          <cell r="I984">
            <v>0</v>
          </cell>
        </row>
        <row r="985">
          <cell r="B985">
            <v>0</v>
          </cell>
          <cell r="C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</row>
        <row r="990">
          <cell r="B990" t="str">
            <v>3.3</v>
          </cell>
          <cell r="C990" t="str">
            <v>DESCRIPCION:</v>
          </cell>
          <cell r="D990" t="str">
            <v xml:space="preserve">MEJORAMIENTO DE LA SUBRASANTE CON ADICION DE MATEIRALES GRANULAR DE PRESTAMO PARA REMPLAZO DE ESPESOR 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</row>
        <row r="991">
          <cell r="B991" t="str">
            <v>230-13</v>
          </cell>
          <cell r="C991">
            <v>0</v>
          </cell>
          <cell r="D991" t="str">
            <v>UNIDAD</v>
          </cell>
          <cell r="E991" t="str">
            <v>M3</v>
          </cell>
          <cell r="F991" t="str">
            <v>CANTIDAD</v>
          </cell>
          <cell r="G991">
            <v>1025</v>
          </cell>
          <cell r="H991" t="str">
            <v>V. UNITARIO:</v>
          </cell>
          <cell r="I991">
            <v>146083</v>
          </cell>
        </row>
        <row r="992"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 t="str">
            <v>Tarifa/Hora</v>
          </cell>
          <cell r="G993" t="str">
            <v>Rendimiento</v>
          </cell>
          <cell r="H993" t="str">
            <v>Valor-Unit.</v>
          </cell>
          <cell r="I993">
            <v>0</v>
          </cell>
        </row>
        <row r="994">
          <cell r="B994" t="str">
            <v>E019</v>
          </cell>
          <cell r="C994" t="str">
            <v>MOTONIVELADORA</v>
          </cell>
          <cell r="D994">
            <v>0</v>
          </cell>
          <cell r="E994">
            <v>0</v>
          </cell>
          <cell r="F994">
            <v>130000</v>
          </cell>
          <cell r="G994">
            <v>7.4999999999999997E-2</v>
          </cell>
          <cell r="H994">
            <v>9750</v>
          </cell>
          <cell r="I994">
            <v>0</v>
          </cell>
        </row>
        <row r="995">
          <cell r="B995" t="str">
            <v>E028</v>
          </cell>
          <cell r="C995" t="str">
            <v>VIBROCOMPACTADOR</v>
          </cell>
          <cell r="D995">
            <v>0</v>
          </cell>
          <cell r="E995">
            <v>0</v>
          </cell>
          <cell r="F995">
            <v>120000</v>
          </cell>
          <cell r="G995">
            <v>7.4999999999999997E-2</v>
          </cell>
          <cell r="H995">
            <v>9000</v>
          </cell>
          <cell r="I995">
            <v>0</v>
          </cell>
        </row>
        <row r="996">
          <cell r="B996" t="str">
            <v>E026</v>
          </cell>
          <cell r="C996" t="str">
            <v>TANQUE DE ALMACENAMIENTO DE AGUA</v>
          </cell>
          <cell r="D996">
            <v>0</v>
          </cell>
          <cell r="E996">
            <v>0</v>
          </cell>
          <cell r="F996">
            <v>1000</v>
          </cell>
          <cell r="G996">
            <v>7.4999999999999997E-2</v>
          </cell>
          <cell r="H996">
            <v>75</v>
          </cell>
          <cell r="I996">
            <v>0</v>
          </cell>
        </row>
        <row r="997">
          <cell r="B997" t="str">
            <v>E009</v>
          </cell>
          <cell r="C997" t="str">
            <v xml:space="preserve">EQUIPO PARA COMISION DE TOPOGRAFIA </v>
          </cell>
          <cell r="D997">
            <v>0</v>
          </cell>
          <cell r="E997">
            <v>0</v>
          </cell>
          <cell r="F997">
            <v>57000</v>
          </cell>
          <cell r="G997">
            <v>7.4999999999999997E-2</v>
          </cell>
          <cell r="H997">
            <v>4275</v>
          </cell>
          <cell r="I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 t="str">
            <v>Sub-Total</v>
          </cell>
          <cell r="G998" t="str">
            <v>3.3</v>
          </cell>
          <cell r="H998" t="str">
            <v>EQUI-3.3</v>
          </cell>
          <cell r="I998">
            <v>23100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 t="str">
            <v>UNIDAD</v>
          </cell>
          <cell r="F1000" t="str">
            <v>V.UNIT</v>
          </cell>
          <cell r="G1000" t="str">
            <v>CANT</v>
          </cell>
          <cell r="H1000" t="str">
            <v>V.TOTAL</v>
          </cell>
          <cell r="I1000">
            <v>0</v>
          </cell>
        </row>
        <row r="1001">
          <cell r="B1001" t="str">
            <v>M004</v>
          </cell>
          <cell r="C1001" t="str">
            <v>AGUA</v>
          </cell>
          <cell r="D1001">
            <v>0</v>
          </cell>
          <cell r="E1001" t="str">
            <v>M3</v>
          </cell>
          <cell r="F1001">
            <v>2750</v>
          </cell>
          <cell r="G1001">
            <v>0.2</v>
          </cell>
          <cell r="H1001">
            <v>550</v>
          </cell>
          <cell r="I1001">
            <v>0</v>
          </cell>
        </row>
        <row r="1002">
          <cell r="B1002" t="str">
            <v>M047</v>
          </cell>
          <cell r="C1002" t="str">
            <v>SUBBASE GRANULAR</v>
          </cell>
          <cell r="D1002">
            <v>0</v>
          </cell>
          <cell r="E1002" t="str">
            <v>M3</v>
          </cell>
          <cell r="F1002">
            <v>27500</v>
          </cell>
          <cell r="G1002">
            <v>1.04</v>
          </cell>
          <cell r="H1002">
            <v>28600</v>
          </cell>
          <cell r="I1002">
            <v>0</v>
          </cell>
        </row>
        <row r="1003">
          <cell r="B1003" t="str">
            <v>M032</v>
          </cell>
          <cell r="C1003" t="str">
            <v>MATERIAL GRANULAR PIEDRA &gt;3"</v>
          </cell>
          <cell r="D1003">
            <v>0</v>
          </cell>
          <cell r="E1003" t="str">
            <v>M3</v>
          </cell>
          <cell r="F1003">
            <v>27500</v>
          </cell>
          <cell r="G1003">
            <v>0.26</v>
          </cell>
          <cell r="H1003">
            <v>7150</v>
          </cell>
          <cell r="I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 t="str">
            <v>Sub-Total</v>
          </cell>
          <cell r="G1004" t="str">
            <v>3.3</v>
          </cell>
          <cell r="H1004" t="str">
            <v>MAT-3.3</v>
          </cell>
          <cell r="I1004">
            <v>36300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</row>
        <row r="1006">
          <cell r="B1006">
            <v>0</v>
          </cell>
          <cell r="C1006">
            <v>0</v>
          </cell>
          <cell r="D1006" t="str">
            <v xml:space="preserve">CAN </v>
          </cell>
          <cell r="E1006" t="str">
            <v>DISTANCIA</v>
          </cell>
          <cell r="F1006" t="str">
            <v>M3-Km / UN-KM</v>
          </cell>
          <cell r="G1006" t="str">
            <v>TARIFA</v>
          </cell>
          <cell r="H1006" t="str">
            <v>Valor-Unit.</v>
          </cell>
          <cell r="I1006">
            <v>0</v>
          </cell>
        </row>
        <row r="1007">
          <cell r="B1007" t="str">
            <v>T003</v>
          </cell>
          <cell r="C1007" t="str">
            <v>TRANS AGUA 0-5KM</v>
          </cell>
          <cell r="D1007">
            <v>0.2</v>
          </cell>
          <cell r="E1007">
            <v>5</v>
          </cell>
          <cell r="F1007">
            <v>1</v>
          </cell>
          <cell r="G1007">
            <v>1120</v>
          </cell>
          <cell r="H1007">
            <v>1120</v>
          </cell>
          <cell r="I1007">
            <v>0</v>
          </cell>
        </row>
        <row r="1008">
          <cell r="B1008" t="str">
            <v>T008</v>
          </cell>
          <cell r="C1008" t="str">
            <v>TRANS MATERIAL &gt; 10 KM</v>
          </cell>
          <cell r="D1008">
            <v>1.04</v>
          </cell>
          <cell r="E1008">
            <v>61</v>
          </cell>
          <cell r="F1008">
            <v>63.440000000000005</v>
          </cell>
          <cell r="G1008">
            <v>1020</v>
          </cell>
          <cell r="H1008">
            <v>64708.800000000003</v>
          </cell>
          <cell r="I1008">
            <v>0</v>
          </cell>
        </row>
        <row r="1009">
          <cell r="B1009" t="str">
            <v>T008</v>
          </cell>
          <cell r="C1009" t="str">
            <v>TRANS MATERIAL &gt; 10 KM</v>
          </cell>
          <cell r="D1009">
            <v>0.26</v>
          </cell>
          <cell r="E1009">
            <v>61</v>
          </cell>
          <cell r="F1009">
            <v>15.860000000000001</v>
          </cell>
          <cell r="G1009">
            <v>1020</v>
          </cell>
          <cell r="H1009">
            <v>16177.2</v>
          </cell>
          <cell r="I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 t="str">
            <v>Sub-Total</v>
          </cell>
          <cell r="G1010" t="str">
            <v>3.3</v>
          </cell>
          <cell r="H1010" t="str">
            <v>TRAN-3.3</v>
          </cell>
          <cell r="I1010">
            <v>82006</v>
          </cell>
        </row>
        <row r="1011"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</row>
        <row r="1012">
          <cell r="B1012">
            <v>0</v>
          </cell>
          <cell r="C1012">
            <v>0</v>
          </cell>
          <cell r="D1012" t="str">
            <v>JORNAL-HORA</v>
          </cell>
          <cell r="E1012" t="str">
            <v>PRES</v>
          </cell>
          <cell r="F1012" t="str">
            <v>JORNAL TOTAL</v>
          </cell>
          <cell r="G1012" t="str">
            <v>RENDIEMIENTO</v>
          </cell>
          <cell r="H1012" t="str">
            <v>VALOR-UNIT</v>
          </cell>
          <cell r="I1012">
            <v>0</v>
          </cell>
        </row>
        <row r="1013">
          <cell r="B1013" t="str">
            <v>MO004</v>
          </cell>
          <cell r="C1013" t="str">
            <v>OFICIAL</v>
          </cell>
          <cell r="D1013">
            <v>10270.602514022436</v>
          </cell>
          <cell r="E1013">
            <v>0.56000000000000005</v>
          </cell>
          <cell r="F1013">
            <v>16022.139921875001</v>
          </cell>
          <cell r="G1013">
            <v>7.4999999999999997E-2</v>
          </cell>
          <cell r="H1013">
            <v>1201.6604941406251</v>
          </cell>
          <cell r="I1013">
            <v>0</v>
          </cell>
        </row>
        <row r="1014">
          <cell r="B1014" t="str">
            <v>MO005</v>
          </cell>
          <cell r="C1014" t="str">
            <v>AYUDANTE ENTENDIDO</v>
          </cell>
          <cell r="D1014">
            <v>6411.5899439102559</v>
          </cell>
          <cell r="E1014">
            <v>0.56000000000000005</v>
          </cell>
          <cell r="F1014">
            <v>10002.0803125</v>
          </cell>
          <cell r="G1014">
            <v>7.4999999999999997E-2</v>
          </cell>
          <cell r="H1014">
            <v>750.15602343750004</v>
          </cell>
          <cell r="I1014">
            <v>0</v>
          </cell>
        </row>
        <row r="1015">
          <cell r="B1015" t="str">
            <v>MO006</v>
          </cell>
          <cell r="C1015" t="str">
            <v>AYUDANTE</v>
          </cell>
          <cell r="D1015">
            <v>4633.604176682692</v>
          </cell>
          <cell r="E1015">
            <v>0.56000000000000005</v>
          </cell>
          <cell r="F1015">
            <v>7228.4225156249995</v>
          </cell>
          <cell r="G1015">
            <v>7.4999999999999997E-2</v>
          </cell>
          <cell r="H1015">
            <v>542.13168867187494</v>
          </cell>
          <cell r="I1015">
            <v>0</v>
          </cell>
        </row>
        <row r="1016">
          <cell r="B1016" t="str">
            <v>MO001</v>
          </cell>
          <cell r="C1016" t="str">
            <v>TOPOGRAFO</v>
          </cell>
          <cell r="D1016">
            <v>12324.724108573719</v>
          </cell>
          <cell r="E1016">
            <v>0.56000000000000005</v>
          </cell>
          <cell r="F1016">
            <v>19226.569609375001</v>
          </cell>
          <cell r="G1016">
            <v>7.4999999999999997E-2</v>
          </cell>
          <cell r="H1016">
            <v>1441.9927207031251</v>
          </cell>
          <cell r="I1016">
            <v>0</v>
          </cell>
        </row>
        <row r="1017">
          <cell r="B1017" t="str">
            <v>MO002</v>
          </cell>
          <cell r="C1017" t="str">
            <v>CADENERO 1</v>
          </cell>
          <cell r="D1017">
            <v>4426.7123898237178</v>
          </cell>
          <cell r="E1017">
            <v>0.56000000000000005</v>
          </cell>
          <cell r="F1017">
            <v>6905.6713281249995</v>
          </cell>
          <cell r="G1017">
            <v>7.4999999999999997E-2</v>
          </cell>
          <cell r="H1017">
            <v>517.92534960937496</v>
          </cell>
          <cell r="I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 t="str">
            <v>Sub-Total</v>
          </cell>
          <cell r="G1019" t="str">
            <v>3.3</v>
          </cell>
          <cell r="H1019" t="str">
            <v>MDEO-3.3</v>
          </cell>
          <cell r="I1019">
            <v>4453.8662765625004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222.69331382812504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 t="str">
            <v>Total Costo Directo</v>
          </cell>
          <cell r="G1021">
            <v>0</v>
          </cell>
          <cell r="H1021">
            <v>0</v>
          </cell>
          <cell r="I1021">
            <v>146083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 t="str">
            <v>PORCENTAJE</v>
          </cell>
          <cell r="F1022">
            <v>0</v>
          </cell>
          <cell r="G1022" t="str">
            <v>V. COSTO INDERECTO</v>
          </cell>
          <cell r="H1022">
            <v>0</v>
          </cell>
          <cell r="I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0.02</v>
          </cell>
          <cell r="F1023">
            <v>0</v>
          </cell>
          <cell r="G1023">
            <v>2921.66</v>
          </cell>
          <cell r="H1023">
            <v>0</v>
          </cell>
          <cell r="I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0.23</v>
          </cell>
          <cell r="F1024">
            <v>0</v>
          </cell>
          <cell r="G1024">
            <v>33599.090000000004</v>
          </cell>
          <cell r="H1024">
            <v>0</v>
          </cell>
          <cell r="I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0.05</v>
          </cell>
          <cell r="F1025">
            <v>0</v>
          </cell>
          <cell r="G1025">
            <v>7304.1500000000005</v>
          </cell>
          <cell r="H1025">
            <v>0</v>
          </cell>
          <cell r="I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  <cell r="E1026">
            <v>0.02</v>
          </cell>
          <cell r="F1026">
            <v>0</v>
          </cell>
          <cell r="G1026">
            <v>2921.66</v>
          </cell>
          <cell r="H1026">
            <v>0</v>
          </cell>
          <cell r="I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46746.559999999998</v>
          </cell>
        </row>
        <row r="1028"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192829.56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 t="str">
            <v>REVISA</v>
          </cell>
          <cell r="G1030">
            <v>0</v>
          </cell>
          <cell r="H1030">
            <v>0</v>
          </cell>
          <cell r="I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 t="str">
            <v>FIRMA:</v>
          </cell>
          <cell r="G1031">
            <v>0</v>
          </cell>
          <cell r="H1031">
            <v>0</v>
          </cell>
          <cell r="I1031">
            <v>0</v>
          </cell>
        </row>
        <row r="1032">
          <cell r="B1032" t="str">
            <v>JHON EMIR GAMBOA MENA</v>
          </cell>
          <cell r="C1032">
            <v>0</v>
          </cell>
          <cell r="F1032" t="str">
            <v>NOMBRE</v>
          </cell>
          <cell r="G1032">
            <v>0</v>
          </cell>
          <cell r="H1032">
            <v>0</v>
          </cell>
          <cell r="I1032">
            <v>0</v>
          </cell>
        </row>
        <row r="1033">
          <cell r="B1033" t="str">
            <v>05202-316814 ANT</v>
          </cell>
          <cell r="C1033">
            <v>0</v>
          </cell>
          <cell r="F1033" t="str">
            <v>MAT:</v>
          </cell>
          <cell r="G1033">
            <v>0</v>
          </cell>
          <cell r="H1033">
            <v>0</v>
          </cell>
          <cell r="I1033">
            <v>0</v>
          </cell>
        </row>
        <row r="1034">
          <cell r="B1034">
            <v>0</v>
          </cell>
          <cell r="C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</row>
        <row r="1039">
          <cell r="B1039" t="str">
            <v>3.4</v>
          </cell>
          <cell r="C1039" t="str">
            <v>DESCRIPCION:</v>
          </cell>
          <cell r="D1039" t="str">
            <v>SUB BASE GRANUALAR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</row>
        <row r="1040">
          <cell r="B1040" t="str">
            <v>320-13</v>
          </cell>
          <cell r="C1040">
            <v>0</v>
          </cell>
          <cell r="D1040" t="str">
            <v>UNIDAD</v>
          </cell>
          <cell r="E1040" t="str">
            <v>M3</v>
          </cell>
          <cell r="F1040" t="str">
            <v>CANTIDAD</v>
          </cell>
          <cell r="G1040">
            <v>769</v>
          </cell>
          <cell r="H1040" t="str">
            <v>V. UNITARIO:</v>
          </cell>
          <cell r="I1040">
            <v>141463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 t="str">
            <v>Tarifa/Hora</v>
          </cell>
          <cell r="G1042" t="str">
            <v>Rendimiento</v>
          </cell>
          <cell r="H1042" t="str">
            <v>Valor-Unit.</v>
          </cell>
          <cell r="I1042">
            <v>0</v>
          </cell>
        </row>
        <row r="1043">
          <cell r="B1043" t="str">
            <v>E019</v>
          </cell>
          <cell r="C1043" t="str">
            <v>MOTONIVELADORA</v>
          </cell>
          <cell r="D1043">
            <v>0</v>
          </cell>
          <cell r="E1043">
            <v>0</v>
          </cell>
          <cell r="F1043">
            <v>130000</v>
          </cell>
          <cell r="G1043">
            <v>0.06</v>
          </cell>
          <cell r="H1043">
            <v>7800</v>
          </cell>
          <cell r="I1043">
            <v>0</v>
          </cell>
        </row>
        <row r="1044">
          <cell r="B1044" t="str">
            <v>E028</v>
          </cell>
          <cell r="C1044" t="str">
            <v>VIBROCOMPACTADOR</v>
          </cell>
          <cell r="D1044">
            <v>0</v>
          </cell>
          <cell r="E1044">
            <v>0</v>
          </cell>
          <cell r="F1044">
            <v>120000</v>
          </cell>
          <cell r="G1044">
            <v>0.06</v>
          </cell>
          <cell r="H1044">
            <v>7200</v>
          </cell>
          <cell r="I1044">
            <v>0</v>
          </cell>
        </row>
        <row r="1045">
          <cell r="B1045" t="str">
            <v>E026</v>
          </cell>
          <cell r="C1045" t="str">
            <v>TANQUE DE ALMACENAMIENTO DE AGUA</v>
          </cell>
          <cell r="D1045">
            <v>0</v>
          </cell>
          <cell r="E1045">
            <v>0</v>
          </cell>
          <cell r="F1045">
            <v>1000</v>
          </cell>
          <cell r="G1045">
            <v>0.06</v>
          </cell>
          <cell r="H1045">
            <v>60</v>
          </cell>
          <cell r="I1045">
            <v>0</v>
          </cell>
        </row>
        <row r="1046">
          <cell r="B1046" t="str">
            <v>E009</v>
          </cell>
          <cell r="C1046" t="str">
            <v xml:space="preserve">EQUIPO PARA COMISION DE TOPOGRAFIA </v>
          </cell>
          <cell r="D1046">
            <v>0</v>
          </cell>
          <cell r="E1046">
            <v>0</v>
          </cell>
          <cell r="F1046">
            <v>57000</v>
          </cell>
          <cell r="G1046">
            <v>0.06</v>
          </cell>
          <cell r="H1046">
            <v>3420</v>
          </cell>
          <cell r="I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 t="str">
            <v>Sub-Total</v>
          </cell>
          <cell r="G1047" t="str">
            <v>3.4</v>
          </cell>
          <cell r="H1047" t="str">
            <v>EQUI-3.4</v>
          </cell>
          <cell r="I1047">
            <v>18480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 t="str">
            <v>UNIDAD</v>
          </cell>
          <cell r="F1049" t="str">
            <v>V.UNIT</v>
          </cell>
          <cell r="G1049" t="str">
            <v>CANT</v>
          </cell>
          <cell r="H1049" t="str">
            <v>V.TOTAL</v>
          </cell>
          <cell r="I1049">
            <v>0</v>
          </cell>
        </row>
        <row r="1050">
          <cell r="B1050" t="str">
            <v>M004</v>
          </cell>
          <cell r="C1050" t="str">
            <v>AGUA</v>
          </cell>
          <cell r="D1050">
            <v>0</v>
          </cell>
          <cell r="E1050" t="str">
            <v>M3</v>
          </cell>
          <cell r="F1050">
            <v>2750</v>
          </cell>
          <cell r="G1050">
            <v>0.2</v>
          </cell>
          <cell r="H1050">
            <v>550</v>
          </cell>
          <cell r="I1050">
            <v>0</v>
          </cell>
        </row>
        <row r="1051">
          <cell r="B1051" t="str">
            <v>M047</v>
          </cell>
          <cell r="C1051" t="str">
            <v>SUBBASE GRANULAR</v>
          </cell>
          <cell r="D1051">
            <v>0</v>
          </cell>
          <cell r="E1051" t="str">
            <v>M3</v>
          </cell>
          <cell r="F1051">
            <v>27500</v>
          </cell>
          <cell r="G1051">
            <v>1.3</v>
          </cell>
          <cell r="H1051">
            <v>35750</v>
          </cell>
          <cell r="I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</row>
        <row r="1053"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 t="str">
            <v>Sub-Total</v>
          </cell>
          <cell r="G1053" t="str">
            <v>3.4</v>
          </cell>
          <cell r="H1053" t="str">
            <v>MAT-3.4</v>
          </cell>
          <cell r="I1053">
            <v>36300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</row>
        <row r="1055">
          <cell r="B1055">
            <v>0</v>
          </cell>
          <cell r="C1055">
            <v>0</v>
          </cell>
          <cell r="D1055" t="str">
            <v xml:space="preserve">CAN </v>
          </cell>
          <cell r="E1055" t="str">
            <v>DISTANCIA</v>
          </cell>
          <cell r="F1055" t="str">
            <v>M3-Km / UN-KM</v>
          </cell>
          <cell r="G1055" t="str">
            <v>TARIFA</v>
          </cell>
          <cell r="H1055" t="str">
            <v>Valor-Unit.</v>
          </cell>
          <cell r="I1055">
            <v>0</v>
          </cell>
        </row>
        <row r="1056">
          <cell r="B1056" t="str">
            <v>T003</v>
          </cell>
          <cell r="C1056" t="str">
            <v>TRANS AGUA 0-5KM</v>
          </cell>
          <cell r="D1056">
            <v>0.2</v>
          </cell>
          <cell r="E1056">
            <v>5</v>
          </cell>
          <cell r="F1056">
            <v>1</v>
          </cell>
          <cell r="G1056">
            <v>1120</v>
          </cell>
          <cell r="H1056">
            <v>1120</v>
          </cell>
          <cell r="I1056">
            <v>0</v>
          </cell>
        </row>
        <row r="1057">
          <cell r="B1057" t="str">
            <v>T008</v>
          </cell>
          <cell r="C1057" t="str">
            <v>TRANS MATERIAL &gt; 10 KM</v>
          </cell>
          <cell r="D1057">
            <v>1.3</v>
          </cell>
          <cell r="E1057">
            <v>61</v>
          </cell>
          <cell r="F1057">
            <v>79.3</v>
          </cell>
          <cell r="G1057">
            <v>1020</v>
          </cell>
          <cell r="H1057">
            <v>80886</v>
          </cell>
          <cell r="I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 t="str">
            <v>Sub-Total</v>
          </cell>
          <cell r="G1059" t="str">
            <v>3.4</v>
          </cell>
          <cell r="H1059" t="str">
            <v>TRAN-3.4</v>
          </cell>
          <cell r="I1059">
            <v>82006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</row>
        <row r="1061">
          <cell r="B1061">
            <v>0</v>
          </cell>
          <cell r="C1061">
            <v>0</v>
          </cell>
          <cell r="D1061" t="str">
            <v>JORNAL-HORA</v>
          </cell>
          <cell r="E1061" t="str">
            <v>PRES</v>
          </cell>
          <cell r="F1061" t="str">
            <v>JORNAL TOTAL</v>
          </cell>
          <cell r="G1061" t="str">
            <v>RENDIEMIENTO</v>
          </cell>
          <cell r="H1061" t="str">
            <v>VALOR-UNIT</v>
          </cell>
          <cell r="I1061">
            <v>0</v>
          </cell>
        </row>
        <row r="1062">
          <cell r="B1062" t="str">
            <v>MO004</v>
          </cell>
          <cell r="C1062" t="str">
            <v>OFICIAL</v>
          </cell>
          <cell r="D1062">
            <v>10270.602514022436</v>
          </cell>
          <cell r="E1062">
            <v>0.56000000000000005</v>
          </cell>
          <cell r="F1062">
            <v>16022.139921875001</v>
          </cell>
          <cell r="G1062">
            <v>7.4999999999999997E-2</v>
          </cell>
          <cell r="H1062">
            <v>1201.6604941406251</v>
          </cell>
          <cell r="I1062">
            <v>0</v>
          </cell>
        </row>
        <row r="1063">
          <cell r="B1063" t="str">
            <v>MO005</v>
          </cell>
          <cell r="C1063" t="str">
            <v>AYUDANTE ENTENDIDO</v>
          </cell>
          <cell r="D1063">
            <v>6411.5899439102559</v>
          </cell>
          <cell r="E1063">
            <v>0.56000000000000005</v>
          </cell>
          <cell r="F1063">
            <v>10002.0803125</v>
          </cell>
          <cell r="G1063">
            <v>7.4999999999999997E-2</v>
          </cell>
          <cell r="H1063">
            <v>750.15602343750004</v>
          </cell>
          <cell r="I1063">
            <v>0</v>
          </cell>
        </row>
        <row r="1064">
          <cell r="B1064" t="str">
            <v>MO006</v>
          </cell>
          <cell r="C1064" t="str">
            <v>AYUDANTE</v>
          </cell>
          <cell r="D1064">
            <v>4633.604176682692</v>
          </cell>
          <cell r="E1064">
            <v>0.56000000000000005</v>
          </cell>
          <cell r="F1064">
            <v>7228.4225156249995</v>
          </cell>
          <cell r="G1064">
            <v>7.4999999999999997E-2</v>
          </cell>
          <cell r="H1064">
            <v>542.13168867187494</v>
          </cell>
          <cell r="I1064">
            <v>0</v>
          </cell>
        </row>
        <row r="1065">
          <cell r="B1065" t="str">
            <v>MO001</v>
          </cell>
          <cell r="C1065" t="str">
            <v>TOPOGRAFO</v>
          </cell>
          <cell r="D1065">
            <v>12324.724108573719</v>
          </cell>
          <cell r="E1065">
            <v>0.56000000000000005</v>
          </cell>
          <cell r="F1065">
            <v>19226.569609375001</v>
          </cell>
          <cell r="G1065">
            <v>7.4999999999999997E-2</v>
          </cell>
          <cell r="H1065">
            <v>1441.9927207031251</v>
          </cell>
          <cell r="I1065">
            <v>0</v>
          </cell>
        </row>
        <row r="1066">
          <cell r="B1066" t="str">
            <v>MO002</v>
          </cell>
          <cell r="C1066" t="str">
            <v>CADENERO 1</v>
          </cell>
          <cell r="D1066">
            <v>4426.7123898237178</v>
          </cell>
          <cell r="E1066">
            <v>0.56000000000000005</v>
          </cell>
          <cell r="F1066">
            <v>6905.6713281249995</v>
          </cell>
          <cell r="G1066">
            <v>7.4999999999999997E-2</v>
          </cell>
          <cell r="H1066">
            <v>517.92534960937496</v>
          </cell>
          <cell r="I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 t="str">
            <v>Sub-Total</v>
          </cell>
          <cell r="G1068" t="str">
            <v>3.4</v>
          </cell>
          <cell r="H1068" t="str">
            <v>MDEO-3.4</v>
          </cell>
          <cell r="I1068">
            <v>4453.8662765625004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222.69331382812504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 t="str">
            <v>Total Costo Directo</v>
          </cell>
          <cell r="G1070">
            <v>0</v>
          </cell>
          <cell r="H1070">
            <v>0</v>
          </cell>
          <cell r="I1070">
            <v>141463</v>
          </cell>
        </row>
        <row r="1071">
          <cell r="B1071">
            <v>0</v>
          </cell>
          <cell r="C1071">
            <v>0</v>
          </cell>
          <cell r="D1071">
            <v>0</v>
          </cell>
          <cell r="E1071" t="str">
            <v>PORCENTAJE</v>
          </cell>
          <cell r="F1071">
            <v>0</v>
          </cell>
          <cell r="G1071" t="str">
            <v>V. COSTO INDERECTO</v>
          </cell>
          <cell r="H1071">
            <v>0</v>
          </cell>
          <cell r="I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0.02</v>
          </cell>
          <cell r="F1072">
            <v>0</v>
          </cell>
          <cell r="G1072">
            <v>2829.26</v>
          </cell>
          <cell r="H1072">
            <v>0</v>
          </cell>
          <cell r="I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  <cell r="E1073">
            <v>0.23</v>
          </cell>
          <cell r="F1073">
            <v>0</v>
          </cell>
          <cell r="G1073">
            <v>32536.49</v>
          </cell>
          <cell r="H1073">
            <v>0</v>
          </cell>
          <cell r="I1073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  <cell r="E1074">
            <v>0.05</v>
          </cell>
          <cell r="F1074">
            <v>0</v>
          </cell>
          <cell r="G1074">
            <v>7073.1500000000005</v>
          </cell>
          <cell r="H1074">
            <v>0</v>
          </cell>
          <cell r="I1074">
            <v>0</v>
          </cell>
        </row>
        <row r="1075">
          <cell r="B1075">
            <v>0</v>
          </cell>
          <cell r="C1075">
            <v>0</v>
          </cell>
          <cell r="D1075">
            <v>0</v>
          </cell>
          <cell r="E1075">
            <v>0.02</v>
          </cell>
          <cell r="F1075">
            <v>0</v>
          </cell>
          <cell r="G1075">
            <v>2829.26</v>
          </cell>
          <cell r="H1075">
            <v>0</v>
          </cell>
          <cell r="I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45268.160000000003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186731.16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 t="str">
            <v>REVISA</v>
          </cell>
          <cell r="G1079">
            <v>0</v>
          </cell>
          <cell r="H1079">
            <v>0</v>
          </cell>
          <cell r="I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 t="str">
            <v>FIRMA:</v>
          </cell>
          <cell r="G1080">
            <v>0</v>
          </cell>
          <cell r="H1080">
            <v>0</v>
          </cell>
          <cell r="I1080">
            <v>0</v>
          </cell>
        </row>
        <row r="1081">
          <cell r="B1081" t="str">
            <v>JHON EMIR GAMBOA MENA</v>
          </cell>
          <cell r="C1081">
            <v>0</v>
          </cell>
          <cell r="F1081" t="str">
            <v>NOMBRE</v>
          </cell>
          <cell r="G1081">
            <v>0</v>
          </cell>
          <cell r="H1081">
            <v>0</v>
          </cell>
          <cell r="I1081">
            <v>0</v>
          </cell>
        </row>
        <row r="1082">
          <cell r="B1082" t="str">
            <v>05202-316814 ANT</v>
          </cell>
          <cell r="C1082">
            <v>0</v>
          </cell>
          <cell r="F1082" t="str">
            <v>MAT:</v>
          </cell>
          <cell r="G1082">
            <v>0</v>
          </cell>
          <cell r="H1082">
            <v>0</v>
          </cell>
          <cell r="I1082">
            <v>0</v>
          </cell>
        </row>
        <row r="1083">
          <cell r="B1083">
            <v>0</v>
          </cell>
          <cell r="C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</row>
        <row r="1084"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</row>
        <row r="1088">
          <cell r="B1088" t="str">
            <v>3.5</v>
          </cell>
          <cell r="C1088" t="str">
            <v>DESCRIPCION:</v>
          </cell>
          <cell r="D1088" t="str">
            <v>PAVIMENTO EN CONCRETO HIDRAULICO MR 4 Mpa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</row>
        <row r="1089">
          <cell r="B1089" t="str">
            <v>500-13</v>
          </cell>
          <cell r="C1089">
            <v>0</v>
          </cell>
          <cell r="D1089" t="str">
            <v>UNIDAD</v>
          </cell>
          <cell r="E1089" t="str">
            <v>M3</v>
          </cell>
          <cell r="F1089" t="str">
            <v>CANTIDAD</v>
          </cell>
          <cell r="G1089">
            <v>962.37706743203182</v>
          </cell>
          <cell r="H1089" t="str">
            <v>V. UNITARIO:</v>
          </cell>
          <cell r="I1089">
            <v>885656</v>
          </cell>
        </row>
        <row r="1090"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</row>
        <row r="1091"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 t="str">
            <v>Tarifa/Hora</v>
          </cell>
          <cell r="G1091" t="str">
            <v>Rendimiento</v>
          </cell>
          <cell r="H1091" t="str">
            <v>Valor-Unit.</v>
          </cell>
          <cell r="I1091">
            <v>0</v>
          </cell>
        </row>
        <row r="1092">
          <cell r="B1092" t="str">
            <v>E026</v>
          </cell>
          <cell r="C1092" t="str">
            <v>TANQUE DE ALMACENAMIENTO DE AGUA</v>
          </cell>
          <cell r="D1092">
            <v>0</v>
          </cell>
          <cell r="E1092">
            <v>0</v>
          </cell>
          <cell r="F1092">
            <v>1000</v>
          </cell>
          <cell r="G1092">
            <v>0.2</v>
          </cell>
          <cell r="H1092">
            <v>200</v>
          </cell>
          <cell r="I1092">
            <v>0</v>
          </cell>
        </row>
        <row r="1093">
          <cell r="B1093" t="str">
            <v>E009</v>
          </cell>
          <cell r="C1093" t="str">
            <v xml:space="preserve">EQUIPO PARA COMISION DE TOPOGRAFIA </v>
          </cell>
          <cell r="D1093">
            <v>0</v>
          </cell>
          <cell r="E1093">
            <v>0</v>
          </cell>
          <cell r="F1093">
            <v>57000</v>
          </cell>
          <cell r="G1093">
            <v>0.05</v>
          </cell>
          <cell r="H1093">
            <v>2850</v>
          </cell>
          <cell r="I1093">
            <v>0</v>
          </cell>
        </row>
        <row r="1094">
          <cell r="B1094" t="str">
            <v>E006</v>
          </cell>
          <cell r="C1094" t="str">
            <v>EQUIPO DE PAVIMENTO (FLOTA Y RASTRILLO)</v>
          </cell>
          <cell r="D1094">
            <v>0</v>
          </cell>
          <cell r="E1094">
            <v>0</v>
          </cell>
          <cell r="F1094">
            <v>1500</v>
          </cell>
          <cell r="G1094">
            <v>1</v>
          </cell>
          <cell r="H1094">
            <v>1500</v>
          </cell>
          <cell r="I1094">
            <v>0</v>
          </cell>
        </row>
        <row r="1095">
          <cell r="B1095" t="str">
            <v>E027</v>
          </cell>
          <cell r="C1095" t="str">
            <v>VIBRADOR DE AGUJA</v>
          </cell>
          <cell r="D1095">
            <v>0</v>
          </cell>
          <cell r="E1095">
            <v>0</v>
          </cell>
          <cell r="F1095">
            <v>4375</v>
          </cell>
          <cell r="G1095">
            <v>1</v>
          </cell>
          <cell r="H1095">
            <v>4375</v>
          </cell>
          <cell r="I1095">
            <v>0</v>
          </cell>
        </row>
        <row r="1096">
          <cell r="B1096" t="str">
            <v>E014</v>
          </cell>
          <cell r="C1096" t="str">
            <v>FORMALETA METALICA PARA PAVIMETNO</v>
          </cell>
          <cell r="D1096">
            <v>0</v>
          </cell>
          <cell r="E1096">
            <v>0</v>
          </cell>
          <cell r="F1096">
            <v>1000</v>
          </cell>
          <cell r="G1096">
            <v>1</v>
          </cell>
          <cell r="H1096">
            <v>1000</v>
          </cell>
          <cell r="I1096">
            <v>0</v>
          </cell>
        </row>
        <row r="1097">
          <cell r="B1097" t="str">
            <v>E021</v>
          </cell>
          <cell r="C1097" t="str">
            <v>REGLA VIBRATORIA</v>
          </cell>
          <cell r="D1097">
            <v>0</v>
          </cell>
          <cell r="E1097">
            <v>0</v>
          </cell>
          <cell r="F1097">
            <v>2500</v>
          </cell>
          <cell r="G1097">
            <v>1</v>
          </cell>
          <cell r="H1097">
            <v>2500</v>
          </cell>
          <cell r="I1097">
            <v>0</v>
          </cell>
        </row>
        <row r="1098">
          <cell r="B1098" t="str">
            <v>E018</v>
          </cell>
          <cell r="C1098" t="str">
            <v>LISTON Y VARILLA AJUS. FORMALETA METALICA</v>
          </cell>
          <cell r="D1098">
            <v>0</v>
          </cell>
          <cell r="E1098">
            <v>0</v>
          </cell>
          <cell r="F1098">
            <v>1000</v>
          </cell>
          <cell r="G1098">
            <v>1</v>
          </cell>
          <cell r="H1098">
            <v>1000</v>
          </cell>
          <cell r="I1098">
            <v>0</v>
          </cell>
        </row>
        <row r="1099">
          <cell r="B1099" t="str">
            <v>E004</v>
          </cell>
          <cell r="C1099" t="str">
            <v>CORTADORA DE PAVIMENTO</v>
          </cell>
          <cell r="D1099">
            <v>0</v>
          </cell>
          <cell r="E1099">
            <v>0</v>
          </cell>
          <cell r="F1099">
            <v>7500</v>
          </cell>
          <cell r="G1099">
            <v>0.4</v>
          </cell>
          <cell r="H1099">
            <v>3000</v>
          </cell>
          <cell r="I1099">
            <v>0</v>
          </cell>
        </row>
        <row r="1100">
          <cell r="B1100" t="str">
            <v>E008</v>
          </cell>
          <cell r="C1100" t="str">
            <v>EQUIPO DEMOLEDOR TIPO COMPRESOR</v>
          </cell>
          <cell r="D1100">
            <v>0</v>
          </cell>
          <cell r="E1100">
            <v>0</v>
          </cell>
          <cell r="F1100">
            <v>65000</v>
          </cell>
          <cell r="G1100">
            <v>0.4</v>
          </cell>
          <cell r="H1100">
            <v>26000</v>
          </cell>
          <cell r="I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 t="str">
            <v>Sub-Total</v>
          </cell>
          <cell r="G1101" t="str">
            <v>3.5</v>
          </cell>
          <cell r="H1101" t="str">
            <v>EQUI-3.5</v>
          </cell>
          <cell r="I1101">
            <v>42425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 t="str">
            <v>UNIDAD</v>
          </cell>
          <cell r="F1103" t="str">
            <v>V.UNIT</v>
          </cell>
          <cell r="G1103" t="str">
            <v>CANT</v>
          </cell>
          <cell r="H1103" t="str">
            <v>V.TOTAL</v>
          </cell>
          <cell r="I1103">
            <v>0</v>
          </cell>
        </row>
        <row r="1104">
          <cell r="B1104" t="str">
            <v>M068</v>
          </cell>
          <cell r="C1104" t="str">
            <v>CONCRETO PREMEZCLADO MR 4 Mpa</v>
          </cell>
          <cell r="D1104">
            <v>0</v>
          </cell>
          <cell r="E1104" t="str">
            <v>M3</v>
          </cell>
          <cell r="F1104">
            <v>495000</v>
          </cell>
          <cell r="G1104">
            <v>1.05</v>
          </cell>
          <cell r="H1104">
            <v>519750</v>
          </cell>
          <cell r="I1104">
            <v>0</v>
          </cell>
        </row>
        <row r="1105">
          <cell r="B1105" t="str">
            <v>M017</v>
          </cell>
          <cell r="C1105" t="str">
            <v>CURADOR TIPO ANTISOL</v>
          </cell>
          <cell r="D1105">
            <v>0</v>
          </cell>
          <cell r="E1105" t="str">
            <v>KG</v>
          </cell>
          <cell r="F1105">
            <v>5440</v>
          </cell>
          <cell r="G1105">
            <v>4</v>
          </cell>
          <cell r="H1105">
            <v>21760</v>
          </cell>
          <cell r="I1105">
            <v>0</v>
          </cell>
        </row>
        <row r="1106">
          <cell r="B1106" t="str">
            <v>M043</v>
          </cell>
          <cell r="C1106" t="str">
            <v>SIKAFLEX</v>
          </cell>
          <cell r="D1106">
            <v>0</v>
          </cell>
          <cell r="E1106" t="str">
            <v>CC</v>
          </cell>
          <cell r="F1106">
            <v>26775</v>
          </cell>
          <cell r="G1106">
            <v>0.6</v>
          </cell>
          <cell r="H1106">
            <v>16065</v>
          </cell>
          <cell r="I1106">
            <v>0</v>
          </cell>
        </row>
        <row r="1107">
          <cell r="B1107" t="str">
            <v>M044</v>
          </cell>
          <cell r="C1107" t="str">
            <v>SIKAROD</v>
          </cell>
          <cell r="D1107">
            <v>0</v>
          </cell>
          <cell r="E1107" t="str">
            <v>ML</v>
          </cell>
          <cell r="F1107">
            <v>2600</v>
          </cell>
          <cell r="G1107">
            <v>5</v>
          </cell>
          <cell r="H1107">
            <v>13000</v>
          </cell>
          <cell r="I1107">
            <v>0</v>
          </cell>
        </row>
        <row r="1108">
          <cell r="B1108" t="str">
            <v>M002</v>
          </cell>
          <cell r="C1108" t="str">
            <v>ACERO  60000 PSI</v>
          </cell>
          <cell r="D1108">
            <v>0</v>
          </cell>
          <cell r="E1108" t="str">
            <v>KG</v>
          </cell>
          <cell r="F1108">
            <v>2510</v>
          </cell>
          <cell r="G1108">
            <v>1.8480000000000003</v>
          </cell>
          <cell r="H1108">
            <v>4638.4800000000005</v>
          </cell>
          <cell r="I1108">
            <v>0</v>
          </cell>
        </row>
        <row r="1109">
          <cell r="B1109" t="str">
            <v>M069</v>
          </cell>
          <cell r="C1109" t="str">
            <v>PASAJUNTAS L3m Ø 7/8"</v>
          </cell>
          <cell r="D1109">
            <v>0</v>
          </cell>
          <cell r="E1109" t="str">
            <v>UN</v>
          </cell>
          <cell r="F1109">
            <v>58000</v>
          </cell>
          <cell r="G1109">
            <v>1</v>
          </cell>
          <cell r="H1109">
            <v>58000</v>
          </cell>
          <cell r="I1109">
            <v>0</v>
          </cell>
        </row>
        <row r="1110">
          <cell r="B1110" t="str">
            <v>M019</v>
          </cell>
          <cell r="C1110" t="str">
            <v>DISCO DIAMANTADO DE 14"</v>
          </cell>
          <cell r="D1110">
            <v>0</v>
          </cell>
          <cell r="E1110" t="str">
            <v>UN</v>
          </cell>
          <cell r="F1110">
            <v>93900</v>
          </cell>
          <cell r="G1110">
            <v>0.22</v>
          </cell>
          <cell r="H1110">
            <v>20658</v>
          </cell>
          <cell r="I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 t="str">
            <v>Sub-Total</v>
          </cell>
          <cell r="G1111" t="str">
            <v>3.5</v>
          </cell>
          <cell r="H1111" t="str">
            <v>MAT-3.5</v>
          </cell>
          <cell r="I1111">
            <v>653871.48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</row>
        <row r="1113">
          <cell r="B1113">
            <v>0</v>
          </cell>
          <cell r="C1113">
            <v>0</v>
          </cell>
          <cell r="D1113" t="str">
            <v xml:space="preserve">CAN </v>
          </cell>
          <cell r="E1113" t="str">
            <v>DISTANCIA</v>
          </cell>
          <cell r="F1113" t="str">
            <v>M3-Km / UN-KM</v>
          </cell>
          <cell r="G1113" t="str">
            <v>TARIFA</v>
          </cell>
          <cell r="H1113" t="str">
            <v>Valor-Unit.</v>
          </cell>
          <cell r="I1113">
            <v>0</v>
          </cell>
        </row>
        <row r="1114">
          <cell r="B1114" t="str">
            <v>T008</v>
          </cell>
          <cell r="C1114" t="str">
            <v>TRANS MATERIAL &gt; 10 KM</v>
          </cell>
          <cell r="D1114">
            <v>1.05</v>
          </cell>
          <cell r="E1114">
            <v>45</v>
          </cell>
          <cell r="F1114">
            <v>47.25</v>
          </cell>
          <cell r="G1114">
            <v>1020</v>
          </cell>
          <cell r="H1114">
            <v>48195</v>
          </cell>
          <cell r="I1114">
            <v>0</v>
          </cell>
        </row>
        <row r="1115"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 t="str">
            <v>Sub-Total</v>
          </cell>
          <cell r="G1115" t="str">
            <v>3.5</v>
          </cell>
          <cell r="H1115" t="str">
            <v>TRAN-3.5</v>
          </cell>
          <cell r="I1115">
            <v>48195</v>
          </cell>
        </row>
        <row r="1116"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</row>
        <row r="1117">
          <cell r="B1117">
            <v>0</v>
          </cell>
          <cell r="C1117">
            <v>0</v>
          </cell>
          <cell r="D1117" t="str">
            <v>JORNAL-HORA</v>
          </cell>
          <cell r="E1117" t="str">
            <v>PRES</v>
          </cell>
          <cell r="F1117" t="str">
            <v>JORNAL TOTAL</v>
          </cell>
          <cell r="G1117" t="str">
            <v>RENDIEMIENTO</v>
          </cell>
          <cell r="H1117" t="str">
            <v>VALOR-UNIT</v>
          </cell>
          <cell r="I1117">
            <v>0</v>
          </cell>
        </row>
        <row r="1118">
          <cell r="B1118" t="str">
            <v>MO004</v>
          </cell>
          <cell r="C1118" t="str">
            <v>OFICIAL</v>
          </cell>
          <cell r="D1118">
            <v>10270.602514022436</v>
          </cell>
          <cell r="E1118">
            <v>0.56000000000000005</v>
          </cell>
          <cell r="F1118">
            <v>16022.139921875001</v>
          </cell>
          <cell r="G1118">
            <v>1</v>
          </cell>
          <cell r="H1118">
            <v>16022.139921875001</v>
          </cell>
          <cell r="I1118">
            <v>0</v>
          </cell>
        </row>
        <row r="1119">
          <cell r="B1119" t="str">
            <v>MO005</v>
          </cell>
          <cell r="C1119" t="str">
            <v>AYUDANTE ENTENDIDO</v>
          </cell>
          <cell r="D1119">
            <v>6411.5899439102559</v>
          </cell>
          <cell r="E1119">
            <v>0.56000000000000005</v>
          </cell>
          <cell r="F1119">
            <v>10002.0803125</v>
          </cell>
          <cell r="G1119">
            <v>2</v>
          </cell>
          <cell r="H1119">
            <v>20004.160625</v>
          </cell>
          <cell r="I1119">
            <v>0</v>
          </cell>
        </row>
        <row r="1120">
          <cell r="B1120" t="str">
            <v>MO006</v>
          </cell>
          <cell r="C1120" t="str">
            <v>AYUDANTE</v>
          </cell>
          <cell r="D1120">
            <v>4633.604176682692</v>
          </cell>
          <cell r="E1120">
            <v>0.56000000000000005</v>
          </cell>
          <cell r="F1120">
            <v>7228.4225156249995</v>
          </cell>
          <cell r="G1120">
            <v>10</v>
          </cell>
          <cell r="H1120">
            <v>72284.225156250002</v>
          </cell>
          <cell r="I1120">
            <v>0</v>
          </cell>
        </row>
        <row r="1121">
          <cell r="B1121" t="str">
            <v>MO001</v>
          </cell>
          <cell r="C1121" t="str">
            <v>TOPOGRAFO</v>
          </cell>
          <cell r="D1121">
            <v>12324.724108573719</v>
          </cell>
          <cell r="E1121">
            <v>0.56000000000000005</v>
          </cell>
          <cell r="F1121">
            <v>19226.569609375001</v>
          </cell>
          <cell r="G1121">
            <v>1</v>
          </cell>
          <cell r="H1121">
            <v>19226.569609375001</v>
          </cell>
          <cell r="I1121">
            <v>0</v>
          </cell>
        </row>
        <row r="1122">
          <cell r="B1122" t="str">
            <v>MO002</v>
          </cell>
          <cell r="C1122" t="str">
            <v>CADENERO 1</v>
          </cell>
          <cell r="D1122">
            <v>4426.7123898237178</v>
          </cell>
          <cell r="E1122">
            <v>0.56000000000000005</v>
          </cell>
          <cell r="F1122">
            <v>6905.6713281249995</v>
          </cell>
          <cell r="G1122">
            <v>1</v>
          </cell>
          <cell r="H1122">
            <v>6905.6713281249995</v>
          </cell>
          <cell r="I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</row>
        <row r="1124"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 t="str">
            <v>Sub-Total</v>
          </cell>
          <cell r="G1124" t="str">
            <v>3.5</v>
          </cell>
          <cell r="H1124" t="str">
            <v>MDEO-3.5</v>
          </cell>
          <cell r="I1124">
            <v>134442.76664062502</v>
          </cell>
        </row>
        <row r="1125"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6722.1383320312516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 t="str">
            <v>Total Costo Directo</v>
          </cell>
          <cell r="G1126">
            <v>0</v>
          </cell>
          <cell r="H1126">
            <v>0</v>
          </cell>
          <cell r="I1126">
            <v>885656</v>
          </cell>
        </row>
        <row r="1127">
          <cell r="B1127">
            <v>0</v>
          </cell>
          <cell r="C1127">
            <v>0</v>
          </cell>
          <cell r="D1127">
            <v>0</v>
          </cell>
          <cell r="E1127" t="str">
            <v>PORCENTAJE</v>
          </cell>
          <cell r="F1127">
            <v>0</v>
          </cell>
          <cell r="G1127" t="str">
            <v>V. COSTO INDERECTO</v>
          </cell>
          <cell r="H1127">
            <v>0</v>
          </cell>
          <cell r="I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0.02</v>
          </cell>
          <cell r="F1128">
            <v>0</v>
          </cell>
          <cell r="G1128">
            <v>17713.12</v>
          </cell>
          <cell r="H1128">
            <v>0</v>
          </cell>
          <cell r="I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  <cell r="E1129">
            <v>0.23</v>
          </cell>
          <cell r="F1129">
            <v>0</v>
          </cell>
          <cell r="G1129">
            <v>203700.88</v>
          </cell>
          <cell r="H1129">
            <v>0</v>
          </cell>
          <cell r="I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0.05</v>
          </cell>
          <cell r="F1130">
            <v>0</v>
          </cell>
          <cell r="G1130">
            <v>44282.8</v>
          </cell>
          <cell r="H1130">
            <v>0</v>
          </cell>
          <cell r="I1130">
            <v>0</v>
          </cell>
        </row>
        <row r="1131">
          <cell r="B1131">
            <v>0</v>
          </cell>
          <cell r="C1131">
            <v>0</v>
          </cell>
          <cell r="D1131">
            <v>0</v>
          </cell>
          <cell r="E1131">
            <v>0.02</v>
          </cell>
          <cell r="F1131">
            <v>0</v>
          </cell>
          <cell r="G1131">
            <v>17713.12</v>
          </cell>
          <cell r="H1131">
            <v>0</v>
          </cell>
          <cell r="I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283409.91999999998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1169065.92</v>
          </cell>
        </row>
        <row r="1134"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</row>
        <row r="1135"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 t="str">
            <v>REVISA</v>
          </cell>
          <cell r="G1135">
            <v>0</v>
          </cell>
          <cell r="H1135">
            <v>0</v>
          </cell>
          <cell r="I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 t="str">
            <v>FIRMA:</v>
          </cell>
          <cell r="G1136">
            <v>0</v>
          </cell>
          <cell r="H1136">
            <v>0</v>
          </cell>
          <cell r="I1136">
            <v>0</v>
          </cell>
        </row>
        <row r="1137">
          <cell r="B1137" t="str">
            <v>JHON EMIR GAMBOA MENA</v>
          </cell>
          <cell r="C1137">
            <v>0</v>
          </cell>
          <cell r="F1137" t="str">
            <v>NOMBRE</v>
          </cell>
          <cell r="G1137">
            <v>0</v>
          </cell>
          <cell r="H1137">
            <v>0</v>
          </cell>
          <cell r="I1137">
            <v>0</v>
          </cell>
        </row>
        <row r="1138">
          <cell r="B1138" t="str">
            <v>05202-316814 ANT</v>
          </cell>
          <cell r="C1138">
            <v>0</v>
          </cell>
          <cell r="F1138" t="str">
            <v>MAT:</v>
          </cell>
          <cell r="G1138">
            <v>0</v>
          </cell>
          <cell r="H1138">
            <v>0</v>
          </cell>
          <cell r="I1138">
            <v>0</v>
          </cell>
        </row>
        <row r="1139">
          <cell r="B1139">
            <v>0</v>
          </cell>
          <cell r="C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</row>
        <row r="1142"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</row>
        <row r="1143"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</row>
        <row r="1144">
          <cell r="B1144" t="str">
            <v>3.6</v>
          </cell>
          <cell r="C1144" t="str">
            <v>DESCRIPCION:</v>
          </cell>
          <cell r="D1144" t="str">
            <v>SUMINISTRO CORTE, FIGURACIÓN Y COLOCACIÓN DE ACERO 60000 PSI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</row>
        <row r="1145">
          <cell r="B1145" t="str">
            <v>641.1-13</v>
          </cell>
          <cell r="C1145">
            <v>0</v>
          </cell>
          <cell r="D1145" t="str">
            <v>UNIDAD</v>
          </cell>
          <cell r="E1145" t="str">
            <v>KG</v>
          </cell>
          <cell r="F1145" t="str">
            <v>CANTIDAD</v>
          </cell>
          <cell r="G1145">
            <v>3627.1340459219177</v>
          </cell>
          <cell r="H1145" t="str">
            <v>V. UNITARIO:</v>
          </cell>
          <cell r="I1145">
            <v>5327</v>
          </cell>
        </row>
        <row r="1146"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</row>
        <row r="1147"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 t="str">
            <v>Tarifa/Hora</v>
          </cell>
          <cell r="G1147" t="str">
            <v>Rendimiento</v>
          </cell>
          <cell r="H1147" t="str">
            <v>Valor-Unit.</v>
          </cell>
          <cell r="I1147">
            <v>0</v>
          </cell>
        </row>
        <row r="1148"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 t="str">
            <v>Sub-Total</v>
          </cell>
          <cell r="G1152" t="str">
            <v>3.6</v>
          </cell>
          <cell r="H1152" t="str">
            <v>EQUI-3.6</v>
          </cell>
          <cell r="I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</row>
        <row r="1154">
          <cell r="B1154">
            <v>0</v>
          </cell>
          <cell r="C1154">
            <v>0</v>
          </cell>
          <cell r="D1154">
            <v>0</v>
          </cell>
          <cell r="E1154" t="str">
            <v>UNIDAD</v>
          </cell>
          <cell r="F1154" t="str">
            <v>V.UNIT</v>
          </cell>
          <cell r="G1154" t="str">
            <v>CANT</v>
          </cell>
          <cell r="H1154" t="str">
            <v>V.TOTAL</v>
          </cell>
          <cell r="I1154">
            <v>0</v>
          </cell>
        </row>
        <row r="1155">
          <cell r="B1155" t="str">
            <v>M002</v>
          </cell>
          <cell r="C1155" t="str">
            <v>ACERO  60000 PSI</v>
          </cell>
          <cell r="D1155">
            <v>0</v>
          </cell>
          <cell r="E1155" t="str">
            <v>KG</v>
          </cell>
          <cell r="F1155">
            <v>2510</v>
          </cell>
          <cell r="G1155">
            <v>1</v>
          </cell>
          <cell r="H1155">
            <v>2510</v>
          </cell>
          <cell r="I1155">
            <v>0</v>
          </cell>
        </row>
        <row r="1156">
          <cell r="B1156" t="str">
            <v>M005</v>
          </cell>
          <cell r="C1156" t="str">
            <v>ALAMBRE QUEMADO</v>
          </cell>
          <cell r="D1156">
            <v>0</v>
          </cell>
          <cell r="E1156" t="str">
            <v>KG</v>
          </cell>
          <cell r="F1156">
            <v>3550</v>
          </cell>
          <cell r="G1156">
            <v>0.4</v>
          </cell>
          <cell r="H1156">
            <v>1420</v>
          </cell>
          <cell r="I1156">
            <v>0</v>
          </cell>
        </row>
        <row r="1157">
          <cell r="B1157" t="str">
            <v>M008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</row>
        <row r="1158">
          <cell r="B1158" t="str">
            <v>M053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 t="str">
            <v>Sub-Total</v>
          </cell>
          <cell r="G1159" t="str">
            <v>3.6</v>
          </cell>
          <cell r="H1159" t="str">
            <v>MAT-3.6</v>
          </cell>
          <cell r="I1159">
            <v>3930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</row>
        <row r="1161">
          <cell r="B1161">
            <v>0</v>
          </cell>
          <cell r="C1161">
            <v>0</v>
          </cell>
          <cell r="D1161" t="str">
            <v xml:space="preserve">CAN </v>
          </cell>
          <cell r="E1161" t="str">
            <v>DISTANCIA</v>
          </cell>
          <cell r="F1161" t="str">
            <v>M3-Km / UN-KM</v>
          </cell>
          <cell r="G1161" t="str">
            <v>TARIFA</v>
          </cell>
          <cell r="H1161" t="str">
            <v>Valor-Unit.</v>
          </cell>
          <cell r="I1161">
            <v>0</v>
          </cell>
        </row>
        <row r="1162">
          <cell r="B1162" t="str">
            <v>T003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</row>
        <row r="1163">
          <cell r="B1163" t="str">
            <v>T008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</row>
        <row r="1164">
          <cell r="B1164" t="str">
            <v>T001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 t="str">
            <v>Sub-Total</v>
          </cell>
          <cell r="G1165" t="str">
            <v>3.6</v>
          </cell>
          <cell r="H1165" t="str">
            <v>TRAN-3.6</v>
          </cell>
          <cell r="I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</row>
        <row r="1167">
          <cell r="B1167">
            <v>0</v>
          </cell>
          <cell r="C1167">
            <v>0</v>
          </cell>
          <cell r="D1167" t="str">
            <v>JORNAL-HORA</v>
          </cell>
          <cell r="E1167" t="str">
            <v>PRES</v>
          </cell>
          <cell r="F1167" t="str">
            <v>JORNAL TOTAL</v>
          </cell>
          <cell r="G1167" t="str">
            <v>RENDIEMIENTO</v>
          </cell>
          <cell r="H1167" t="str">
            <v>VALOR-UNIT</v>
          </cell>
          <cell r="I1167">
            <v>0</v>
          </cell>
        </row>
        <row r="1168">
          <cell r="B1168" t="str">
            <v>MO004</v>
          </cell>
          <cell r="C1168" t="str">
            <v>OFICIAL</v>
          </cell>
          <cell r="D1168">
            <v>10270.602514022436</v>
          </cell>
          <cell r="E1168">
            <v>0.56000000000000005</v>
          </cell>
          <cell r="F1168">
            <v>16022.139921875001</v>
          </cell>
          <cell r="G1168">
            <v>0.04</v>
          </cell>
          <cell r="H1168">
            <v>640.88559687500003</v>
          </cell>
          <cell r="I1168">
            <v>0</v>
          </cell>
        </row>
        <row r="1169">
          <cell r="B1169" t="str">
            <v>MO005</v>
          </cell>
          <cell r="C1169" t="str">
            <v>AYUDANTE ENTENDIDO</v>
          </cell>
          <cell r="D1169">
            <v>6411.5899439102559</v>
          </cell>
          <cell r="E1169">
            <v>0.56000000000000005</v>
          </cell>
          <cell r="F1169">
            <v>10002.0803125</v>
          </cell>
          <cell r="G1169">
            <v>0.04</v>
          </cell>
          <cell r="H1169">
            <v>400.0832125</v>
          </cell>
          <cell r="I1169">
            <v>0</v>
          </cell>
        </row>
        <row r="1170">
          <cell r="B1170" t="str">
            <v>MO006</v>
          </cell>
          <cell r="C1170" t="str">
            <v>AYUDANTE</v>
          </cell>
          <cell r="D1170">
            <v>4633.604176682692</v>
          </cell>
          <cell r="E1170">
            <v>0.56000000000000005</v>
          </cell>
          <cell r="F1170">
            <v>7228.4225156249995</v>
          </cell>
          <cell r="G1170">
            <v>0.04</v>
          </cell>
          <cell r="H1170">
            <v>289.13690062500001</v>
          </cell>
          <cell r="I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 t="str">
            <v>Sub-Total</v>
          </cell>
          <cell r="G1172" t="str">
            <v>3.6</v>
          </cell>
          <cell r="H1172" t="str">
            <v>MDEO-3.6</v>
          </cell>
          <cell r="I1172">
            <v>1330.10571</v>
          </cell>
        </row>
        <row r="1173"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66.505285499999999</v>
          </cell>
        </row>
        <row r="1174"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 t="str">
            <v>Total Costo Directo</v>
          </cell>
          <cell r="G1174">
            <v>0</v>
          </cell>
          <cell r="H1174">
            <v>0</v>
          </cell>
          <cell r="I1174">
            <v>5327</v>
          </cell>
        </row>
        <row r="1175">
          <cell r="B1175">
            <v>0</v>
          </cell>
          <cell r="C1175">
            <v>0</v>
          </cell>
          <cell r="D1175">
            <v>0</v>
          </cell>
          <cell r="E1175" t="str">
            <v>PORCENTAJE</v>
          </cell>
          <cell r="F1175">
            <v>0</v>
          </cell>
          <cell r="G1175" t="str">
            <v>V. COSTO INDERECTO</v>
          </cell>
          <cell r="H1175">
            <v>0</v>
          </cell>
          <cell r="I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0.02</v>
          </cell>
          <cell r="F1176">
            <v>0</v>
          </cell>
          <cell r="G1176">
            <v>106.54</v>
          </cell>
          <cell r="H1176">
            <v>0</v>
          </cell>
          <cell r="I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0.23</v>
          </cell>
          <cell r="F1177">
            <v>0</v>
          </cell>
          <cell r="G1177">
            <v>1225.21</v>
          </cell>
          <cell r="H1177">
            <v>0</v>
          </cell>
          <cell r="I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0.05</v>
          </cell>
          <cell r="F1178">
            <v>0</v>
          </cell>
          <cell r="G1178">
            <v>266.35000000000002</v>
          </cell>
          <cell r="H1178">
            <v>0</v>
          </cell>
          <cell r="I1178">
            <v>0</v>
          </cell>
        </row>
        <row r="1179">
          <cell r="B1179">
            <v>0</v>
          </cell>
          <cell r="C1179">
            <v>0</v>
          </cell>
          <cell r="D1179">
            <v>0</v>
          </cell>
          <cell r="E1179">
            <v>0.02</v>
          </cell>
          <cell r="F1179">
            <v>0</v>
          </cell>
          <cell r="G1179">
            <v>106.54</v>
          </cell>
          <cell r="H1179">
            <v>0</v>
          </cell>
          <cell r="I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1704.6399999999999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7031.6399999999994</v>
          </cell>
        </row>
        <row r="1182"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 t="str">
            <v>REVISA</v>
          </cell>
          <cell r="G1183">
            <v>0</v>
          </cell>
          <cell r="H1183">
            <v>0</v>
          </cell>
          <cell r="I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 t="str">
            <v>FIRMA:</v>
          </cell>
          <cell r="G1184">
            <v>0</v>
          </cell>
          <cell r="H1184">
            <v>0</v>
          </cell>
          <cell r="I1184">
            <v>0</v>
          </cell>
        </row>
        <row r="1185">
          <cell r="B1185" t="str">
            <v>JHON EMIR GAMBOA MENA</v>
          </cell>
          <cell r="C1185">
            <v>0</v>
          </cell>
          <cell r="F1185" t="str">
            <v>NOMBRE</v>
          </cell>
          <cell r="G1185">
            <v>0</v>
          </cell>
          <cell r="H1185">
            <v>0</v>
          </cell>
          <cell r="I1185">
            <v>0</v>
          </cell>
        </row>
        <row r="1186">
          <cell r="B1186" t="str">
            <v>05202-316814 ANT</v>
          </cell>
          <cell r="C1186">
            <v>0</v>
          </cell>
          <cell r="F1186" t="str">
            <v>MAT:</v>
          </cell>
          <cell r="G1186">
            <v>0</v>
          </cell>
          <cell r="H1186">
            <v>0</v>
          </cell>
          <cell r="I1186">
            <v>0</v>
          </cell>
        </row>
        <row r="1187">
          <cell r="B1187">
            <v>0</v>
          </cell>
          <cell r="C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</row>
        <row r="1189"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</row>
        <row r="1190"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</row>
        <row r="1191">
          <cell r="B1191">
            <v>0</v>
          </cell>
          <cell r="G1191">
            <v>0</v>
          </cell>
          <cell r="I1191">
            <v>0</v>
          </cell>
        </row>
        <row r="1192"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</row>
        <row r="1193">
          <cell r="B1193" t="str">
            <v>4.1</v>
          </cell>
          <cell r="C1193" t="str">
            <v>DESCRIPCION:</v>
          </cell>
          <cell r="D1193" t="str">
            <v>BORDILLOS EN CONCRETO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</row>
        <row r="1194">
          <cell r="B1194" t="str">
            <v>672-13</v>
          </cell>
          <cell r="C1194">
            <v>0</v>
          </cell>
          <cell r="D1194" t="str">
            <v>UNIDAD</v>
          </cell>
          <cell r="E1194" t="str">
            <v>ML</v>
          </cell>
          <cell r="F1194" t="str">
            <v>CANTIDAD</v>
          </cell>
          <cell r="G1194">
            <v>1510</v>
          </cell>
          <cell r="H1194" t="str">
            <v>V. UNITARIO:</v>
          </cell>
          <cell r="I1194">
            <v>61955</v>
          </cell>
        </row>
        <row r="1195"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</row>
        <row r="1196"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 t="str">
            <v>Tarifa/Hora</v>
          </cell>
          <cell r="G1196" t="str">
            <v>Rendimiento</v>
          </cell>
          <cell r="H1196" t="str">
            <v>Valor-Unit.</v>
          </cell>
          <cell r="I1196">
            <v>0</v>
          </cell>
        </row>
        <row r="1197">
          <cell r="B1197" t="str">
            <v>E009</v>
          </cell>
          <cell r="C1197" t="str">
            <v xml:space="preserve">EQUIPO PARA COMISION DE TOPOGRAFIA </v>
          </cell>
          <cell r="D1197">
            <v>0</v>
          </cell>
          <cell r="E1197">
            <v>0</v>
          </cell>
          <cell r="F1197">
            <v>57000</v>
          </cell>
          <cell r="G1197">
            <v>0.02</v>
          </cell>
          <cell r="H1197">
            <v>1140</v>
          </cell>
          <cell r="I1197">
            <v>0</v>
          </cell>
        </row>
        <row r="1198">
          <cell r="B1198" t="str">
            <v>E012</v>
          </cell>
          <cell r="C1198" t="str">
            <v>FORMALETA PARA BORDILLO/CUNETA</v>
          </cell>
          <cell r="D1198">
            <v>0</v>
          </cell>
          <cell r="E1198">
            <v>0</v>
          </cell>
          <cell r="F1198">
            <v>2150</v>
          </cell>
          <cell r="G1198">
            <v>1</v>
          </cell>
          <cell r="H1198">
            <v>2150</v>
          </cell>
          <cell r="I1198">
            <v>0</v>
          </cell>
        </row>
        <row r="1199">
          <cell r="B1199" t="str">
            <v>E027</v>
          </cell>
          <cell r="C1199" t="str">
            <v>VIBRADOR DE AGUJA</v>
          </cell>
          <cell r="D1199">
            <v>0</v>
          </cell>
          <cell r="E1199">
            <v>0</v>
          </cell>
          <cell r="F1199">
            <v>4375</v>
          </cell>
          <cell r="G1199">
            <v>0.3</v>
          </cell>
          <cell r="H1199">
            <v>1312.5</v>
          </cell>
          <cell r="I1199">
            <v>0</v>
          </cell>
        </row>
        <row r="1200">
          <cell r="B1200" t="str">
            <v>E018</v>
          </cell>
          <cell r="C1200" t="str">
            <v>LISTON Y VARILLA AJUS. FORMALETA METALICA</v>
          </cell>
          <cell r="D1200">
            <v>0</v>
          </cell>
          <cell r="E1200">
            <v>0</v>
          </cell>
          <cell r="F1200">
            <v>1000</v>
          </cell>
          <cell r="G1200">
            <v>1</v>
          </cell>
          <cell r="H1200">
            <v>1000</v>
          </cell>
          <cell r="I1200">
            <v>0</v>
          </cell>
        </row>
        <row r="1201"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</row>
        <row r="1202"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</row>
        <row r="1203"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 t="str">
            <v>Sub-Total</v>
          </cell>
          <cell r="G1203" t="str">
            <v>4.1</v>
          </cell>
          <cell r="H1203" t="str">
            <v>EQUI-4.1</v>
          </cell>
          <cell r="I1203">
            <v>5602.5</v>
          </cell>
        </row>
        <row r="1204"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</row>
        <row r="1205">
          <cell r="B1205">
            <v>0</v>
          </cell>
          <cell r="C1205">
            <v>0</v>
          </cell>
          <cell r="D1205">
            <v>0</v>
          </cell>
          <cell r="E1205" t="str">
            <v>UNIDAD</v>
          </cell>
          <cell r="F1205" t="str">
            <v>V.UNIT</v>
          </cell>
          <cell r="G1205" t="str">
            <v>CANT</v>
          </cell>
          <cell r="H1205" t="str">
            <v>V.TOTAL</v>
          </cell>
          <cell r="I1205">
            <v>0</v>
          </cell>
        </row>
        <row r="1206">
          <cell r="B1206" t="str">
            <v>M016</v>
          </cell>
          <cell r="C1206" t="str">
            <v>CONCRETO 2500 PSI</v>
          </cell>
          <cell r="D1206">
            <v>0</v>
          </cell>
          <cell r="E1206" t="str">
            <v>M3</v>
          </cell>
          <cell r="F1206">
            <v>390000</v>
          </cell>
          <cell r="G1206">
            <v>5.2499999999999998E-2</v>
          </cell>
          <cell r="H1206">
            <v>20475</v>
          </cell>
          <cell r="I1206">
            <v>0</v>
          </cell>
        </row>
        <row r="1207">
          <cell r="B1207" t="str">
            <v>M034</v>
          </cell>
          <cell r="C1207" t="str">
            <v>MORTERO 1:6 PARA PEGA Y REVITADA</v>
          </cell>
          <cell r="D1207">
            <v>0</v>
          </cell>
          <cell r="E1207" t="str">
            <v>M3</v>
          </cell>
          <cell r="F1207">
            <v>370000</v>
          </cell>
          <cell r="G1207">
            <v>0.02</v>
          </cell>
          <cell r="H1207">
            <v>7400</v>
          </cell>
          <cell r="I1207">
            <v>0</v>
          </cell>
        </row>
        <row r="1208"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</row>
        <row r="1209"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</row>
        <row r="1210"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</row>
        <row r="1211"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 t="str">
            <v>Sub-Total</v>
          </cell>
          <cell r="G1211" t="str">
            <v>4.1</v>
          </cell>
          <cell r="H1211" t="str">
            <v>MAT-4.1</v>
          </cell>
          <cell r="I1211">
            <v>27875</v>
          </cell>
        </row>
        <row r="1212"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</row>
        <row r="1213">
          <cell r="B1213">
            <v>0</v>
          </cell>
          <cell r="C1213">
            <v>0</v>
          </cell>
          <cell r="D1213" t="str">
            <v xml:space="preserve">CAN </v>
          </cell>
          <cell r="E1213" t="str">
            <v>DISTANCIA</v>
          </cell>
          <cell r="F1213" t="str">
            <v>M3-Km / UN-KM</v>
          </cell>
          <cell r="G1213" t="str">
            <v>TARIFA</v>
          </cell>
          <cell r="H1213" t="str">
            <v>Valor-Unit.</v>
          </cell>
          <cell r="I1213">
            <v>0</v>
          </cell>
        </row>
        <row r="1214">
          <cell r="B1214" t="str">
            <v>T005</v>
          </cell>
          <cell r="C1214" t="str">
            <v>TRANS INT  BORDILLO UN</v>
          </cell>
          <cell r="D1214">
            <v>1</v>
          </cell>
          <cell r="E1214">
            <v>1</v>
          </cell>
          <cell r="F1214">
            <v>1</v>
          </cell>
          <cell r="G1214">
            <v>300</v>
          </cell>
          <cell r="H1214">
            <v>300</v>
          </cell>
          <cell r="I1214">
            <v>0</v>
          </cell>
        </row>
        <row r="1215"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</row>
        <row r="1216"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</row>
        <row r="1217"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 t="str">
            <v>Sub-Total</v>
          </cell>
          <cell r="G1217" t="str">
            <v>4.1</v>
          </cell>
          <cell r="H1217" t="str">
            <v>TRAN-4.1</v>
          </cell>
          <cell r="I1217">
            <v>300</v>
          </cell>
        </row>
        <row r="1218"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</row>
        <row r="1219">
          <cell r="B1219">
            <v>0</v>
          </cell>
          <cell r="C1219">
            <v>0</v>
          </cell>
          <cell r="D1219" t="str">
            <v>JORNAL-HORA</v>
          </cell>
          <cell r="E1219" t="str">
            <v>PRES</v>
          </cell>
          <cell r="F1219" t="str">
            <v>JORNAL TOTAL</v>
          </cell>
          <cell r="G1219" t="str">
            <v>RENDIEMIENTO</v>
          </cell>
          <cell r="H1219" t="str">
            <v>VALOR-UNIT</v>
          </cell>
          <cell r="I1219">
            <v>0</v>
          </cell>
        </row>
        <row r="1220">
          <cell r="B1220" t="str">
            <v>MO004</v>
          </cell>
          <cell r="C1220" t="str">
            <v>OFICIAL</v>
          </cell>
          <cell r="D1220">
            <v>10270.602514022436</v>
          </cell>
          <cell r="E1220">
            <v>0.56000000000000005</v>
          </cell>
          <cell r="F1220">
            <v>16022.139921875001</v>
          </cell>
          <cell r="G1220">
            <v>0.65</v>
          </cell>
          <cell r="H1220">
            <v>10414.39094921875</v>
          </cell>
          <cell r="I1220">
            <v>0</v>
          </cell>
        </row>
        <row r="1221">
          <cell r="B1221" t="str">
            <v>MO005</v>
          </cell>
          <cell r="C1221" t="str">
            <v>AYUDANTE ENTENDIDO</v>
          </cell>
          <cell r="D1221">
            <v>6411.5899439102559</v>
          </cell>
          <cell r="E1221">
            <v>0.56000000000000005</v>
          </cell>
          <cell r="F1221">
            <v>10002.0803125</v>
          </cell>
          <cell r="G1221">
            <v>0.65</v>
          </cell>
          <cell r="H1221">
            <v>6501.3522031250004</v>
          </cell>
          <cell r="I1221">
            <v>0</v>
          </cell>
        </row>
        <row r="1222">
          <cell r="B1222" t="str">
            <v>MO006</v>
          </cell>
          <cell r="C1222" t="str">
            <v>AYUDANTE</v>
          </cell>
          <cell r="D1222">
            <v>4633.604176682692</v>
          </cell>
          <cell r="E1222">
            <v>0.56000000000000005</v>
          </cell>
          <cell r="F1222">
            <v>7228.4225156249995</v>
          </cell>
          <cell r="G1222">
            <v>1.3</v>
          </cell>
          <cell r="H1222">
            <v>9396.9492703124997</v>
          </cell>
          <cell r="I1222">
            <v>0</v>
          </cell>
        </row>
        <row r="1223">
          <cell r="B1223" t="str">
            <v>MO001</v>
          </cell>
          <cell r="C1223" t="str">
            <v>TOPOGRAFO</v>
          </cell>
          <cell r="D1223">
            <v>12324.724108573719</v>
          </cell>
          <cell r="E1223">
            <v>0.56000000000000005</v>
          </cell>
          <cell r="F1223">
            <v>19226.569609375001</v>
          </cell>
          <cell r="G1223">
            <v>0.02</v>
          </cell>
          <cell r="H1223">
            <v>384.53139218750005</v>
          </cell>
          <cell r="I1223">
            <v>0</v>
          </cell>
        </row>
        <row r="1224">
          <cell r="B1224" t="str">
            <v>MO002</v>
          </cell>
          <cell r="C1224" t="str">
            <v>CADENERO 1</v>
          </cell>
          <cell r="D1224">
            <v>4426.7123898237178</v>
          </cell>
          <cell r="E1224">
            <v>0.56000000000000005</v>
          </cell>
          <cell r="F1224">
            <v>6905.6713281249995</v>
          </cell>
          <cell r="G1224">
            <v>0.02</v>
          </cell>
          <cell r="H1224">
            <v>138.1134265625</v>
          </cell>
          <cell r="I1224">
            <v>0</v>
          </cell>
        </row>
        <row r="1225"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 t="str">
            <v>Sub-Total</v>
          </cell>
          <cell r="G1225" t="str">
            <v>4.1</v>
          </cell>
          <cell r="H1225" t="str">
            <v>MDEO-4.1</v>
          </cell>
          <cell r="I1225">
            <v>26835.337241406251</v>
          </cell>
        </row>
        <row r="1226"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1341.7668620703125</v>
          </cell>
        </row>
        <row r="1227"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 t="str">
            <v>Total Costo Directo</v>
          </cell>
          <cell r="G1227">
            <v>0</v>
          </cell>
          <cell r="H1227">
            <v>0</v>
          </cell>
          <cell r="I1227">
            <v>61955</v>
          </cell>
        </row>
        <row r="1228">
          <cell r="B1228">
            <v>0</v>
          </cell>
          <cell r="C1228">
            <v>0</v>
          </cell>
          <cell r="D1228">
            <v>0</v>
          </cell>
          <cell r="E1228" t="str">
            <v>PORCENTAJE</v>
          </cell>
          <cell r="F1228">
            <v>0</v>
          </cell>
          <cell r="G1228" t="str">
            <v>V. COSTO INDERECTO</v>
          </cell>
          <cell r="H1228">
            <v>0</v>
          </cell>
          <cell r="I1228">
            <v>0</v>
          </cell>
        </row>
        <row r="1229">
          <cell r="B1229">
            <v>0</v>
          </cell>
          <cell r="C1229">
            <v>0</v>
          </cell>
          <cell r="D1229">
            <v>0</v>
          </cell>
          <cell r="E1229">
            <v>0.02</v>
          </cell>
          <cell r="F1229">
            <v>0</v>
          </cell>
          <cell r="G1229">
            <v>1239.1000000000001</v>
          </cell>
          <cell r="H1229">
            <v>0</v>
          </cell>
          <cell r="I1229">
            <v>0</v>
          </cell>
        </row>
        <row r="1230">
          <cell r="B1230">
            <v>0</v>
          </cell>
          <cell r="C1230">
            <v>0</v>
          </cell>
          <cell r="D1230">
            <v>0</v>
          </cell>
          <cell r="E1230">
            <v>0.23</v>
          </cell>
          <cell r="F1230">
            <v>0</v>
          </cell>
          <cell r="G1230">
            <v>14249.650000000001</v>
          </cell>
          <cell r="H1230">
            <v>0</v>
          </cell>
          <cell r="I1230">
            <v>0</v>
          </cell>
        </row>
        <row r="1231">
          <cell r="B1231">
            <v>0</v>
          </cell>
          <cell r="C1231">
            <v>0</v>
          </cell>
          <cell r="D1231">
            <v>0</v>
          </cell>
          <cell r="E1231">
            <v>0.05</v>
          </cell>
          <cell r="F1231">
            <v>0</v>
          </cell>
          <cell r="G1231">
            <v>3097.75</v>
          </cell>
          <cell r="H1231">
            <v>0</v>
          </cell>
          <cell r="I1231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  <cell r="E1232">
            <v>0.02</v>
          </cell>
          <cell r="F1232">
            <v>0</v>
          </cell>
          <cell r="G1232">
            <v>1239.1000000000001</v>
          </cell>
          <cell r="H1232">
            <v>0</v>
          </cell>
          <cell r="I1232">
            <v>0</v>
          </cell>
        </row>
        <row r="1233"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19825.599999999999</v>
          </cell>
        </row>
        <row r="1234"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81780.600000000006</v>
          </cell>
        </row>
        <row r="1235"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</row>
        <row r="1236"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 t="str">
            <v>REVISA</v>
          </cell>
          <cell r="G1236">
            <v>0</v>
          </cell>
          <cell r="H1236">
            <v>0</v>
          </cell>
          <cell r="I1236">
            <v>0</v>
          </cell>
        </row>
        <row r="1237"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 t="str">
            <v>FIRMA:</v>
          </cell>
          <cell r="G1237">
            <v>0</v>
          </cell>
          <cell r="H1237">
            <v>0</v>
          </cell>
          <cell r="I1237">
            <v>0</v>
          </cell>
        </row>
        <row r="1238">
          <cell r="B1238" t="str">
            <v>JHON EMIR GAMBOA MENA</v>
          </cell>
          <cell r="C1238">
            <v>0</v>
          </cell>
          <cell r="F1238" t="str">
            <v>NOMBRE</v>
          </cell>
          <cell r="G1238">
            <v>0</v>
          </cell>
          <cell r="H1238">
            <v>0</v>
          </cell>
          <cell r="I1238">
            <v>0</v>
          </cell>
        </row>
        <row r="1239">
          <cell r="B1239" t="str">
            <v>05202-316814 ANT</v>
          </cell>
          <cell r="C1239">
            <v>0</v>
          </cell>
          <cell r="F1239" t="str">
            <v>MAT:</v>
          </cell>
          <cell r="G1239">
            <v>0</v>
          </cell>
          <cell r="H1239">
            <v>0</v>
          </cell>
          <cell r="I1239">
            <v>0</v>
          </cell>
        </row>
        <row r="1240">
          <cell r="B1240">
            <v>0</v>
          </cell>
          <cell r="C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</row>
        <row r="1241"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</row>
        <row r="1242"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</row>
        <row r="1243"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</row>
        <row r="1244">
          <cell r="I1244">
            <v>0</v>
          </cell>
        </row>
        <row r="1245"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</row>
        <row r="1246">
          <cell r="B1246" t="str">
            <v>4.2</v>
          </cell>
          <cell r="C1246" t="str">
            <v>DESCRIPCION:</v>
          </cell>
          <cell r="D1246" t="str">
            <v>CUNETA DE CONCRETO VACIADA IN SITU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</row>
        <row r="1247">
          <cell r="B1247" t="str">
            <v>671.1-13</v>
          </cell>
          <cell r="C1247">
            <v>0</v>
          </cell>
          <cell r="D1247" t="str">
            <v>UNIDAD</v>
          </cell>
          <cell r="E1247" t="str">
            <v>M3</v>
          </cell>
          <cell r="F1247" t="str">
            <v>CANTIDAD</v>
          </cell>
          <cell r="G1247">
            <v>63</v>
          </cell>
          <cell r="H1247" t="str">
            <v>V. UNITARIO:</v>
          </cell>
          <cell r="I1247">
            <v>551221</v>
          </cell>
        </row>
        <row r="1248"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</row>
        <row r="1249"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 t="str">
            <v>Tarifa/Hora</v>
          </cell>
          <cell r="G1249" t="str">
            <v>Rendimiento</v>
          </cell>
          <cell r="H1249" t="str">
            <v>Valor-Unit.</v>
          </cell>
          <cell r="I1249">
            <v>0</v>
          </cell>
        </row>
        <row r="1250">
          <cell r="B1250" t="str">
            <v>E009</v>
          </cell>
          <cell r="C1250" t="str">
            <v xml:space="preserve">EQUIPO PARA COMISION DE TOPOGRAFIA </v>
          </cell>
          <cell r="D1250">
            <v>0</v>
          </cell>
          <cell r="E1250">
            <v>0</v>
          </cell>
          <cell r="F1250">
            <v>57000</v>
          </cell>
          <cell r="G1250">
            <v>0.02</v>
          </cell>
          <cell r="H1250">
            <v>1140</v>
          </cell>
          <cell r="I1250">
            <v>0</v>
          </cell>
        </row>
        <row r="1251">
          <cell r="B1251" t="str">
            <v>E012</v>
          </cell>
          <cell r="C1251" t="str">
            <v>FORMALETA PARA BORDILLO/CUNETA</v>
          </cell>
          <cell r="D1251">
            <v>0</v>
          </cell>
          <cell r="E1251">
            <v>0</v>
          </cell>
          <cell r="F1251">
            <v>2150</v>
          </cell>
          <cell r="G1251">
            <v>1</v>
          </cell>
          <cell r="H1251">
            <v>2150</v>
          </cell>
          <cell r="I1251">
            <v>0</v>
          </cell>
        </row>
        <row r="1252">
          <cell r="B1252" t="str">
            <v>E027</v>
          </cell>
          <cell r="C1252" t="str">
            <v>VIBRADOR DE AGUJA</v>
          </cell>
          <cell r="D1252">
            <v>0</v>
          </cell>
          <cell r="E1252">
            <v>0</v>
          </cell>
          <cell r="F1252">
            <v>4375</v>
          </cell>
          <cell r="G1252">
            <v>0.3</v>
          </cell>
          <cell r="H1252">
            <v>1312.5</v>
          </cell>
          <cell r="I1252">
            <v>0</v>
          </cell>
        </row>
        <row r="1253">
          <cell r="B1253" t="str">
            <v>E018</v>
          </cell>
          <cell r="C1253" t="str">
            <v>LISTON Y VARILLA AJUS. FORMALETA METALICA</v>
          </cell>
          <cell r="D1253">
            <v>0</v>
          </cell>
          <cell r="E1253">
            <v>0</v>
          </cell>
          <cell r="F1253">
            <v>1000</v>
          </cell>
          <cell r="G1253">
            <v>0.5</v>
          </cell>
          <cell r="H1253">
            <v>500</v>
          </cell>
          <cell r="I1253">
            <v>0</v>
          </cell>
        </row>
        <row r="1254"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</row>
        <row r="1255"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</row>
        <row r="1256"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 t="str">
            <v>Sub-Total</v>
          </cell>
          <cell r="G1256" t="str">
            <v>4.2</v>
          </cell>
          <cell r="H1256" t="str">
            <v>EQUI-4.2</v>
          </cell>
          <cell r="I1256">
            <v>5102.5</v>
          </cell>
        </row>
        <row r="1257"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B1258">
            <v>0</v>
          </cell>
          <cell r="C1258">
            <v>0</v>
          </cell>
          <cell r="D1258">
            <v>0</v>
          </cell>
          <cell r="E1258" t="str">
            <v>UNIDAD</v>
          </cell>
          <cell r="F1258" t="str">
            <v>V.UNIT</v>
          </cell>
          <cell r="G1258" t="str">
            <v>CANT</v>
          </cell>
          <cell r="H1258" t="str">
            <v>V.TOTAL</v>
          </cell>
          <cell r="I1258">
            <v>0</v>
          </cell>
        </row>
        <row r="1259">
          <cell r="B1259" t="str">
            <v>M064</v>
          </cell>
          <cell r="C1259" t="str">
            <v>CONCRETO 3000 PSI</v>
          </cell>
          <cell r="D1259">
            <v>0</v>
          </cell>
          <cell r="E1259" t="str">
            <v>M3</v>
          </cell>
          <cell r="F1259">
            <v>410000</v>
          </cell>
          <cell r="G1259">
            <v>1.05</v>
          </cell>
          <cell r="H1259">
            <v>430500</v>
          </cell>
          <cell r="I1259">
            <v>0</v>
          </cell>
        </row>
        <row r="1260">
          <cell r="B1260" t="str">
            <v>M017</v>
          </cell>
          <cell r="C1260" t="str">
            <v>CURADOR TIPO ANTISOL</v>
          </cell>
          <cell r="D1260">
            <v>0</v>
          </cell>
          <cell r="E1260" t="str">
            <v>KG</v>
          </cell>
          <cell r="F1260">
            <v>5440</v>
          </cell>
          <cell r="G1260">
            <v>2</v>
          </cell>
          <cell r="H1260">
            <v>10880</v>
          </cell>
          <cell r="I1260">
            <v>0</v>
          </cell>
        </row>
        <row r="1261"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</row>
        <row r="1262"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</row>
        <row r="1263"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</row>
        <row r="1264"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 t="str">
            <v>Sub-Total</v>
          </cell>
          <cell r="G1264" t="str">
            <v>4.2</v>
          </cell>
          <cell r="H1264" t="str">
            <v>MAT-4.2</v>
          </cell>
          <cell r="I1264">
            <v>441380</v>
          </cell>
        </row>
        <row r="1265"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</row>
        <row r="1266">
          <cell r="B1266">
            <v>0</v>
          </cell>
          <cell r="C1266">
            <v>0</v>
          </cell>
          <cell r="D1266" t="str">
            <v xml:space="preserve">CAN </v>
          </cell>
          <cell r="E1266" t="str">
            <v>DISTANCIA</v>
          </cell>
          <cell r="F1266" t="str">
            <v>M3-Km / UN-KM</v>
          </cell>
          <cell r="G1266" t="str">
            <v>TARIFA</v>
          </cell>
          <cell r="H1266" t="str">
            <v>Valor-Unit.</v>
          </cell>
          <cell r="I1266">
            <v>0</v>
          </cell>
        </row>
        <row r="1267">
          <cell r="B1267" t="str">
            <v>T001</v>
          </cell>
          <cell r="C1267" t="str">
            <v>TRANS INT CONCRETO M3</v>
          </cell>
          <cell r="D1267">
            <v>1</v>
          </cell>
          <cell r="E1267">
            <v>1</v>
          </cell>
          <cell r="F1267">
            <v>1</v>
          </cell>
          <cell r="G1267">
            <v>4000</v>
          </cell>
          <cell r="H1267">
            <v>4000</v>
          </cell>
          <cell r="I1267">
            <v>0</v>
          </cell>
        </row>
        <row r="1268">
          <cell r="B1268" t="str">
            <v>T008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</row>
        <row r="1269">
          <cell r="B1269" t="str">
            <v>T001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 t="str">
            <v>Sub-Total</v>
          </cell>
          <cell r="G1270" t="str">
            <v>4.2</v>
          </cell>
          <cell r="H1270" t="str">
            <v>TRAN-4.2</v>
          </cell>
          <cell r="I1270">
            <v>4000</v>
          </cell>
        </row>
        <row r="1271"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</row>
        <row r="1272">
          <cell r="B1272">
            <v>0</v>
          </cell>
          <cell r="C1272">
            <v>0</v>
          </cell>
          <cell r="D1272" t="str">
            <v>JORNAL-HORA</v>
          </cell>
          <cell r="E1272" t="str">
            <v>PRES</v>
          </cell>
          <cell r="F1272" t="str">
            <v>JORNAL TOTAL</v>
          </cell>
          <cell r="G1272" t="str">
            <v>RENDIEMIENTO</v>
          </cell>
          <cell r="H1272" t="str">
            <v>VALOR-UNIT</v>
          </cell>
          <cell r="I1272">
            <v>0</v>
          </cell>
        </row>
        <row r="1273">
          <cell r="B1273" t="str">
            <v>MO004</v>
          </cell>
          <cell r="C1273" t="str">
            <v>OFICIAL</v>
          </cell>
          <cell r="D1273">
            <v>10270.602514022436</v>
          </cell>
          <cell r="E1273">
            <v>0.56000000000000005</v>
          </cell>
          <cell r="F1273">
            <v>16022.139921875001</v>
          </cell>
          <cell r="G1273">
            <v>2</v>
          </cell>
          <cell r="H1273">
            <v>32044.279843750002</v>
          </cell>
          <cell r="I1273">
            <v>0</v>
          </cell>
        </row>
        <row r="1274">
          <cell r="B1274" t="str">
            <v>MO005</v>
          </cell>
          <cell r="C1274" t="str">
            <v>AYUDANTE ENTENDIDO</v>
          </cell>
          <cell r="D1274">
            <v>6411.5899439102559</v>
          </cell>
          <cell r="E1274">
            <v>0.56000000000000005</v>
          </cell>
          <cell r="F1274">
            <v>10002.0803125</v>
          </cell>
          <cell r="G1274">
            <v>2</v>
          </cell>
          <cell r="H1274">
            <v>20004.160625</v>
          </cell>
          <cell r="I1274">
            <v>0</v>
          </cell>
        </row>
        <row r="1275">
          <cell r="B1275" t="str">
            <v>MO006</v>
          </cell>
          <cell r="C1275" t="str">
            <v>AYUDANTE</v>
          </cell>
          <cell r="D1275">
            <v>4633.604176682692</v>
          </cell>
          <cell r="E1275">
            <v>0.56000000000000005</v>
          </cell>
          <cell r="F1275">
            <v>7228.4225156249995</v>
          </cell>
          <cell r="G1275">
            <v>6</v>
          </cell>
          <cell r="H1275">
            <v>43370.535093749997</v>
          </cell>
          <cell r="I1275">
            <v>0</v>
          </cell>
        </row>
        <row r="1276">
          <cell r="B1276" t="str">
            <v>MO001</v>
          </cell>
          <cell r="C1276" t="str">
            <v>TOPOGRAFO</v>
          </cell>
          <cell r="D1276">
            <v>12324.724108573719</v>
          </cell>
          <cell r="E1276">
            <v>0.56000000000000005</v>
          </cell>
          <cell r="F1276">
            <v>19226.569609375001</v>
          </cell>
          <cell r="G1276">
            <v>0.02</v>
          </cell>
          <cell r="H1276">
            <v>384.53139218750005</v>
          </cell>
          <cell r="I1276">
            <v>0</v>
          </cell>
        </row>
        <row r="1277">
          <cell r="B1277" t="str">
            <v>MO002</v>
          </cell>
          <cell r="C1277" t="str">
            <v>CADENERO 1</v>
          </cell>
          <cell r="D1277">
            <v>4426.7123898237178</v>
          </cell>
          <cell r="E1277">
            <v>0.56000000000000005</v>
          </cell>
          <cell r="F1277">
            <v>6905.6713281249995</v>
          </cell>
          <cell r="G1277">
            <v>0.02</v>
          </cell>
          <cell r="H1277">
            <v>138.1134265625</v>
          </cell>
          <cell r="I1277">
            <v>0</v>
          </cell>
        </row>
        <row r="1278"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</row>
        <row r="1279"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 t="str">
            <v>Sub-Total</v>
          </cell>
          <cell r="G1279" t="str">
            <v>4.2</v>
          </cell>
          <cell r="H1279" t="str">
            <v>MDEO-4.2</v>
          </cell>
          <cell r="I1279">
            <v>95941.620381250017</v>
          </cell>
        </row>
        <row r="1280"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4797.0810190625007</v>
          </cell>
        </row>
        <row r="1281"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 t="str">
            <v>Total Costo Directo</v>
          </cell>
          <cell r="G1281">
            <v>0</v>
          </cell>
          <cell r="H1281">
            <v>0</v>
          </cell>
          <cell r="I1281">
            <v>551221</v>
          </cell>
        </row>
        <row r="1282">
          <cell r="B1282">
            <v>0</v>
          </cell>
          <cell r="C1282">
            <v>0</v>
          </cell>
          <cell r="D1282">
            <v>0</v>
          </cell>
          <cell r="E1282" t="str">
            <v>PORCENTAJE</v>
          </cell>
          <cell r="F1282">
            <v>0</v>
          </cell>
          <cell r="G1282" t="str">
            <v>V. COSTO INDERECTO</v>
          </cell>
          <cell r="H1282">
            <v>0</v>
          </cell>
          <cell r="I1282">
            <v>0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>
            <v>0.02</v>
          </cell>
          <cell r="F1283">
            <v>0</v>
          </cell>
          <cell r="G1283">
            <v>11024.42</v>
          </cell>
          <cell r="H1283">
            <v>0</v>
          </cell>
          <cell r="I1283">
            <v>0</v>
          </cell>
        </row>
        <row r="1284">
          <cell r="B1284">
            <v>0</v>
          </cell>
          <cell r="C1284">
            <v>0</v>
          </cell>
          <cell r="D1284">
            <v>0</v>
          </cell>
          <cell r="E1284">
            <v>0.23</v>
          </cell>
          <cell r="F1284">
            <v>0</v>
          </cell>
          <cell r="G1284">
            <v>126780.83</v>
          </cell>
          <cell r="H1284">
            <v>0</v>
          </cell>
          <cell r="I1284">
            <v>0</v>
          </cell>
        </row>
        <row r="1285">
          <cell r="B1285">
            <v>0</v>
          </cell>
          <cell r="C1285">
            <v>0</v>
          </cell>
          <cell r="D1285">
            <v>0</v>
          </cell>
          <cell r="E1285">
            <v>0.05</v>
          </cell>
          <cell r="F1285">
            <v>0</v>
          </cell>
          <cell r="G1285">
            <v>27561.050000000003</v>
          </cell>
          <cell r="H1285">
            <v>0</v>
          </cell>
          <cell r="I1285">
            <v>0</v>
          </cell>
        </row>
        <row r="1286">
          <cell r="B1286">
            <v>0</v>
          </cell>
          <cell r="C1286">
            <v>0</v>
          </cell>
          <cell r="D1286">
            <v>0</v>
          </cell>
          <cell r="E1286">
            <v>0.02</v>
          </cell>
          <cell r="F1286">
            <v>0</v>
          </cell>
          <cell r="G1286">
            <v>11024.42</v>
          </cell>
          <cell r="H1286">
            <v>0</v>
          </cell>
          <cell r="I1286">
            <v>0</v>
          </cell>
        </row>
        <row r="1287"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176390.72</v>
          </cell>
        </row>
        <row r="1288"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727611.72</v>
          </cell>
        </row>
        <row r="1289"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</row>
        <row r="1290"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 t="str">
            <v>REVISA</v>
          </cell>
          <cell r="G1290">
            <v>0</v>
          </cell>
          <cell r="H1290">
            <v>0</v>
          </cell>
          <cell r="I1290">
            <v>0</v>
          </cell>
        </row>
        <row r="1291"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 t="str">
            <v>FIRMA:</v>
          </cell>
          <cell r="G1291">
            <v>0</v>
          </cell>
          <cell r="H1291">
            <v>0</v>
          </cell>
          <cell r="I1291">
            <v>0</v>
          </cell>
        </row>
        <row r="1292">
          <cell r="B1292" t="str">
            <v>JHON EMIR GAMBOA MENA</v>
          </cell>
          <cell r="C1292">
            <v>0</v>
          </cell>
          <cell r="F1292" t="str">
            <v>NOMBRE</v>
          </cell>
          <cell r="G1292">
            <v>0</v>
          </cell>
          <cell r="H1292">
            <v>0</v>
          </cell>
          <cell r="I1292">
            <v>0</v>
          </cell>
        </row>
        <row r="1293">
          <cell r="B1293" t="str">
            <v>05202-316814 ANT</v>
          </cell>
          <cell r="C1293">
            <v>0</v>
          </cell>
          <cell r="F1293" t="str">
            <v>MAT:</v>
          </cell>
          <cell r="G1293">
            <v>0</v>
          </cell>
          <cell r="H1293">
            <v>0</v>
          </cell>
          <cell r="I1293">
            <v>0</v>
          </cell>
        </row>
        <row r="1294">
          <cell r="B1294">
            <v>0</v>
          </cell>
          <cell r="C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</row>
        <row r="1295"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</row>
        <row r="1296"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</row>
        <row r="1297"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</row>
        <row r="1298"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</row>
        <row r="1299">
          <cell r="B1299" t="str">
            <v>4.3</v>
          </cell>
          <cell r="C1299" t="str">
            <v>DESCRIPCION:</v>
          </cell>
          <cell r="D1299" t="str">
            <v>LLENO DE CONFINAMIENTO PARA BORDILLO CON MATERIAL GRANULAR DE EXCAVACIÓN NO CONTAMINADO AL 60% Y 40% SUBBASE GRANULAR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</row>
        <row r="1300">
          <cell r="B1300" t="str">
            <v>230.1-13</v>
          </cell>
          <cell r="C1300">
            <v>0</v>
          </cell>
          <cell r="D1300" t="str">
            <v>UNIDAD</v>
          </cell>
          <cell r="E1300" t="str">
            <v>M3</v>
          </cell>
          <cell r="F1300" t="str">
            <v>CANTIDAD</v>
          </cell>
          <cell r="G1300">
            <v>1963</v>
          </cell>
          <cell r="H1300" t="str">
            <v>V. UNITARIO:</v>
          </cell>
          <cell r="I1300">
            <v>73139</v>
          </cell>
        </row>
        <row r="1301">
          <cell r="B1301">
            <v>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</row>
        <row r="1302"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 t="str">
            <v>Tarifa/Hora</v>
          </cell>
          <cell r="G1302" t="str">
            <v>Rendimiento</v>
          </cell>
          <cell r="H1302" t="str">
            <v>Valor-Unit.</v>
          </cell>
          <cell r="I1302">
            <v>0</v>
          </cell>
        </row>
        <row r="1303">
          <cell r="B1303" t="str">
            <v>E026</v>
          </cell>
          <cell r="C1303" t="str">
            <v>TANQUE DE ALMACENAMIENTO DE AGUA</v>
          </cell>
          <cell r="D1303">
            <v>0</v>
          </cell>
          <cell r="E1303">
            <v>0</v>
          </cell>
          <cell r="F1303">
            <v>1000</v>
          </cell>
          <cell r="G1303">
            <v>0.2</v>
          </cell>
          <cell r="H1303">
            <v>200</v>
          </cell>
          <cell r="I1303">
            <v>0</v>
          </cell>
        </row>
        <row r="1304">
          <cell r="B1304" t="str">
            <v>E009</v>
          </cell>
          <cell r="C1304" t="str">
            <v xml:space="preserve">EQUIPO PARA COMISION DE TOPOGRAFIA </v>
          </cell>
          <cell r="D1304">
            <v>0</v>
          </cell>
          <cell r="E1304">
            <v>0</v>
          </cell>
          <cell r="F1304">
            <v>57000</v>
          </cell>
          <cell r="G1304">
            <v>0.02</v>
          </cell>
          <cell r="H1304">
            <v>1140</v>
          </cell>
          <cell r="I1304">
            <v>0</v>
          </cell>
        </row>
        <row r="1305">
          <cell r="B1305" t="str">
            <v>E002</v>
          </cell>
          <cell r="C1305" t="str">
            <v>COMPACTADOR TIPO RANA</v>
          </cell>
          <cell r="D1305">
            <v>0</v>
          </cell>
          <cell r="E1305">
            <v>0</v>
          </cell>
          <cell r="F1305">
            <v>5000</v>
          </cell>
          <cell r="G1305">
            <v>1</v>
          </cell>
          <cell r="H1305">
            <v>5000</v>
          </cell>
          <cell r="I1305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</row>
        <row r="1307"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</row>
        <row r="1309"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 t="str">
            <v>Sub-Total</v>
          </cell>
          <cell r="G1309" t="str">
            <v>4.3</v>
          </cell>
          <cell r="H1309" t="str">
            <v>EQUI-4.3</v>
          </cell>
          <cell r="I1309">
            <v>6340</v>
          </cell>
        </row>
        <row r="1310"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</row>
        <row r="1311">
          <cell r="B1311">
            <v>0</v>
          </cell>
          <cell r="C1311">
            <v>0</v>
          </cell>
          <cell r="D1311">
            <v>0</v>
          </cell>
          <cell r="E1311" t="str">
            <v>UNIDAD</v>
          </cell>
          <cell r="F1311" t="str">
            <v>V.UNIT</v>
          </cell>
          <cell r="G1311" t="str">
            <v>CANT</v>
          </cell>
          <cell r="H1311" t="str">
            <v>V.TOTAL</v>
          </cell>
          <cell r="I1311">
            <v>0</v>
          </cell>
        </row>
        <row r="1312">
          <cell r="B1312" t="str">
            <v>M004</v>
          </cell>
          <cell r="C1312" t="str">
            <v>AGUA</v>
          </cell>
          <cell r="D1312">
            <v>0</v>
          </cell>
          <cell r="E1312" t="str">
            <v>M3</v>
          </cell>
          <cell r="F1312">
            <v>2750</v>
          </cell>
          <cell r="G1312">
            <v>0.2</v>
          </cell>
          <cell r="H1312">
            <v>550</v>
          </cell>
          <cell r="I1312">
            <v>0</v>
          </cell>
        </row>
        <row r="1313">
          <cell r="B1313" t="str">
            <v>M047</v>
          </cell>
          <cell r="C1313" t="str">
            <v>SUBBASE GRANULAR</v>
          </cell>
          <cell r="D1313">
            <v>0</v>
          </cell>
          <cell r="E1313" t="str">
            <v>M3</v>
          </cell>
          <cell r="F1313">
            <v>27500</v>
          </cell>
          <cell r="G1313">
            <v>0.52</v>
          </cell>
          <cell r="H1313">
            <v>14300</v>
          </cell>
          <cell r="I1313">
            <v>0</v>
          </cell>
        </row>
        <row r="1314"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 t="str">
            <v>Sub-Total</v>
          </cell>
          <cell r="G1314" t="str">
            <v>4.3</v>
          </cell>
          <cell r="H1314" t="str">
            <v>MAT-4.3</v>
          </cell>
          <cell r="I1314">
            <v>14850</v>
          </cell>
        </row>
        <row r="1315"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</row>
        <row r="1316">
          <cell r="B1316">
            <v>0</v>
          </cell>
          <cell r="C1316">
            <v>0</v>
          </cell>
          <cell r="D1316" t="str">
            <v xml:space="preserve">CAN </v>
          </cell>
          <cell r="E1316" t="str">
            <v>DISTANCIA</v>
          </cell>
          <cell r="F1316" t="str">
            <v>M3-Km / UN-KM</v>
          </cell>
          <cell r="G1316" t="str">
            <v>TARIFA</v>
          </cell>
          <cell r="H1316" t="str">
            <v>Valor-Unit.</v>
          </cell>
          <cell r="I1316">
            <v>0</v>
          </cell>
        </row>
        <row r="1317">
          <cell r="B1317" t="str">
            <v>T003</v>
          </cell>
          <cell r="C1317" t="str">
            <v>TRANS AGUA 0-5KM</v>
          </cell>
          <cell r="D1317">
            <v>0.2</v>
          </cell>
          <cell r="E1317">
            <v>5</v>
          </cell>
          <cell r="F1317">
            <v>1</v>
          </cell>
          <cell r="G1317">
            <v>1120</v>
          </cell>
          <cell r="H1317">
            <v>1120</v>
          </cell>
          <cell r="I1317">
            <v>0</v>
          </cell>
        </row>
        <row r="1318">
          <cell r="B1318" t="str">
            <v>T008</v>
          </cell>
          <cell r="C1318" t="str">
            <v>TRANS MATERIAL &gt; 10 KM</v>
          </cell>
          <cell r="D1318">
            <v>0.52</v>
          </cell>
          <cell r="E1318">
            <v>56</v>
          </cell>
          <cell r="F1318">
            <v>29.12</v>
          </cell>
          <cell r="G1318">
            <v>1020</v>
          </cell>
          <cell r="H1318">
            <v>29702.400000000001</v>
          </cell>
          <cell r="I1318">
            <v>0</v>
          </cell>
        </row>
        <row r="1319">
          <cell r="B1319" t="str">
            <v>T002</v>
          </cell>
          <cell r="C1319" t="str">
            <v>TRANS INT  MAT GRANULAR</v>
          </cell>
          <cell r="D1319">
            <v>0.78</v>
          </cell>
          <cell r="E1319">
            <v>1</v>
          </cell>
          <cell r="F1319">
            <v>0.78</v>
          </cell>
          <cell r="G1319">
            <v>4000</v>
          </cell>
          <cell r="H1319">
            <v>3120</v>
          </cell>
          <cell r="I1319">
            <v>0</v>
          </cell>
        </row>
        <row r="1320"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 t="str">
            <v>Sub-Total</v>
          </cell>
          <cell r="G1320" t="str">
            <v>4.3</v>
          </cell>
          <cell r="H1320" t="str">
            <v>TRAN-4.3</v>
          </cell>
          <cell r="I1320">
            <v>33942.400000000001</v>
          </cell>
        </row>
        <row r="1321"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</row>
        <row r="1322">
          <cell r="B1322">
            <v>0</v>
          </cell>
          <cell r="C1322">
            <v>0</v>
          </cell>
          <cell r="D1322" t="str">
            <v>JORNAL-HORA</v>
          </cell>
          <cell r="E1322" t="str">
            <v>PRES</v>
          </cell>
          <cell r="F1322" t="str">
            <v>JORNAL TOTAL</v>
          </cell>
          <cell r="G1322" t="str">
            <v>RENDIEMIENTO</v>
          </cell>
          <cell r="H1322" t="str">
            <v>VALOR-UNIT</v>
          </cell>
          <cell r="I1322">
            <v>0</v>
          </cell>
        </row>
        <row r="1323">
          <cell r="B1323" t="str">
            <v>MO004</v>
          </cell>
          <cell r="C1323" t="str">
            <v>OFICIAL</v>
          </cell>
          <cell r="D1323">
            <v>10270.602514022436</v>
          </cell>
          <cell r="E1323">
            <v>0.56000000000000005</v>
          </cell>
          <cell r="F1323">
            <v>16022.139921875001</v>
          </cell>
          <cell r="G1323">
            <v>0.5</v>
          </cell>
          <cell r="H1323">
            <v>8011.0699609375006</v>
          </cell>
          <cell r="I1323">
            <v>0</v>
          </cell>
        </row>
        <row r="1324">
          <cell r="B1324" t="str">
            <v>MO005</v>
          </cell>
          <cell r="C1324" t="str">
            <v>AYUDANTE ENTENDIDO</v>
          </cell>
          <cell r="D1324">
            <v>6411.5899439102559</v>
          </cell>
          <cell r="E1324">
            <v>0.56000000000000005</v>
          </cell>
          <cell r="F1324">
            <v>10002.0803125</v>
          </cell>
          <cell r="G1324">
            <v>0.5</v>
          </cell>
          <cell r="H1324">
            <v>5001.0401562500001</v>
          </cell>
          <cell r="I1324">
            <v>0</v>
          </cell>
        </row>
        <row r="1325">
          <cell r="B1325" t="str">
            <v>MO006</v>
          </cell>
          <cell r="C1325" t="str">
            <v>AYUDANTE</v>
          </cell>
          <cell r="D1325">
            <v>4633.604176682692</v>
          </cell>
          <cell r="E1325">
            <v>0.56000000000000005</v>
          </cell>
          <cell r="F1325">
            <v>7228.4225156249995</v>
          </cell>
          <cell r="G1325">
            <v>0.5</v>
          </cell>
          <cell r="H1325">
            <v>3614.2112578124998</v>
          </cell>
          <cell r="I1325">
            <v>0</v>
          </cell>
        </row>
        <row r="1326">
          <cell r="B1326" t="str">
            <v>MO001</v>
          </cell>
          <cell r="C1326" t="str">
            <v>TOPOGRAFO</v>
          </cell>
          <cell r="D1326">
            <v>12324.724108573719</v>
          </cell>
          <cell r="E1326">
            <v>0.56000000000000005</v>
          </cell>
          <cell r="F1326">
            <v>19226.569609375001</v>
          </cell>
          <cell r="G1326">
            <v>0.02</v>
          </cell>
          <cell r="H1326">
            <v>384.53139218750005</v>
          </cell>
          <cell r="I1326">
            <v>0</v>
          </cell>
        </row>
        <row r="1327">
          <cell r="B1327" t="str">
            <v>MO002</v>
          </cell>
          <cell r="C1327" t="str">
            <v>CADENERO 1</v>
          </cell>
          <cell r="D1327">
            <v>4426.7123898237178</v>
          </cell>
          <cell r="E1327">
            <v>0.56000000000000005</v>
          </cell>
          <cell r="F1327">
            <v>6905.6713281249995</v>
          </cell>
          <cell r="G1327">
            <v>0.02</v>
          </cell>
          <cell r="H1327">
            <v>138.1134265625</v>
          </cell>
          <cell r="I1327">
            <v>0</v>
          </cell>
        </row>
        <row r="1328"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</row>
        <row r="1329"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 t="str">
            <v>Sub-Total</v>
          </cell>
          <cell r="G1329" t="str">
            <v>4.3</v>
          </cell>
          <cell r="H1329" t="str">
            <v>MDEO-4.3</v>
          </cell>
          <cell r="I1329">
            <v>17148.966193749999</v>
          </cell>
        </row>
        <row r="1330"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857.4483096875</v>
          </cell>
        </row>
        <row r="1331"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 t="str">
            <v>Total Costo Directo</v>
          </cell>
          <cell r="G1331">
            <v>0</v>
          </cell>
          <cell r="H1331">
            <v>0</v>
          </cell>
          <cell r="I1331">
            <v>73139</v>
          </cell>
        </row>
        <row r="1332">
          <cell r="B1332">
            <v>0</v>
          </cell>
          <cell r="C1332">
            <v>0</v>
          </cell>
          <cell r="D1332">
            <v>0</v>
          </cell>
          <cell r="E1332" t="str">
            <v>PORCENTAJE</v>
          </cell>
          <cell r="F1332">
            <v>0</v>
          </cell>
          <cell r="G1332" t="str">
            <v>V. COSTO INDERECTO</v>
          </cell>
          <cell r="H1332">
            <v>0</v>
          </cell>
          <cell r="I1332">
            <v>0</v>
          </cell>
        </row>
        <row r="1333">
          <cell r="B1333">
            <v>0</v>
          </cell>
          <cell r="C1333">
            <v>0</v>
          </cell>
          <cell r="D1333">
            <v>0</v>
          </cell>
          <cell r="E1333">
            <v>0.02</v>
          </cell>
          <cell r="F1333">
            <v>0</v>
          </cell>
          <cell r="G1333">
            <v>1462.78</v>
          </cell>
          <cell r="H1333">
            <v>0</v>
          </cell>
          <cell r="I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  <cell r="E1334">
            <v>0.23</v>
          </cell>
          <cell r="F1334">
            <v>0</v>
          </cell>
          <cell r="G1334">
            <v>16821.97</v>
          </cell>
          <cell r="H1334">
            <v>0</v>
          </cell>
          <cell r="I1334">
            <v>0</v>
          </cell>
        </row>
        <row r="1335">
          <cell r="B1335">
            <v>0</v>
          </cell>
          <cell r="C1335">
            <v>0</v>
          </cell>
          <cell r="D1335">
            <v>0</v>
          </cell>
          <cell r="E1335">
            <v>0.05</v>
          </cell>
          <cell r="F1335">
            <v>0</v>
          </cell>
          <cell r="G1335">
            <v>3656.9500000000003</v>
          </cell>
          <cell r="H1335">
            <v>0</v>
          </cell>
          <cell r="I1335">
            <v>0</v>
          </cell>
        </row>
        <row r="1336">
          <cell r="B1336">
            <v>0</v>
          </cell>
          <cell r="C1336">
            <v>0</v>
          </cell>
          <cell r="D1336">
            <v>0</v>
          </cell>
          <cell r="E1336">
            <v>0.02</v>
          </cell>
          <cell r="F1336">
            <v>0</v>
          </cell>
          <cell r="G1336">
            <v>1462.78</v>
          </cell>
          <cell r="H1336">
            <v>0</v>
          </cell>
          <cell r="I1336">
            <v>0</v>
          </cell>
        </row>
        <row r="1337"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23404.48</v>
          </cell>
        </row>
        <row r="1338"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96543.48</v>
          </cell>
        </row>
        <row r="1339"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</row>
        <row r="1340"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 t="str">
            <v>REVISA</v>
          </cell>
          <cell r="G1340">
            <v>0</v>
          </cell>
          <cell r="H1340">
            <v>0</v>
          </cell>
          <cell r="I1340">
            <v>0</v>
          </cell>
        </row>
        <row r="1341"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 t="str">
            <v>FIRMA:</v>
          </cell>
          <cell r="G1341">
            <v>0</v>
          </cell>
          <cell r="H1341">
            <v>0</v>
          </cell>
          <cell r="I1341">
            <v>0</v>
          </cell>
        </row>
        <row r="1342">
          <cell r="B1342" t="str">
            <v>JHON EMIR GAMBOA MENA</v>
          </cell>
          <cell r="C1342">
            <v>0</v>
          </cell>
          <cell r="F1342" t="str">
            <v>NOMBRE</v>
          </cell>
          <cell r="G1342">
            <v>0</v>
          </cell>
          <cell r="H1342">
            <v>0</v>
          </cell>
          <cell r="I1342">
            <v>0</v>
          </cell>
        </row>
        <row r="1343">
          <cell r="B1343" t="str">
            <v>05202-316814 ANT</v>
          </cell>
          <cell r="C1343">
            <v>0</v>
          </cell>
          <cell r="F1343" t="str">
            <v>MAT:</v>
          </cell>
          <cell r="G1343">
            <v>0</v>
          </cell>
          <cell r="H1343">
            <v>0</v>
          </cell>
          <cell r="I1343">
            <v>0</v>
          </cell>
        </row>
        <row r="1344">
          <cell r="B1344">
            <v>0</v>
          </cell>
          <cell r="C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</row>
        <row r="1345"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</row>
        <row r="1346"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</row>
        <row r="1347"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</row>
        <row r="1348">
          <cell r="I1348">
            <v>0</v>
          </cell>
        </row>
        <row r="1349"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</row>
        <row r="1350">
          <cell r="B1350" t="str">
            <v>4.4</v>
          </cell>
          <cell r="C1350" t="str">
            <v>DESCRIPCION:</v>
          </cell>
          <cell r="D1350" t="str">
            <v xml:space="preserve">ANDEN EN TABLETA 20*20 TACTIL Y SEÑALIZADO SOBRE MORTERO DE 4CM 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</row>
        <row r="1351">
          <cell r="B1351" t="str">
            <v>PAR-08</v>
          </cell>
          <cell r="C1351">
            <v>0</v>
          </cell>
          <cell r="D1351" t="str">
            <v>UNIDAD</v>
          </cell>
          <cell r="E1351" t="str">
            <v>M2</v>
          </cell>
          <cell r="F1351" t="str">
            <v>CANTIDAD</v>
          </cell>
          <cell r="G1351">
            <v>2416</v>
          </cell>
          <cell r="H1351" t="str">
            <v>V. UNITARIO:</v>
          </cell>
          <cell r="I1351">
            <v>134251</v>
          </cell>
        </row>
        <row r="1352"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</row>
        <row r="1353"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 t="str">
            <v>Tarifa/Hora</v>
          </cell>
          <cell r="G1353" t="str">
            <v>Rendimiento</v>
          </cell>
          <cell r="H1353" t="str">
            <v>Valor-Unit.</v>
          </cell>
          <cell r="I1353">
            <v>0</v>
          </cell>
        </row>
        <row r="1354">
          <cell r="B1354" t="str">
            <v>E027</v>
          </cell>
          <cell r="C1354" t="str">
            <v>VIBRADOR DE AGUJA</v>
          </cell>
          <cell r="D1354">
            <v>0</v>
          </cell>
          <cell r="E1354">
            <v>0</v>
          </cell>
          <cell r="F1354">
            <v>4375</v>
          </cell>
          <cell r="G1354">
            <v>1</v>
          </cell>
          <cell r="H1354">
            <v>4375</v>
          </cell>
          <cell r="I1354">
            <v>0</v>
          </cell>
        </row>
        <row r="1355">
          <cell r="B1355" t="str">
            <v>E018</v>
          </cell>
          <cell r="C1355" t="str">
            <v>LISTON Y VARILLA AJUS. FORMALETA METALICA</v>
          </cell>
          <cell r="D1355">
            <v>0</v>
          </cell>
          <cell r="E1355">
            <v>0</v>
          </cell>
          <cell r="F1355">
            <v>1000</v>
          </cell>
          <cell r="G1355">
            <v>0.5</v>
          </cell>
          <cell r="H1355">
            <v>500</v>
          </cell>
          <cell r="I1355">
            <v>0</v>
          </cell>
        </row>
        <row r="1356">
          <cell r="B1356" t="str">
            <v>E012</v>
          </cell>
          <cell r="C1356" t="str">
            <v>FORMALETA PARA BORDILLO/CUNETA</v>
          </cell>
          <cell r="D1356">
            <v>0</v>
          </cell>
          <cell r="E1356">
            <v>0</v>
          </cell>
          <cell r="F1356">
            <v>2150</v>
          </cell>
          <cell r="G1356">
            <v>1</v>
          </cell>
          <cell r="H1356">
            <v>2150</v>
          </cell>
          <cell r="I1356">
            <v>0</v>
          </cell>
        </row>
        <row r="1357"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</row>
        <row r="1358"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</row>
        <row r="1359"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</row>
        <row r="1360"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 t="str">
            <v>Sub-Total</v>
          </cell>
          <cell r="G1360" t="str">
            <v>4.4</v>
          </cell>
          <cell r="H1360" t="str">
            <v>EQUI-4.4</v>
          </cell>
          <cell r="I1360">
            <v>7025</v>
          </cell>
        </row>
        <row r="1361"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</row>
        <row r="1362">
          <cell r="B1362">
            <v>0</v>
          </cell>
          <cell r="C1362">
            <v>0</v>
          </cell>
          <cell r="D1362">
            <v>0</v>
          </cell>
          <cell r="E1362" t="str">
            <v>UNIDAD</v>
          </cell>
          <cell r="F1362" t="str">
            <v>V.UNIT</v>
          </cell>
          <cell r="G1362" t="str">
            <v>CANT</v>
          </cell>
          <cell r="H1362" t="str">
            <v>V.TOTAL</v>
          </cell>
          <cell r="I1362">
            <v>0</v>
          </cell>
        </row>
        <row r="1363">
          <cell r="B1363" t="str">
            <v>M016</v>
          </cell>
          <cell r="C1363" t="str">
            <v>CONCRETO 2500 PSI</v>
          </cell>
          <cell r="D1363">
            <v>0</v>
          </cell>
          <cell r="E1363" t="str">
            <v>M3</v>
          </cell>
          <cell r="F1363">
            <v>390000</v>
          </cell>
          <cell r="G1363">
            <v>4.2000000000000003E-2</v>
          </cell>
          <cell r="H1363">
            <v>16380.000000000002</v>
          </cell>
          <cell r="I1363">
            <v>0</v>
          </cell>
        </row>
        <row r="1364">
          <cell r="B1364" t="str">
            <v>M048</v>
          </cell>
          <cell r="C1364" t="str">
            <v>TABLETA GRIS TIPO ADOQUIN 20*20</v>
          </cell>
          <cell r="D1364">
            <v>0</v>
          </cell>
          <cell r="E1364" t="str">
            <v>UN</v>
          </cell>
          <cell r="F1364">
            <v>2000</v>
          </cell>
          <cell r="G1364">
            <v>20</v>
          </cell>
          <cell r="H1364">
            <v>40000</v>
          </cell>
          <cell r="I1364">
            <v>0</v>
          </cell>
        </row>
        <row r="1365">
          <cell r="B1365" t="str">
            <v>M049</v>
          </cell>
          <cell r="C1365" t="str">
            <v>TABLETA SEÑALIZACION 0,1*20 M AMARILLA</v>
          </cell>
          <cell r="D1365">
            <v>0</v>
          </cell>
          <cell r="E1365" t="str">
            <v>UN</v>
          </cell>
          <cell r="F1365">
            <v>2100</v>
          </cell>
          <cell r="G1365">
            <v>2.5</v>
          </cell>
          <cell r="H1365">
            <v>5250</v>
          </cell>
          <cell r="I1365">
            <v>0</v>
          </cell>
        </row>
        <row r="1366">
          <cell r="B1366" t="str">
            <v>M050</v>
          </cell>
          <cell r="C1366" t="str">
            <v>TABLETA TACTIL  GUIA 0,2*,2 M COLOR ROJO</v>
          </cell>
          <cell r="D1366">
            <v>0</v>
          </cell>
          <cell r="E1366" t="str">
            <v>UN</v>
          </cell>
          <cell r="F1366">
            <v>2480</v>
          </cell>
          <cell r="G1366">
            <v>2.5</v>
          </cell>
          <cell r="H1366">
            <v>6200</v>
          </cell>
          <cell r="I1366">
            <v>0</v>
          </cell>
        </row>
        <row r="1367">
          <cell r="B1367" t="str">
            <v>M031</v>
          </cell>
          <cell r="C1367" t="str">
            <v>MALLA ELECTROSOLDADA</v>
          </cell>
          <cell r="D1367">
            <v>0</v>
          </cell>
          <cell r="E1367" t="str">
            <v>KG</v>
          </cell>
          <cell r="F1367">
            <v>2510</v>
          </cell>
          <cell r="G1367">
            <v>0.8</v>
          </cell>
          <cell r="H1367">
            <v>2008</v>
          </cell>
          <cell r="I1367">
            <v>0</v>
          </cell>
        </row>
        <row r="1368"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</row>
        <row r="1370"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</row>
        <row r="1371"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 t="str">
            <v>Sub-Total</v>
          </cell>
          <cell r="G1371" t="str">
            <v>4.4</v>
          </cell>
          <cell r="H1371" t="str">
            <v>MAT-4.4</v>
          </cell>
          <cell r="I1371">
            <v>69838</v>
          </cell>
        </row>
        <row r="1372"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</row>
        <row r="1373">
          <cell r="B1373">
            <v>0</v>
          </cell>
          <cell r="C1373">
            <v>0</v>
          </cell>
          <cell r="D1373" t="str">
            <v xml:space="preserve">CAN </v>
          </cell>
          <cell r="E1373" t="str">
            <v>DISTANCIA</v>
          </cell>
          <cell r="F1373" t="str">
            <v>M3-Km / UN-KM</v>
          </cell>
          <cell r="G1373" t="str">
            <v>TARIFA</v>
          </cell>
          <cell r="H1373" t="str">
            <v>Valor-Unit.</v>
          </cell>
          <cell r="I1373">
            <v>0</v>
          </cell>
        </row>
        <row r="1374">
          <cell r="B1374" t="str">
            <v>T001</v>
          </cell>
          <cell r="C1374" t="str">
            <v>TRANS INT CONCRETO M3</v>
          </cell>
          <cell r="D1374">
            <v>4.2000000000000003E-2</v>
          </cell>
          <cell r="E1374">
            <v>1</v>
          </cell>
          <cell r="F1374">
            <v>4.2000000000000003E-2</v>
          </cell>
          <cell r="G1374">
            <v>4000</v>
          </cell>
          <cell r="H1374">
            <v>168</v>
          </cell>
          <cell r="I1374">
            <v>0</v>
          </cell>
        </row>
        <row r="1375">
          <cell r="B1375" t="str">
            <v>T007</v>
          </cell>
          <cell r="C1375" t="str">
            <v>TRANS INT TABLETA-ADOQUIN UN</v>
          </cell>
          <cell r="D1375">
            <v>25</v>
          </cell>
          <cell r="E1375">
            <v>1</v>
          </cell>
          <cell r="F1375">
            <v>25</v>
          </cell>
          <cell r="G1375">
            <v>200</v>
          </cell>
          <cell r="H1375">
            <v>5000</v>
          </cell>
          <cell r="I1375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</row>
        <row r="1377"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</row>
        <row r="1378"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</row>
        <row r="1379"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 t="str">
            <v>Sub-Total</v>
          </cell>
          <cell r="G1379" t="str">
            <v>4.4</v>
          </cell>
          <cell r="H1379" t="str">
            <v>TRAN-4.4</v>
          </cell>
          <cell r="I1379">
            <v>5168</v>
          </cell>
        </row>
        <row r="1380"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</row>
        <row r="1381">
          <cell r="B1381">
            <v>0</v>
          </cell>
          <cell r="C1381">
            <v>0</v>
          </cell>
          <cell r="D1381" t="str">
            <v>JORNAL-HORA</v>
          </cell>
          <cell r="E1381" t="str">
            <v>PRES</v>
          </cell>
          <cell r="F1381" t="str">
            <v>JORNAL TOTAL</v>
          </cell>
          <cell r="G1381" t="str">
            <v>RENDIEMIENTO</v>
          </cell>
          <cell r="H1381" t="str">
            <v>VALOR-UNIT</v>
          </cell>
          <cell r="I1381">
            <v>0</v>
          </cell>
        </row>
        <row r="1382">
          <cell r="B1382" t="str">
            <v>MO004</v>
          </cell>
          <cell r="C1382" t="str">
            <v>OFICIAL</v>
          </cell>
          <cell r="D1382">
            <v>10270.602514022436</v>
          </cell>
          <cell r="E1382">
            <v>0.56000000000000005</v>
          </cell>
          <cell r="F1382">
            <v>16022.139921875001</v>
          </cell>
          <cell r="G1382">
            <v>0.8</v>
          </cell>
          <cell r="H1382">
            <v>12817.711937500002</v>
          </cell>
          <cell r="I1382">
            <v>0</v>
          </cell>
        </row>
        <row r="1383">
          <cell r="B1383" t="str">
            <v>MO005</v>
          </cell>
          <cell r="C1383" t="str">
            <v>AYUDANTE ENTENDIDO</v>
          </cell>
          <cell r="D1383">
            <v>6411.5899439102559</v>
          </cell>
          <cell r="E1383">
            <v>0.56000000000000005</v>
          </cell>
          <cell r="F1383">
            <v>10002.0803125</v>
          </cell>
          <cell r="G1383">
            <v>0.8</v>
          </cell>
          <cell r="H1383">
            <v>8001.6642500000007</v>
          </cell>
          <cell r="I1383">
            <v>0</v>
          </cell>
        </row>
        <row r="1384">
          <cell r="B1384" t="str">
            <v>MO006</v>
          </cell>
          <cell r="C1384" t="str">
            <v>AYUDANTE</v>
          </cell>
          <cell r="D1384">
            <v>4633.604176682692</v>
          </cell>
          <cell r="E1384">
            <v>0.56000000000000005</v>
          </cell>
          <cell r="F1384">
            <v>7228.4225156249995</v>
          </cell>
          <cell r="G1384">
            <v>4</v>
          </cell>
          <cell r="H1384">
            <v>28913.690062499998</v>
          </cell>
          <cell r="I1384">
            <v>0</v>
          </cell>
        </row>
        <row r="1385"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</row>
        <row r="1386"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</row>
        <row r="1387"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</row>
        <row r="1388"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 t="str">
            <v>Sub-Total</v>
          </cell>
          <cell r="G1388" t="str">
            <v>4.4</v>
          </cell>
          <cell r="H1388" t="str">
            <v>MDEO-4.4</v>
          </cell>
          <cell r="I1388">
            <v>49733.066250000003</v>
          </cell>
        </row>
        <row r="1389"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2486.6533125000005</v>
          </cell>
        </row>
        <row r="1390"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 t="str">
            <v>Total Costo Directo</v>
          </cell>
          <cell r="G1390">
            <v>0</v>
          </cell>
          <cell r="H1390">
            <v>0</v>
          </cell>
          <cell r="I1390">
            <v>134251</v>
          </cell>
        </row>
        <row r="1391">
          <cell r="B1391">
            <v>0</v>
          </cell>
          <cell r="C1391">
            <v>0</v>
          </cell>
          <cell r="D1391">
            <v>0</v>
          </cell>
          <cell r="E1391" t="str">
            <v>PORCENTAJE</v>
          </cell>
          <cell r="F1391">
            <v>0</v>
          </cell>
          <cell r="G1391" t="str">
            <v>V. COSTO INDERECTO</v>
          </cell>
          <cell r="H1391">
            <v>0</v>
          </cell>
          <cell r="I1391">
            <v>0</v>
          </cell>
        </row>
        <row r="1392">
          <cell r="B1392">
            <v>0</v>
          </cell>
          <cell r="C1392">
            <v>0</v>
          </cell>
          <cell r="D1392">
            <v>0</v>
          </cell>
          <cell r="E1392">
            <v>0.02</v>
          </cell>
          <cell r="F1392">
            <v>0</v>
          </cell>
          <cell r="G1392">
            <v>2685.02</v>
          </cell>
          <cell r="H1392">
            <v>0</v>
          </cell>
          <cell r="I1392">
            <v>0</v>
          </cell>
        </row>
        <row r="1393">
          <cell r="B1393">
            <v>0</v>
          </cell>
          <cell r="C1393">
            <v>0</v>
          </cell>
          <cell r="D1393">
            <v>0</v>
          </cell>
          <cell r="E1393">
            <v>0.23</v>
          </cell>
          <cell r="F1393">
            <v>0</v>
          </cell>
          <cell r="G1393">
            <v>30877.73</v>
          </cell>
          <cell r="H1393">
            <v>0</v>
          </cell>
          <cell r="I1393">
            <v>0</v>
          </cell>
        </row>
        <row r="1394">
          <cell r="B1394">
            <v>0</v>
          </cell>
          <cell r="C1394">
            <v>0</v>
          </cell>
          <cell r="D1394">
            <v>0</v>
          </cell>
          <cell r="E1394">
            <v>0.05</v>
          </cell>
          <cell r="F1394">
            <v>0</v>
          </cell>
          <cell r="G1394">
            <v>6712.55</v>
          </cell>
          <cell r="H1394">
            <v>0</v>
          </cell>
          <cell r="I1394">
            <v>0</v>
          </cell>
        </row>
        <row r="1395">
          <cell r="B1395">
            <v>0</v>
          </cell>
          <cell r="C1395">
            <v>0</v>
          </cell>
          <cell r="D1395">
            <v>0</v>
          </cell>
          <cell r="E1395">
            <v>0.02</v>
          </cell>
          <cell r="F1395">
            <v>0</v>
          </cell>
          <cell r="G1395">
            <v>2685.02</v>
          </cell>
          <cell r="H1395">
            <v>0</v>
          </cell>
          <cell r="I1395">
            <v>0</v>
          </cell>
        </row>
        <row r="1396"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42960.32</v>
          </cell>
        </row>
        <row r="1397"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177211.32</v>
          </cell>
        </row>
        <row r="1398"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</row>
        <row r="1399"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 t="str">
            <v>REVISA</v>
          </cell>
          <cell r="G1399">
            <v>0</v>
          </cell>
          <cell r="H1399">
            <v>0</v>
          </cell>
          <cell r="I1399">
            <v>0</v>
          </cell>
        </row>
        <row r="1400"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 t="str">
            <v>FIRMA:</v>
          </cell>
          <cell r="G1400">
            <v>0</v>
          </cell>
          <cell r="H1400">
            <v>0</v>
          </cell>
          <cell r="I1400">
            <v>0</v>
          </cell>
        </row>
        <row r="1401">
          <cell r="B1401" t="str">
            <v>JHON EMIR GAMBOA MENA</v>
          </cell>
          <cell r="C1401">
            <v>0</v>
          </cell>
          <cell r="F1401" t="str">
            <v>NOMBRE</v>
          </cell>
          <cell r="G1401">
            <v>0</v>
          </cell>
          <cell r="H1401">
            <v>0</v>
          </cell>
          <cell r="I1401">
            <v>0</v>
          </cell>
        </row>
        <row r="1402">
          <cell r="B1402" t="str">
            <v>05202-316814 ANT</v>
          </cell>
          <cell r="C1402">
            <v>0</v>
          </cell>
          <cell r="F1402" t="str">
            <v>MAT:</v>
          </cell>
          <cell r="G1402">
            <v>0</v>
          </cell>
          <cell r="H1402">
            <v>0</v>
          </cell>
          <cell r="I1402">
            <v>0</v>
          </cell>
        </row>
        <row r="1403">
          <cell r="B1403">
            <v>0</v>
          </cell>
          <cell r="C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</row>
        <row r="1404"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</row>
        <row r="1406"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</row>
        <row r="1407">
          <cell r="I1407">
            <v>0</v>
          </cell>
        </row>
        <row r="1408"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</row>
        <row r="1409">
          <cell r="B1409" t="str">
            <v>4.5</v>
          </cell>
          <cell r="C1409" t="str">
            <v>DESCRIPCION:</v>
          </cell>
          <cell r="D1409" t="str">
            <v>CONCRETO REFORZADO PARA RESALTOS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</row>
        <row r="1410">
          <cell r="B1410" t="str">
            <v>PAR-09</v>
          </cell>
          <cell r="C1410">
            <v>0</v>
          </cell>
          <cell r="D1410" t="str">
            <v>UNIDAD</v>
          </cell>
          <cell r="E1410" t="str">
            <v>ML</v>
          </cell>
          <cell r="F1410" t="str">
            <v>CANTIDAD</v>
          </cell>
          <cell r="G1410">
            <v>59</v>
          </cell>
          <cell r="H1410" t="str">
            <v>V. UNITARIO:</v>
          </cell>
          <cell r="I1410">
            <v>271158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</row>
        <row r="1412"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 t="str">
            <v>Tarifa/Hora</v>
          </cell>
          <cell r="G1412" t="str">
            <v>Rendimiento</v>
          </cell>
          <cell r="H1412" t="str">
            <v>Valor-Unit.</v>
          </cell>
          <cell r="I1412">
            <v>0</v>
          </cell>
        </row>
        <row r="1413">
          <cell r="B1413" t="str">
            <v>E026</v>
          </cell>
          <cell r="C1413" t="str">
            <v>TANQUE DE ALMACENAMIENTO DE AGUA</v>
          </cell>
          <cell r="D1413">
            <v>0</v>
          </cell>
          <cell r="E1413">
            <v>0</v>
          </cell>
          <cell r="F1413">
            <v>1000</v>
          </cell>
          <cell r="G1413">
            <v>0.2</v>
          </cell>
          <cell r="H1413">
            <v>200</v>
          </cell>
          <cell r="I1413">
            <v>0</v>
          </cell>
        </row>
        <row r="1414">
          <cell r="B1414" t="str">
            <v>E009</v>
          </cell>
          <cell r="C1414" t="str">
            <v xml:space="preserve">EQUIPO PARA COMISION DE TOPOGRAFIA </v>
          </cell>
          <cell r="D1414">
            <v>0</v>
          </cell>
          <cell r="E1414">
            <v>0</v>
          </cell>
          <cell r="F1414">
            <v>57000</v>
          </cell>
          <cell r="G1414">
            <v>0.1</v>
          </cell>
          <cell r="H1414">
            <v>5700</v>
          </cell>
          <cell r="I1414">
            <v>0</v>
          </cell>
        </row>
        <row r="1415">
          <cell r="B1415" t="str">
            <v>E012</v>
          </cell>
          <cell r="C1415" t="str">
            <v>FORMALETA PARA BORDILLO/CUNETA</v>
          </cell>
          <cell r="D1415">
            <v>0</v>
          </cell>
          <cell r="E1415">
            <v>0</v>
          </cell>
          <cell r="F1415">
            <v>2150</v>
          </cell>
          <cell r="G1415">
            <v>1</v>
          </cell>
          <cell r="H1415">
            <v>2150</v>
          </cell>
          <cell r="I1415">
            <v>0</v>
          </cell>
        </row>
        <row r="1416">
          <cell r="B1416" t="str">
            <v>E027</v>
          </cell>
          <cell r="C1416" t="str">
            <v>VIBRADOR DE AGUJA</v>
          </cell>
          <cell r="D1416">
            <v>0</v>
          </cell>
          <cell r="E1416">
            <v>0</v>
          </cell>
          <cell r="F1416">
            <v>4375</v>
          </cell>
          <cell r="G1416">
            <v>1</v>
          </cell>
          <cell r="H1416">
            <v>4375</v>
          </cell>
          <cell r="I1416">
            <v>0</v>
          </cell>
        </row>
        <row r="1417">
          <cell r="B1417" t="str">
            <v>E018</v>
          </cell>
          <cell r="C1417" t="str">
            <v>LISTON Y VARILLA AJUS. FORMALETA METALICA</v>
          </cell>
          <cell r="D1417">
            <v>0</v>
          </cell>
          <cell r="E1417">
            <v>0</v>
          </cell>
          <cell r="F1417">
            <v>1000</v>
          </cell>
          <cell r="G1417">
            <v>0.5</v>
          </cell>
          <cell r="H1417">
            <v>500</v>
          </cell>
          <cell r="I1417">
            <v>0</v>
          </cell>
        </row>
        <row r="1418">
          <cell r="B1418" t="str">
            <v>E003</v>
          </cell>
          <cell r="C1418" t="str">
            <v>CONCRETADORA 2 SACOS ACPM</v>
          </cell>
          <cell r="D1418">
            <v>0</v>
          </cell>
          <cell r="E1418">
            <v>0</v>
          </cell>
          <cell r="F1418">
            <v>6875</v>
          </cell>
          <cell r="G1418">
            <v>0.5</v>
          </cell>
          <cell r="H1418">
            <v>3437.5</v>
          </cell>
          <cell r="I1418">
            <v>0</v>
          </cell>
        </row>
        <row r="1419"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 t="str">
            <v>Sub-Total</v>
          </cell>
          <cell r="G1419" t="str">
            <v>4.5</v>
          </cell>
          <cell r="H1419" t="str">
            <v>EQUI-4.5</v>
          </cell>
          <cell r="I1419">
            <v>16362.5</v>
          </cell>
        </row>
        <row r="1420"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</row>
        <row r="1421">
          <cell r="B1421">
            <v>0</v>
          </cell>
          <cell r="C1421">
            <v>0</v>
          </cell>
          <cell r="D1421">
            <v>0</v>
          </cell>
          <cell r="E1421" t="str">
            <v>UNIDAD</v>
          </cell>
          <cell r="F1421" t="str">
            <v>V.UNIT</v>
          </cell>
          <cell r="G1421" t="str">
            <v>CANT</v>
          </cell>
          <cell r="H1421" t="str">
            <v>V.TOTAL</v>
          </cell>
          <cell r="I1421">
            <v>0</v>
          </cell>
        </row>
        <row r="1422">
          <cell r="B1422" t="str">
            <v>M004</v>
          </cell>
          <cell r="C1422" t="str">
            <v>AGUA</v>
          </cell>
          <cell r="D1422">
            <v>0</v>
          </cell>
          <cell r="E1422" t="str">
            <v>M3</v>
          </cell>
          <cell r="F1422">
            <v>2750</v>
          </cell>
          <cell r="G1422">
            <v>1.4000000000000002E-2</v>
          </cell>
          <cell r="H1422">
            <v>38.500000000000007</v>
          </cell>
          <cell r="I1422">
            <v>0</v>
          </cell>
        </row>
        <row r="1423">
          <cell r="B1423" t="str">
            <v>M011</v>
          </cell>
          <cell r="C1423" t="str">
            <v>CEMENTO GRIS</v>
          </cell>
          <cell r="D1423">
            <v>0</v>
          </cell>
          <cell r="E1423" t="str">
            <v>SACO</v>
          </cell>
          <cell r="F1423">
            <v>26500</v>
          </cell>
          <cell r="G1423">
            <v>0.62475000000000014</v>
          </cell>
          <cell r="H1423">
            <v>16555.875000000004</v>
          </cell>
          <cell r="I1423">
            <v>0</v>
          </cell>
        </row>
        <row r="1424">
          <cell r="B1424" t="str">
            <v>M008</v>
          </cell>
          <cell r="C1424" t="str">
            <v>ARENA PARA CONCRETO</v>
          </cell>
          <cell r="D1424">
            <v>0</v>
          </cell>
          <cell r="E1424" t="str">
            <v>M3</v>
          </cell>
          <cell r="F1424">
            <v>22850</v>
          </cell>
          <cell r="G1424">
            <v>4.9980000000000011E-2</v>
          </cell>
          <cell r="H1424">
            <v>1142.0430000000003</v>
          </cell>
          <cell r="I1424">
            <v>0</v>
          </cell>
        </row>
        <row r="1425">
          <cell r="B1425" t="str">
            <v>M053</v>
          </cell>
          <cell r="C1425" t="str">
            <v>TRITURADO 3/4"</v>
          </cell>
          <cell r="D1425">
            <v>0</v>
          </cell>
          <cell r="E1425" t="str">
            <v>M3</v>
          </cell>
          <cell r="F1425">
            <v>29000</v>
          </cell>
          <cell r="G1425">
            <v>4.9980000000000011E-2</v>
          </cell>
          <cell r="H1425">
            <v>1449.4200000000003</v>
          </cell>
          <cell r="I1425">
            <v>0</v>
          </cell>
        </row>
        <row r="1426">
          <cell r="B1426" t="str">
            <v>M031</v>
          </cell>
          <cell r="C1426" t="str">
            <v>MALLA ELECTROSOLDADA</v>
          </cell>
          <cell r="D1426">
            <v>0</v>
          </cell>
          <cell r="E1426" t="str">
            <v>KG</v>
          </cell>
          <cell r="F1426">
            <v>2510</v>
          </cell>
          <cell r="G1426">
            <v>5.5999999999999994E-2</v>
          </cell>
          <cell r="H1426">
            <v>140.55999999999997</v>
          </cell>
          <cell r="I1426">
            <v>0</v>
          </cell>
        </row>
        <row r="1427">
          <cell r="B1427" t="str">
            <v>M002</v>
          </cell>
          <cell r="C1427" t="str">
            <v>ACERO  60000 PSI</v>
          </cell>
          <cell r="D1427">
            <v>0</v>
          </cell>
          <cell r="E1427" t="str">
            <v>KG</v>
          </cell>
          <cell r="F1427">
            <v>2510</v>
          </cell>
          <cell r="G1427">
            <v>2</v>
          </cell>
          <cell r="H1427">
            <v>5020</v>
          </cell>
          <cell r="I1427">
            <v>0</v>
          </cell>
        </row>
        <row r="1428">
          <cell r="B1428" t="str">
            <v>M005</v>
          </cell>
          <cell r="C1428" t="str">
            <v>ALAMBRE QUEMADO</v>
          </cell>
          <cell r="D1428">
            <v>0</v>
          </cell>
          <cell r="E1428" t="str">
            <v>KG</v>
          </cell>
          <cell r="F1428">
            <v>3550</v>
          </cell>
          <cell r="G1428">
            <v>0.8</v>
          </cell>
          <cell r="H1428">
            <v>2840</v>
          </cell>
          <cell r="I1428">
            <v>0</v>
          </cell>
        </row>
        <row r="1429">
          <cell r="B1429" t="str">
            <v>M018</v>
          </cell>
          <cell r="C1429" t="str">
            <v>DIOXIDO DE HIERRO COLOR AMARILLO</v>
          </cell>
          <cell r="D1429">
            <v>0</v>
          </cell>
          <cell r="E1429" t="str">
            <v>SACO</v>
          </cell>
          <cell r="F1429">
            <v>185000</v>
          </cell>
          <cell r="G1429">
            <v>0.6</v>
          </cell>
          <cell r="H1429">
            <v>111000</v>
          </cell>
          <cell r="I1429">
            <v>0</v>
          </cell>
        </row>
        <row r="1430">
          <cell r="B1430" t="str">
            <v>M023</v>
          </cell>
          <cell r="C1430" t="str">
            <v>EPOXICO PARA  ANCLAJE TIPO SIKA</v>
          </cell>
          <cell r="D1430">
            <v>0</v>
          </cell>
          <cell r="E1430" t="str">
            <v>KG</v>
          </cell>
          <cell r="F1430">
            <v>122094</v>
          </cell>
          <cell r="G1430">
            <v>0.5</v>
          </cell>
          <cell r="H1430">
            <v>61047</v>
          </cell>
          <cell r="I1430">
            <v>0</v>
          </cell>
        </row>
        <row r="1431"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 t="str">
            <v>Sub-Total</v>
          </cell>
          <cell r="G1431" t="str">
            <v>4.5</v>
          </cell>
          <cell r="H1431" t="str">
            <v>MAT-4.5</v>
          </cell>
          <cell r="I1431">
            <v>199233.39800000002</v>
          </cell>
        </row>
        <row r="1432"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</row>
        <row r="1433">
          <cell r="B1433">
            <v>0</v>
          </cell>
          <cell r="C1433">
            <v>0</v>
          </cell>
          <cell r="D1433" t="str">
            <v xml:space="preserve">CAN </v>
          </cell>
          <cell r="E1433" t="str">
            <v>DISTANCIA</v>
          </cell>
          <cell r="F1433" t="str">
            <v>M3-Km / UN-KM</v>
          </cell>
          <cell r="G1433" t="str">
            <v>TARIFA</v>
          </cell>
          <cell r="H1433" t="str">
            <v>Valor-Unit.</v>
          </cell>
          <cell r="I1433">
            <v>0</v>
          </cell>
        </row>
        <row r="1434">
          <cell r="B1434" t="str">
            <v>T003</v>
          </cell>
          <cell r="C1434" t="str">
            <v>TRANS AGUA 0-5KM</v>
          </cell>
          <cell r="D1434">
            <v>1.4000000000000002E-2</v>
          </cell>
          <cell r="E1434">
            <v>5</v>
          </cell>
          <cell r="F1434">
            <v>7.0000000000000007E-2</v>
          </cell>
          <cell r="G1434">
            <v>1120</v>
          </cell>
          <cell r="H1434">
            <v>78.400000000000006</v>
          </cell>
          <cell r="I1434">
            <v>0</v>
          </cell>
        </row>
        <row r="1435">
          <cell r="B1435" t="str">
            <v>T008</v>
          </cell>
          <cell r="C1435" t="str">
            <v>TRANS MATERIAL &gt; 10 KM</v>
          </cell>
          <cell r="D1435">
            <v>9.9960000000000021E-2</v>
          </cell>
          <cell r="E1435">
            <v>56</v>
          </cell>
          <cell r="F1435">
            <v>5.597760000000001</v>
          </cell>
          <cell r="G1435">
            <v>1020</v>
          </cell>
          <cell r="H1435">
            <v>5709.7152000000006</v>
          </cell>
          <cell r="I1435">
            <v>0</v>
          </cell>
        </row>
        <row r="1436">
          <cell r="B1436" t="str">
            <v>T006</v>
          </cell>
          <cell r="C1436" t="str">
            <v>TRANS INT  LISTON SEÑALIZACION UN</v>
          </cell>
          <cell r="D1436">
            <v>8</v>
          </cell>
          <cell r="E1436">
            <v>1</v>
          </cell>
          <cell r="F1436">
            <v>8</v>
          </cell>
          <cell r="G1436">
            <v>100</v>
          </cell>
          <cell r="H1436">
            <v>800</v>
          </cell>
          <cell r="I1436">
            <v>0</v>
          </cell>
        </row>
        <row r="1437">
          <cell r="B1437" t="str">
            <v>T007</v>
          </cell>
          <cell r="C1437" t="str">
            <v>TRANS INT TABLETA-ADOQUIN UN</v>
          </cell>
          <cell r="D1437">
            <v>8</v>
          </cell>
          <cell r="E1437">
            <v>1</v>
          </cell>
          <cell r="F1437">
            <v>8</v>
          </cell>
          <cell r="G1437">
            <v>200</v>
          </cell>
          <cell r="H1437">
            <v>1600</v>
          </cell>
          <cell r="I1437">
            <v>0</v>
          </cell>
        </row>
        <row r="1438"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 t="str">
            <v>Sub-Total</v>
          </cell>
          <cell r="G1439" t="str">
            <v>4.5</v>
          </cell>
          <cell r="H1439" t="str">
            <v>TRAN-4.5</v>
          </cell>
          <cell r="I1439">
            <v>8188.1152000000002</v>
          </cell>
        </row>
        <row r="1440"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</row>
        <row r="1441">
          <cell r="B1441">
            <v>0</v>
          </cell>
          <cell r="C1441">
            <v>0</v>
          </cell>
          <cell r="D1441" t="str">
            <v>JORNAL-HORA</v>
          </cell>
          <cell r="E1441" t="str">
            <v>PRES</v>
          </cell>
          <cell r="F1441" t="str">
            <v>JORNAL TOTAL</v>
          </cell>
          <cell r="G1441" t="str">
            <v>RENDIEMIENTO</v>
          </cell>
          <cell r="H1441" t="str">
            <v>VALOR-UNIT</v>
          </cell>
          <cell r="I1441">
            <v>0</v>
          </cell>
        </row>
        <row r="1442">
          <cell r="B1442" t="str">
            <v>MO004</v>
          </cell>
          <cell r="C1442" t="str">
            <v>OFICIAL</v>
          </cell>
          <cell r="D1442">
            <v>10270.602514022436</v>
          </cell>
          <cell r="E1442">
            <v>0.56000000000000005</v>
          </cell>
          <cell r="F1442">
            <v>16022.139921875001</v>
          </cell>
          <cell r="G1442">
            <v>0.8</v>
          </cell>
          <cell r="H1442">
            <v>12817.711937500002</v>
          </cell>
          <cell r="I1442">
            <v>0</v>
          </cell>
        </row>
        <row r="1443">
          <cell r="B1443" t="str">
            <v>MO005</v>
          </cell>
          <cell r="C1443" t="str">
            <v>AYUDANTE ENTENDIDO</v>
          </cell>
          <cell r="D1443">
            <v>6411.5899439102559</v>
          </cell>
          <cell r="E1443">
            <v>0.56000000000000005</v>
          </cell>
          <cell r="F1443">
            <v>10002.0803125</v>
          </cell>
          <cell r="G1443">
            <v>0.8</v>
          </cell>
          <cell r="H1443">
            <v>8001.6642500000007</v>
          </cell>
          <cell r="I1443">
            <v>0</v>
          </cell>
        </row>
        <row r="1444">
          <cell r="B1444" t="str">
            <v>MO006</v>
          </cell>
          <cell r="C1444" t="str">
            <v>AYUDANTE</v>
          </cell>
          <cell r="D1444">
            <v>4633.604176682692</v>
          </cell>
          <cell r="E1444">
            <v>0.56000000000000005</v>
          </cell>
          <cell r="F1444">
            <v>7228.4225156249995</v>
          </cell>
          <cell r="G1444">
            <v>3</v>
          </cell>
          <cell r="H1444">
            <v>21685.267546874999</v>
          </cell>
          <cell r="I1444">
            <v>0</v>
          </cell>
        </row>
        <row r="1445">
          <cell r="B1445" t="str">
            <v>MO001</v>
          </cell>
          <cell r="C1445" t="str">
            <v>TOPOGRAFO</v>
          </cell>
          <cell r="D1445">
            <v>12324.724108573719</v>
          </cell>
          <cell r="E1445">
            <v>0.56000000000000005</v>
          </cell>
          <cell r="F1445">
            <v>19226.569609375001</v>
          </cell>
          <cell r="G1445">
            <v>0.1</v>
          </cell>
          <cell r="H1445">
            <v>1922.6569609375001</v>
          </cell>
          <cell r="I1445">
            <v>0</v>
          </cell>
        </row>
        <row r="1446">
          <cell r="B1446" t="str">
            <v>MO002</v>
          </cell>
          <cell r="C1446" t="str">
            <v>CADENERO 1</v>
          </cell>
          <cell r="D1446">
            <v>4426.7123898237178</v>
          </cell>
          <cell r="E1446">
            <v>0.56000000000000005</v>
          </cell>
          <cell r="F1446">
            <v>6905.6713281249995</v>
          </cell>
          <cell r="G1446">
            <v>0.1</v>
          </cell>
          <cell r="H1446">
            <v>690.56713281249995</v>
          </cell>
          <cell r="I1446">
            <v>0</v>
          </cell>
        </row>
        <row r="1447"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</row>
        <row r="1448"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 t="str">
            <v>Sub-Total</v>
          </cell>
          <cell r="G1448" t="str">
            <v>4.5</v>
          </cell>
          <cell r="H1448" t="str">
            <v>MDEO-4.5</v>
          </cell>
          <cell r="I1448">
            <v>45117.867828125003</v>
          </cell>
        </row>
        <row r="1449"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2255.8933914062504</v>
          </cell>
        </row>
        <row r="1450"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 t="str">
            <v>Total Costo Directo</v>
          </cell>
          <cell r="G1450">
            <v>0</v>
          </cell>
          <cell r="H1450">
            <v>0</v>
          </cell>
          <cell r="I1450">
            <v>271158</v>
          </cell>
        </row>
        <row r="1451">
          <cell r="B1451">
            <v>0</v>
          </cell>
          <cell r="C1451">
            <v>0</v>
          </cell>
          <cell r="D1451">
            <v>0</v>
          </cell>
          <cell r="E1451" t="str">
            <v>PORCENTAJE</v>
          </cell>
          <cell r="F1451">
            <v>0</v>
          </cell>
          <cell r="G1451" t="str">
            <v>V. COSTO INDERECTO</v>
          </cell>
          <cell r="H1451">
            <v>0</v>
          </cell>
          <cell r="I1451">
            <v>0</v>
          </cell>
        </row>
        <row r="1452">
          <cell r="B1452">
            <v>0</v>
          </cell>
          <cell r="C1452">
            <v>0</v>
          </cell>
          <cell r="D1452">
            <v>0</v>
          </cell>
          <cell r="E1452">
            <v>0.02</v>
          </cell>
          <cell r="F1452">
            <v>0</v>
          </cell>
          <cell r="G1452">
            <v>5423.16</v>
          </cell>
          <cell r="H1452">
            <v>0</v>
          </cell>
          <cell r="I1452">
            <v>0</v>
          </cell>
        </row>
        <row r="1453">
          <cell r="B1453">
            <v>0</v>
          </cell>
          <cell r="C1453">
            <v>0</v>
          </cell>
          <cell r="D1453">
            <v>0</v>
          </cell>
          <cell r="E1453">
            <v>0.23</v>
          </cell>
          <cell r="F1453">
            <v>0</v>
          </cell>
          <cell r="G1453">
            <v>62366.340000000004</v>
          </cell>
          <cell r="H1453">
            <v>0</v>
          </cell>
          <cell r="I1453">
            <v>0</v>
          </cell>
        </row>
        <row r="1454">
          <cell r="B1454">
            <v>0</v>
          </cell>
          <cell r="C1454">
            <v>0</v>
          </cell>
          <cell r="D1454">
            <v>0</v>
          </cell>
          <cell r="E1454">
            <v>0.05</v>
          </cell>
          <cell r="F1454">
            <v>0</v>
          </cell>
          <cell r="G1454">
            <v>13557.900000000001</v>
          </cell>
          <cell r="H1454">
            <v>0</v>
          </cell>
          <cell r="I1454">
            <v>0</v>
          </cell>
        </row>
        <row r="1455">
          <cell r="B1455">
            <v>0</v>
          </cell>
          <cell r="C1455">
            <v>0</v>
          </cell>
          <cell r="D1455">
            <v>0</v>
          </cell>
          <cell r="E1455">
            <v>0.02</v>
          </cell>
          <cell r="F1455">
            <v>0</v>
          </cell>
          <cell r="G1455">
            <v>5423.16</v>
          </cell>
          <cell r="H1455">
            <v>0</v>
          </cell>
          <cell r="I1455">
            <v>0</v>
          </cell>
        </row>
        <row r="1456"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86770.559999999998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357928.56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</row>
        <row r="1459"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 t="str">
            <v>REVISA</v>
          </cell>
          <cell r="G1459">
            <v>0</v>
          </cell>
          <cell r="H1459">
            <v>0</v>
          </cell>
          <cell r="I1459">
            <v>0</v>
          </cell>
        </row>
        <row r="1460"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 t="str">
            <v>FIRMA:</v>
          </cell>
          <cell r="G1460">
            <v>0</v>
          </cell>
          <cell r="H1460">
            <v>0</v>
          </cell>
          <cell r="I1460">
            <v>0</v>
          </cell>
        </row>
        <row r="1461">
          <cell r="B1461" t="str">
            <v>JHON EMIR GAMBOA MENA</v>
          </cell>
          <cell r="C1461">
            <v>0</v>
          </cell>
          <cell r="F1461" t="str">
            <v>NOMBRE</v>
          </cell>
          <cell r="G1461">
            <v>0</v>
          </cell>
          <cell r="H1461">
            <v>0</v>
          </cell>
          <cell r="I1461">
            <v>0</v>
          </cell>
        </row>
        <row r="1462">
          <cell r="B1462" t="str">
            <v>05202-316814 ANT</v>
          </cell>
          <cell r="C1462">
            <v>0</v>
          </cell>
          <cell r="F1462" t="str">
            <v>MAT:</v>
          </cell>
          <cell r="G1462">
            <v>0</v>
          </cell>
          <cell r="H1462">
            <v>0</v>
          </cell>
          <cell r="I1462">
            <v>0</v>
          </cell>
        </row>
        <row r="1463">
          <cell r="B1463">
            <v>0</v>
          </cell>
          <cell r="C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</row>
        <row r="1464"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</row>
        <row r="1465"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</row>
        <row r="1466"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</row>
        <row r="1467"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</row>
        <row r="1468">
          <cell r="B1468" t="str">
            <v>4.6</v>
          </cell>
          <cell r="C1468" t="str">
            <v>DESCRIPCION:</v>
          </cell>
          <cell r="D1468" t="str">
            <v>SEÑALIZACION HORTIZONTAL (LINEAS DE DEMARCACION Y MARCAS VIALES)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</row>
        <row r="1469">
          <cell r="B1469" t="str">
            <v>700,1-13</v>
          </cell>
          <cell r="C1469">
            <v>0</v>
          </cell>
          <cell r="D1469" t="str">
            <v>UNIDAD</v>
          </cell>
          <cell r="E1469" t="str">
            <v>ML</v>
          </cell>
          <cell r="F1469" t="str">
            <v>CANTIDAD</v>
          </cell>
          <cell r="G1469">
            <v>2750</v>
          </cell>
          <cell r="H1469" t="str">
            <v>V. UNITARIO:</v>
          </cell>
          <cell r="I1469">
            <v>6658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 t="str">
            <v>Tarifa/Hora</v>
          </cell>
          <cell r="G1471" t="str">
            <v>Rendimiento</v>
          </cell>
          <cell r="H1471" t="str">
            <v>Valor-Unit.</v>
          </cell>
          <cell r="I1471">
            <v>0</v>
          </cell>
        </row>
        <row r="1472">
          <cell r="B1472" t="str">
            <v>E007</v>
          </cell>
          <cell r="C1472" t="str">
            <v>EQUIPO DE COMPRESOR PARA PINTURA</v>
          </cell>
          <cell r="D1472">
            <v>0</v>
          </cell>
          <cell r="E1472">
            <v>0</v>
          </cell>
          <cell r="F1472">
            <v>6500</v>
          </cell>
          <cell r="G1472">
            <v>0.2</v>
          </cell>
          <cell r="H1472">
            <v>1300</v>
          </cell>
          <cell r="I1472">
            <v>0</v>
          </cell>
        </row>
        <row r="1473">
          <cell r="B1473" t="str">
            <v>E022</v>
          </cell>
          <cell r="C1473" t="str">
            <v>REGLETA, CODAL GUIA</v>
          </cell>
          <cell r="D1473">
            <v>0</v>
          </cell>
          <cell r="E1473">
            <v>0</v>
          </cell>
          <cell r="F1473">
            <v>1000</v>
          </cell>
          <cell r="G1473">
            <v>0.2</v>
          </cell>
          <cell r="H1473">
            <v>200</v>
          </cell>
          <cell r="I1473">
            <v>0</v>
          </cell>
        </row>
        <row r="1474"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</row>
        <row r="1475"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 t="str">
            <v>Sub-Total</v>
          </cell>
          <cell r="G1475" t="str">
            <v>4.6</v>
          </cell>
          <cell r="H1475" t="str">
            <v>EQUI-4.6</v>
          </cell>
          <cell r="I1475">
            <v>1500</v>
          </cell>
        </row>
        <row r="1476"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</row>
        <row r="1477">
          <cell r="B1477">
            <v>0</v>
          </cell>
          <cell r="C1477">
            <v>0</v>
          </cell>
          <cell r="D1477">
            <v>0</v>
          </cell>
          <cell r="E1477" t="str">
            <v>UNIDAD</v>
          </cell>
          <cell r="F1477" t="str">
            <v>V.UNIT</v>
          </cell>
          <cell r="G1477" t="str">
            <v>CANT</v>
          </cell>
          <cell r="H1477" t="str">
            <v>V.TOTAL</v>
          </cell>
          <cell r="I1477">
            <v>0</v>
          </cell>
        </row>
        <row r="1478">
          <cell r="B1478" t="str">
            <v>M037</v>
          </cell>
          <cell r="C1478" t="str">
            <v>PINTURA TRAFICO</v>
          </cell>
          <cell r="D1478">
            <v>0</v>
          </cell>
          <cell r="E1478" t="str">
            <v>GL</v>
          </cell>
          <cell r="F1478">
            <v>145000</v>
          </cell>
          <cell r="G1478">
            <v>0.01</v>
          </cell>
          <cell r="H1478">
            <v>1450</v>
          </cell>
          <cell r="I1478">
            <v>0</v>
          </cell>
        </row>
        <row r="1479">
          <cell r="B1479" t="str">
            <v>M020</v>
          </cell>
          <cell r="C1479" t="str">
            <v>DISOLVENTE</v>
          </cell>
          <cell r="D1479">
            <v>0</v>
          </cell>
          <cell r="E1479" t="str">
            <v>GL</v>
          </cell>
          <cell r="F1479">
            <v>21650</v>
          </cell>
          <cell r="G1479">
            <v>0.01</v>
          </cell>
          <cell r="H1479">
            <v>216.5</v>
          </cell>
          <cell r="I1479">
            <v>0</v>
          </cell>
        </row>
        <row r="1480"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</row>
        <row r="1481"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 t="str">
            <v>Sub-Total</v>
          </cell>
          <cell r="G1481" t="str">
            <v>4.6</v>
          </cell>
          <cell r="H1481" t="str">
            <v>MAT-4.6</v>
          </cell>
          <cell r="I1481">
            <v>1666.5</v>
          </cell>
        </row>
        <row r="1482"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</row>
        <row r="1483">
          <cell r="B1483">
            <v>0</v>
          </cell>
          <cell r="C1483">
            <v>0</v>
          </cell>
          <cell r="D1483" t="str">
            <v xml:space="preserve">CAN </v>
          </cell>
          <cell r="E1483" t="str">
            <v>DISTANCIA</v>
          </cell>
          <cell r="F1483" t="str">
            <v>M3-Km / UN-KM</v>
          </cell>
          <cell r="G1483" t="str">
            <v>TARIFA</v>
          </cell>
          <cell r="H1483" t="str">
            <v>Valor-Unit.</v>
          </cell>
          <cell r="I1483">
            <v>0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</row>
        <row r="1485"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</row>
        <row r="1486"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</row>
        <row r="1487"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</row>
        <row r="1488"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 t="str">
            <v>Sub-Total</v>
          </cell>
          <cell r="G1488" t="str">
            <v>4.6</v>
          </cell>
          <cell r="H1488" t="str">
            <v>TRAN-4.6</v>
          </cell>
          <cell r="I1488">
            <v>0</v>
          </cell>
        </row>
        <row r="1489"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</row>
        <row r="1490">
          <cell r="B1490">
            <v>0</v>
          </cell>
          <cell r="C1490">
            <v>0</v>
          </cell>
          <cell r="D1490" t="str">
            <v>JORNAL-HORA</v>
          </cell>
          <cell r="E1490" t="str">
            <v>PRES</v>
          </cell>
          <cell r="F1490" t="str">
            <v>JORNAL TOTAL</v>
          </cell>
          <cell r="G1490" t="str">
            <v>RENDIEMIENTO</v>
          </cell>
          <cell r="H1490" t="str">
            <v>VALOR-UNIT</v>
          </cell>
          <cell r="I1490">
            <v>0</v>
          </cell>
        </row>
        <row r="1491">
          <cell r="B1491" t="str">
            <v>MO004</v>
          </cell>
          <cell r="C1491" t="str">
            <v>OFICIAL</v>
          </cell>
          <cell r="D1491">
            <v>10270.602514022436</v>
          </cell>
          <cell r="E1491">
            <v>0.56000000000000005</v>
          </cell>
          <cell r="F1491">
            <v>16022.139921875001</v>
          </cell>
          <cell r="G1491">
            <v>0.1</v>
          </cell>
          <cell r="H1491">
            <v>1602.2139921875003</v>
          </cell>
          <cell r="I1491">
            <v>0</v>
          </cell>
        </row>
        <row r="1492">
          <cell r="B1492" t="str">
            <v>MO005</v>
          </cell>
          <cell r="C1492" t="str">
            <v>AYUDANTE ENTENDIDO</v>
          </cell>
          <cell r="D1492">
            <v>6411.5899439102559</v>
          </cell>
          <cell r="E1492">
            <v>0.56000000000000005</v>
          </cell>
          <cell r="F1492">
            <v>10002.0803125</v>
          </cell>
          <cell r="G1492">
            <v>0.1</v>
          </cell>
          <cell r="H1492">
            <v>1000.2080312500001</v>
          </cell>
          <cell r="I1492">
            <v>0</v>
          </cell>
        </row>
        <row r="1493">
          <cell r="B1493" t="str">
            <v>MO006</v>
          </cell>
          <cell r="C1493" t="str">
            <v>AYUDANTE</v>
          </cell>
          <cell r="D1493">
            <v>4633.604176682692</v>
          </cell>
          <cell r="E1493">
            <v>0.56000000000000005</v>
          </cell>
          <cell r="F1493">
            <v>7228.4225156249995</v>
          </cell>
          <cell r="G1493">
            <v>0.1</v>
          </cell>
          <cell r="H1493">
            <v>722.8422515625</v>
          </cell>
          <cell r="I1493">
            <v>0</v>
          </cell>
        </row>
        <row r="1494"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</row>
        <row r="1495"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</row>
        <row r="1496"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 t="str">
            <v>Sub-Total</v>
          </cell>
          <cell r="G1496" t="str">
            <v>4.6</v>
          </cell>
          <cell r="H1496" t="str">
            <v>MDEO-4.6</v>
          </cell>
          <cell r="I1496">
            <v>3325.2642750000005</v>
          </cell>
        </row>
        <row r="1497"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166.26321375000003</v>
          </cell>
        </row>
        <row r="1498"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 t="str">
            <v>Total Costo Directo</v>
          </cell>
          <cell r="G1498">
            <v>0</v>
          </cell>
          <cell r="H1498">
            <v>0</v>
          </cell>
          <cell r="I1498">
            <v>6658</v>
          </cell>
        </row>
        <row r="1499">
          <cell r="B1499">
            <v>0</v>
          </cell>
          <cell r="C1499">
            <v>0</v>
          </cell>
          <cell r="D1499">
            <v>0</v>
          </cell>
          <cell r="E1499" t="str">
            <v>PORCENTAJE</v>
          </cell>
          <cell r="F1499">
            <v>0</v>
          </cell>
          <cell r="G1499" t="str">
            <v>V. COSTO INDERECTO</v>
          </cell>
          <cell r="H1499">
            <v>0</v>
          </cell>
          <cell r="I1499">
            <v>0</v>
          </cell>
        </row>
        <row r="1500">
          <cell r="B1500">
            <v>0</v>
          </cell>
          <cell r="C1500">
            <v>0</v>
          </cell>
          <cell r="D1500">
            <v>0</v>
          </cell>
          <cell r="E1500">
            <v>0.02</v>
          </cell>
          <cell r="F1500">
            <v>0</v>
          </cell>
          <cell r="G1500">
            <v>133.16</v>
          </cell>
          <cell r="H1500">
            <v>0</v>
          </cell>
          <cell r="I1500">
            <v>0</v>
          </cell>
        </row>
        <row r="1501">
          <cell r="B1501">
            <v>0</v>
          </cell>
          <cell r="C1501">
            <v>0</v>
          </cell>
          <cell r="D1501">
            <v>0</v>
          </cell>
          <cell r="E1501">
            <v>0.23</v>
          </cell>
          <cell r="F1501">
            <v>0</v>
          </cell>
          <cell r="G1501">
            <v>1531.3400000000001</v>
          </cell>
          <cell r="H1501">
            <v>0</v>
          </cell>
          <cell r="I1501">
            <v>0</v>
          </cell>
        </row>
        <row r="1502">
          <cell r="B1502">
            <v>0</v>
          </cell>
          <cell r="C1502">
            <v>0</v>
          </cell>
          <cell r="D1502">
            <v>0</v>
          </cell>
          <cell r="E1502">
            <v>0.05</v>
          </cell>
          <cell r="F1502">
            <v>0</v>
          </cell>
          <cell r="G1502">
            <v>332.90000000000003</v>
          </cell>
          <cell r="H1502">
            <v>0</v>
          </cell>
          <cell r="I1502">
            <v>0</v>
          </cell>
        </row>
        <row r="1503">
          <cell r="B1503">
            <v>0</v>
          </cell>
          <cell r="C1503">
            <v>0</v>
          </cell>
          <cell r="D1503">
            <v>0</v>
          </cell>
          <cell r="E1503">
            <v>0.02</v>
          </cell>
          <cell r="F1503">
            <v>0</v>
          </cell>
          <cell r="G1503">
            <v>133.16</v>
          </cell>
          <cell r="H1503">
            <v>0</v>
          </cell>
          <cell r="I1503">
            <v>0</v>
          </cell>
        </row>
        <row r="1504"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2130.5600000000004</v>
          </cell>
        </row>
        <row r="1505"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8788.5600000000013</v>
          </cell>
        </row>
        <row r="1506"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</row>
        <row r="1507"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 t="str">
            <v>REVISA</v>
          </cell>
          <cell r="G1507">
            <v>0</v>
          </cell>
          <cell r="H1507">
            <v>0</v>
          </cell>
          <cell r="I1507">
            <v>0</v>
          </cell>
        </row>
        <row r="1508"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 t="str">
            <v>FIRMA:</v>
          </cell>
          <cell r="G1508">
            <v>0</v>
          </cell>
          <cell r="H1508">
            <v>0</v>
          </cell>
          <cell r="I1508">
            <v>0</v>
          </cell>
        </row>
        <row r="1509">
          <cell r="B1509" t="str">
            <v>JHON EMIR GAMBOA MENA</v>
          </cell>
          <cell r="C1509">
            <v>0</v>
          </cell>
          <cell r="F1509" t="str">
            <v>NOMBRE</v>
          </cell>
          <cell r="G1509">
            <v>0</v>
          </cell>
          <cell r="H1509">
            <v>0</v>
          </cell>
          <cell r="I1509">
            <v>0</v>
          </cell>
        </row>
        <row r="1510">
          <cell r="B1510" t="str">
            <v>05202-316814 ANT</v>
          </cell>
          <cell r="C1510">
            <v>0</v>
          </cell>
          <cell r="F1510" t="str">
            <v>MAT:</v>
          </cell>
          <cell r="G1510">
            <v>0</v>
          </cell>
          <cell r="H1510">
            <v>0</v>
          </cell>
          <cell r="I1510">
            <v>0</v>
          </cell>
        </row>
        <row r="1511">
          <cell r="B1511">
            <v>0</v>
          </cell>
          <cell r="C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</row>
        <row r="1512"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</row>
        <row r="1513"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</row>
        <row r="1515"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</row>
        <row r="1516">
          <cell r="B1516" t="str">
            <v>4.7</v>
          </cell>
          <cell r="C1516" t="str">
            <v>DESCRIPCION:</v>
          </cell>
          <cell r="D1516" t="str">
            <v>SEÑAL VERTICAL DE TRANSITO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</row>
        <row r="1517">
          <cell r="B1517" t="str">
            <v>710-13</v>
          </cell>
          <cell r="C1517">
            <v>0</v>
          </cell>
          <cell r="D1517" t="str">
            <v>UNIDAD</v>
          </cell>
          <cell r="E1517" t="str">
            <v>UNIDAD</v>
          </cell>
          <cell r="F1517" t="str">
            <v>CANTIDAD</v>
          </cell>
          <cell r="G1517">
            <v>50</v>
          </cell>
          <cell r="H1517" t="str">
            <v>V. UNITARIO:</v>
          </cell>
          <cell r="I1517">
            <v>253518</v>
          </cell>
        </row>
        <row r="1518"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</row>
        <row r="1519"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 t="str">
            <v>Tarifa/Hora</v>
          </cell>
          <cell r="G1519" t="str">
            <v>Rendimiento</v>
          </cell>
          <cell r="H1519" t="str">
            <v>Valor-Unit.</v>
          </cell>
          <cell r="I1519">
            <v>0</v>
          </cell>
        </row>
        <row r="1520">
          <cell r="B1520" t="str">
            <v>E007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</row>
        <row r="1521">
          <cell r="B1521" t="str">
            <v>E022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</row>
        <row r="1522"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</row>
        <row r="1523"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 t="str">
            <v>Sub-Total</v>
          </cell>
          <cell r="G1523" t="str">
            <v>4.7</v>
          </cell>
          <cell r="H1523" t="str">
            <v>EQUI-4.7</v>
          </cell>
          <cell r="I1523">
            <v>0</v>
          </cell>
        </row>
        <row r="1524"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</row>
        <row r="1525">
          <cell r="B1525">
            <v>0</v>
          </cell>
          <cell r="C1525">
            <v>0</v>
          </cell>
          <cell r="D1525">
            <v>0</v>
          </cell>
          <cell r="E1525" t="str">
            <v>UNIDAD</v>
          </cell>
          <cell r="F1525" t="str">
            <v>V.UNIT</v>
          </cell>
          <cell r="G1525" t="str">
            <v>CANT</v>
          </cell>
          <cell r="H1525" t="str">
            <v>V.TOTAL</v>
          </cell>
          <cell r="I1525">
            <v>0</v>
          </cell>
        </row>
        <row r="1526">
          <cell r="B1526" t="str">
            <v>M016</v>
          </cell>
          <cell r="C1526" t="str">
            <v>CONCRETO 2500 PSI</v>
          </cell>
          <cell r="D1526">
            <v>0</v>
          </cell>
          <cell r="E1526" t="str">
            <v>M3</v>
          </cell>
          <cell r="F1526">
            <v>390000</v>
          </cell>
          <cell r="G1526">
            <v>5.3999999999999999E-2</v>
          </cell>
          <cell r="H1526">
            <v>21060</v>
          </cell>
          <cell r="I1526">
            <v>0</v>
          </cell>
        </row>
        <row r="1527">
          <cell r="B1527" t="str">
            <v>M042</v>
          </cell>
          <cell r="C1527" t="str">
            <v>SEÑAL VERTICAL</v>
          </cell>
          <cell r="D1527">
            <v>0</v>
          </cell>
          <cell r="E1527" t="str">
            <v>un</v>
          </cell>
          <cell r="F1527">
            <v>215000</v>
          </cell>
          <cell r="G1527">
            <v>1</v>
          </cell>
          <cell r="H1527">
            <v>215000</v>
          </cell>
          <cell r="I1527">
            <v>0</v>
          </cell>
        </row>
        <row r="1528"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</row>
        <row r="1529"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 t="str">
            <v>Sub-Total</v>
          </cell>
          <cell r="G1529" t="str">
            <v>4.7</v>
          </cell>
          <cell r="H1529" t="str">
            <v>MAT-4.7</v>
          </cell>
          <cell r="I1529">
            <v>236060</v>
          </cell>
        </row>
        <row r="1530"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</row>
        <row r="1531">
          <cell r="B1531">
            <v>0</v>
          </cell>
          <cell r="C1531">
            <v>0</v>
          </cell>
          <cell r="D1531" t="str">
            <v xml:space="preserve">CAN </v>
          </cell>
          <cell r="E1531" t="str">
            <v>DISTANCIA</v>
          </cell>
          <cell r="F1531" t="str">
            <v>M3-Km / UN-KM</v>
          </cell>
          <cell r="G1531" t="str">
            <v>TARIFA</v>
          </cell>
          <cell r="H1531" t="str">
            <v>Valor-Unit.</v>
          </cell>
          <cell r="I1531">
            <v>0</v>
          </cell>
        </row>
        <row r="1532"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</row>
        <row r="1533"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</row>
        <row r="1535"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 t="str">
            <v>Sub-Total</v>
          </cell>
          <cell r="G1535" t="str">
            <v>4.7</v>
          </cell>
          <cell r="H1535" t="str">
            <v>TRAN-4.7</v>
          </cell>
          <cell r="I1535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</row>
        <row r="1537">
          <cell r="B1537">
            <v>0</v>
          </cell>
          <cell r="C1537">
            <v>0</v>
          </cell>
          <cell r="D1537" t="str">
            <v>JORNAL-HORA</v>
          </cell>
          <cell r="E1537" t="str">
            <v>PRES</v>
          </cell>
          <cell r="F1537" t="str">
            <v>JORNAL TOTAL</v>
          </cell>
          <cell r="G1537" t="str">
            <v>RENDIEMIENTO</v>
          </cell>
          <cell r="H1537" t="str">
            <v>VALOR-UNIT</v>
          </cell>
          <cell r="I1537">
            <v>0</v>
          </cell>
        </row>
        <row r="1538">
          <cell r="B1538" t="str">
            <v>MO004</v>
          </cell>
          <cell r="C1538" t="str">
            <v>OFICIAL</v>
          </cell>
          <cell r="D1538">
            <v>10270.602514022436</v>
          </cell>
          <cell r="E1538">
            <v>0.56000000000000005</v>
          </cell>
          <cell r="F1538">
            <v>16022.139921875001</v>
          </cell>
          <cell r="G1538">
            <v>0.5</v>
          </cell>
          <cell r="H1538">
            <v>8011.0699609375006</v>
          </cell>
          <cell r="I1538">
            <v>0</v>
          </cell>
        </row>
        <row r="1539">
          <cell r="B1539" t="str">
            <v>MO005</v>
          </cell>
          <cell r="C1539" t="str">
            <v>AYUDANTE ENTENDIDO</v>
          </cell>
          <cell r="D1539">
            <v>6411.5899439102559</v>
          </cell>
          <cell r="E1539">
            <v>0.56000000000000005</v>
          </cell>
          <cell r="F1539">
            <v>10002.0803125</v>
          </cell>
          <cell r="G1539">
            <v>0.5</v>
          </cell>
          <cell r="H1539">
            <v>5001.0401562500001</v>
          </cell>
          <cell r="I1539">
            <v>0</v>
          </cell>
        </row>
        <row r="1540">
          <cell r="B1540" t="str">
            <v>MO006</v>
          </cell>
          <cell r="C1540" t="str">
            <v>AYUDANTE</v>
          </cell>
          <cell r="D1540">
            <v>4633.604176682692</v>
          </cell>
          <cell r="E1540">
            <v>0.56000000000000005</v>
          </cell>
          <cell r="F1540">
            <v>7228.4225156249995</v>
          </cell>
          <cell r="G1540">
            <v>0.5</v>
          </cell>
          <cell r="H1540">
            <v>3614.2112578124998</v>
          </cell>
          <cell r="I1540">
            <v>0</v>
          </cell>
        </row>
        <row r="1541"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</row>
        <row r="1542"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</row>
        <row r="1543"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</row>
        <row r="1544"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 t="str">
            <v>Sub-Total</v>
          </cell>
          <cell r="G1544" t="str">
            <v>4.7</v>
          </cell>
          <cell r="H1544" t="str">
            <v>MDEO-4.7</v>
          </cell>
          <cell r="I1544">
            <v>16626.321375</v>
          </cell>
        </row>
        <row r="1545"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831.31606875</v>
          </cell>
        </row>
        <row r="1546"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 t="str">
            <v>Total Costo Directo</v>
          </cell>
          <cell r="G1546">
            <v>0</v>
          </cell>
          <cell r="H1546">
            <v>0</v>
          </cell>
          <cell r="I1546">
            <v>253518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 t="str">
            <v>PORCENTAJE</v>
          </cell>
          <cell r="F1547">
            <v>0</v>
          </cell>
          <cell r="G1547" t="str">
            <v>V. COSTO INDERECTO</v>
          </cell>
          <cell r="H1547">
            <v>0</v>
          </cell>
          <cell r="I1547">
            <v>0</v>
          </cell>
        </row>
        <row r="1548">
          <cell r="B1548">
            <v>0</v>
          </cell>
          <cell r="C1548">
            <v>0</v>
          </cell>
          <cell r="D1548">
            <v>0</v>
          </cell>
          <cell r="E1548">
            <v>0.02</v>
          </cell>
          <cell r="F1548">
            <v>0</v>
          </cell>
          <cell r="G1548">
            <v>5070.3599999999997</v>
          </cell>
          <cell r="H1548">
            <v>0</v>
          </cell>
          <cell r="I1548">
            <v>0</v>
          </cell>
        </row>
        <row r="1549">
          <cell r="B1549">
            <v>0</v>
          </cell>
          <cell r="C1549">
            <v>0</v>
          </cell>
          <cell r="D1549">
            <v>0</v>
          </cell>
          <cell r="E1549">
            <v>0.23</v>
          </cell>
          <cell r="F1549">
            <v>0</v>
          </cell>
          <cell r="G1549">
            <v>58309.14</v>
          </cell>
          <cell r="H1549">
            <v>0</v>
          </cell>
          <cell r="I1549">
            <v>0</v>
          </cell>
        </row>
        <row r="1550">
          <cell r="B1550">
            <v>0</v>
          </cell>
          <cell r="C1550">
            <v>0</v>
          </cell>
          <cell r="D1550">
            <v>0</v>
          </cell>
          <cell r="E1550">
            <v>0.05</v>
          </cell>
          <cell r="F1550">
            <v>0</v>
          </cell>
          <cell r="G1550">
            <v>12675.900000000001</v>
          </cell>
          <cell r="H1550">
            <v>0</v>
          </cell>
          <cell r="I1550">
            <v>0</v>
          </cell>
        </row>
        <row r="1551">
          <cell r="B1551">
            <v>0</v>
          </cell>
          <cell r="C1551">
            <v>0</v>
          </cell>
          <cell r="D1551">
            <v>0</v>
          </cell>
          <cell r="E1551">
            <v>0.02</v>
          </cell>
          <cell r="F1551">
            <v>0</v>
          </cell>
          <cell r="G1551">
            <v>5070.3599999999997</v>
          </cell>
          <cell r="H1551">
            <v>0</v>
          </cell>
          <cell r="I1551">
            <v>0</v>
          </cell>
        </row>
        <row r="1552"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81125.759999999995</v>
          </cell>
        </row>
        <row r="1553"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334643.76</v>
          </cell>
        </row>
        <row r="1554"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</row>
        <row r="1555"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 t="str">
            <v>REVISA</v>
          </cell>
          <cell r="G1555">
            <v>0</v>
          </cell>
          <cell r="H1555">
            <v>0</v>
          </cell>
          <cell r="I1555">
            <v>0</v>
          </cell>
        </row>
        <row r="1556"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 t="str">
            <v>FIRMA:</v>
          </cell>
          <cell r="G1556">
            <v>0</v>
          </cell>
          <cell r="H1556">
            <v>0</v>
          </cell>
          <cell r="I1556">
            <v>0</v>
          </cell>
        </row>
        <row r="1557">
          <cell r="B1557" t="str">
            <v>JHON EMIR GAMBOA MENA</v>
          </cell>
          <cell r="C1557">
            <v>0</v>
          </cell>
          <cell r="F1557" t="str">
            <v>NOMBRE</v>
          </cell>
          <cell r="G1557">
            <v>0</v>
          </cell>
          <cell r="H1557">
            <v>0</v>
          </cell>
          <cell r="I1557">
            <v>0</v>
          </cell>
        </row>
        <row r="1558">
          <cell r="B1558" t="str">
            <v>05202-316814 ANT</v>
          </cell>
          <cell r="C1558">
            <v>0</v>
          </cell>
          <cell r="F1558" t="str">
            <v>MAT:</v>
          </cell>
          <cell r="G1558">
            <v>0</v>
          </cell>
          <cell r="H1558">
            <v>0</v>
          </cell>
          <cell r="I1558">
            <v>0</v>
          </cell>
        </row>
        <row r="1559">
          <cell r="B1559">
            <v>0</v>
          </cell>
          <cell r="C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</row>
        <row r="1560"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</row>
        <row r="1561"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</row>
        <row r="1562"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</row>
        <row r="1563">
          <cell r="I1563">
            <v>0</v>
          </cell>
        </row>
        <row r="1564"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</row>
        <row r="1565">
          <cell r="B1565" t="str">
            <v>4.8</v>
          </cell>
          <cell r="C1565" t="str">
            <v>DESCRIPCION:</v>
          </cell>
          <cell r="D1565" t="str">
            <v>PISO EN LOSETA CUADRATICA PREFABRICADA TACTIL ALERTA, 20*20 E=60 MM-SE INSTALARÁ SOBRE UNA CAPA DE MORTERO 1:4 DE 4CM.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</row>
        <row r="1566">
          <cell r="B1566" t="str">
            <v>PAR-10</v>
          </cell>
          <cell r="C1566">
            <v>0</v>
          </cell>
          <cell r="D1566" t="str">
            <v>UNIDAD</v>
          </cell>
          <cell r="E1566" t="str">
            <v>M2</v>
          </cell>
          <cell r="F1566" t="str">
            <v>CANTIDAD</v>
          </cell>
          <cell r="G1566">
            <v>29</v>
          </cell>
          <cell r="H1566" t="str">
            <v>V. UNITARIO:</v>
          </cell>
          <cell r="I1566">
            <v>128445</v>
          </cell>
        </row>
        <row r="1567"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</row>
        <row r="1568"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 t="str">
            <v>Tarifa/Hora</v>
          </cell>
          <cell r="G1568" t="str">
            <v>Rendimiento</v>
          </cell>
          <cell r="H1568" t="str">
            <v>Valor-Unit.</v>
          </cell>
          <cell r="I1568">
            <v>0</v>
          </cell>
        </row>
        <row r="1569">
          <cell r="B1569" t="str">
            <v>E027</v>
          </cell>
          <cell r="C1569" t="str">
            <v>VIBRADOR DE AGUJA</v>
          </cell>
          <cell r="D1569">
            <v>0</v>
          </cell>
          <cell r="E1569">
            <v>0</v>
          </cell>
          <cell r="F1569">
            <v>4375</v>
          </cell>
          <cell r="G1569">
            <v>1</v>
          </cell>
          <cell r="H1569">
            <v>4375</v>
          </cell>
          <cell r="I1569">
            <v>0</v>
          </cell>
        </row>
        <row r="1570">
          <cell r="B1570" t="str">
            <v>E018</v>
          </cell>
          <cell r="C1570" t="str">
            <v>LISTON Y VARILLA AJUS. FORMALETA METALICA</v>
          </cell>
          <cell r="D1570">
            <v>0</v>
          </cell>
          <cell r="E1570">
            <v>0</v>
          </cell>
          <cell r="F1570">
            <v>1000</v>
          </cell>
          <cell r="G1570">
            <v>0.5</v>
          </cell>
          <cell r="H1570">
            <v>500</v>
          </cell>
          <cell r="I1570">
            <v>0</v>
          </cell>
        </row>
        <row r="1571">
          <cell r="B1571" t="str">
            <v>E012</v>
          </cell>
          <cell r="C1571" t="str">
            <v>FORMALETA PARA BORDILLO/CUNETA</v>
          </cell>
          <cell r="D1571">
            <v>0</v>
          </cell>
          <cell r="E1571">
            <v>0</v>
          </cell>
          <cell r="F1571">
            <v>2150</v>
          </cell>
          <cell r="G1571">
            <v>1</v>
          </cell>
          <cell r="H1571">
            <v>2150</v>
          </cell>
          <cell r="I1571">
            <v>0</v>
          </cell>
        </row>
        <row r="1572"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</row>
        <row r="1573"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</row>
        <row r="1575"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 t="str">
            <v>Sub-Total</v>
          </cell>
          <cell r="G1575" t="str">
            <v>4.8</v>
          </cell>
          <cell r="H1575" t="str">
            <v>EQUI-4.8</v>
          </cell>
          <cell r="I1575">
            <v>7025</v>
          </cell>
        </row>
        <row r="1576"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</row>
        <row r="1577">
          <cell r="B1577">
            <v>0</v>
          </cell>
          <cell r="C1577">
            <v>0</v>
          </cell>
          <cell r="D1577">
            <v>0</v>
          </cell>
          <cell r="E1577" t="str">
            <v>UNIDAD</v>
          </cell>
          <cell r="F1577" t="str">
            <v>V.UNIT</v>
          </cell>
          <cell r="G1577" t="str">
            <v>CANT</v>
          </cell>
          <cell r="H1577" t="str">
            <v>V.TOTAL</v>
          </cell>
          <cell r="I1577">
            <v>0</v>
          </cell>
        </row>
        <row r="1578">
          <cell r="B1578" t="str">
            <v>M016</v>
          </cell>
          <cell r="C1578" t="str">
            <v>CONCRETO 2500 PSI</v>
          </cell>
          <cell r="D1578">
            <v>0</v>
          </cell>
          <cell r="E1578" t="str">
            <v>M3</v>
          </cell>
          <cell r="F1578">
            <v>390000</v>
          </cell>
          <cell r="G1578">
            <v>0.03</v>
          </cell>
          <cell r="H1578">
            <v>11700</v>
          </cell>
          <cell r="I1578">
            <v>0</v>
          </cell>
        </row>
        <row r="1579">
          <cell r="B1579" t="str">
            <v>M049</v>
          </cell>
          <cell r="C1579" t="str">
            <v>TABLETA SEÑALIZACION 0,1*20 M AMARILLA</v>
          </cell>
          <cell r="D1579">
            <v>0</v>
          </cell>
          <cell r="E1579" t="str">
            <v>UN</v>
          </cell>
          <cell r="F1579">
            <v>2100</v>
          </cell>
          <cell r="G1579">
            <v>25</v>
          </cell>
          <cell r="H1579">
            <v>52500</v>
          </cell>
          <cell r="I1579">
            <v>0</v>
          </cell>
        </row>
        <row r="1580"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</row>
        <row r="1581"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</row>
        <row r="1582"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</row>
        <row r="1583"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 t="str">
            <v>Sub-Total</v>
          </cell>
          <cell r="G1583" t="str">
            <v>4.8</v>
          </cell>
          <cell r="H1583" t="str">
            <v>MAT-4.8</v>
          </cell>
          <cell r="I1583">
            <v>64200</v>
          </cell>
        </row>
        <row r="1584"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</row>
        <row r="1585">
          <cell r="B1585">
            <v>0</v>
          </cell>
          <cell r="C1585">
            <v>0</v>
          </cell>
          <cell r="D1585" t="str">
            <v xml:space="preserve">CAN </v>
          </cell>
          <cell r="E1585" t="str">
            <v>DISTANCIA</v>
          </cell>
          <cell r="F1585" t="str">
            <v>M3-Km / UN-KM</v>
          </cell>
          <cell r="G1585" t="str">
            <v>TARIFA</v>
          </cell>
          <cell r="H1585" t="str">
            <v>Valor-Unit.</v>
          </cell>
          <cell r="I1585">
            <v>0</v>
          </cell>
        </row>
        <row r="1586">
          <cell r="B1586" t="str">
            <v>T007</v>
          </cell>
          <cell r="C1586" t="str">
            <v>TRANS INT TABLETA-ADOQUIN UN</v>
          </cell>
          <cell r="D1586">
            <v>25</v>
          </cell>
          <cell r="E1586">
            <v>1</v>
          </cell>
          <cell r="F1586">
            <v>25</v>
          </cell>
          <cell r="G1586">
            <v>200</v>
          </cell>
          <cell r="H1586">
            <v>5000</v>
          </cell>
          <cell r="I1586">
            <v>0</v>
          </cell>
        </row>
        <row r="1587"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</row>
        <row r="1588"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</row>
        <row r="1589"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</row>
        <row r="1590"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 t="str">
            <v>Sub-Total</v>
          </cell>
          <cell r="G1590" t="str">
            <v>4.8</v>
          </cell>
          <cell r="H1590" t="str">
            <v>TRAN-4.8</v>
          </cell>
          <cell r="I1590">
            <v>5000</v>
          </cell>
        </row>
        <row r="1591"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</row>
        <row r="1592">
          <cell r="B1592">
            <v>0</v>
          </cell>
          <cell r="C1592">
            <v>0</v>
          </cell>
          <cell r="D1592" t="str">
            <v>JORNAL-HORA</v>
          </cell>
          <cell r="E1592" t="str">
            <v>PRES</v>
          </cell>
          <cell r="F1592" t="str">
            <v>JORNAL TOTAL</v>
          </cell>
          <cell r="G1592" t="str">
            <v>RENDIEMIENTO</v>
          </cell>
          <cell r="H1592" t="str">
            <v>VALOR-UNIT</v>
          </cell>
          <cell r="I1592">
            <v>0</v>
          </cell>
        </row>
        <row r="1593">
          <cell r="B1593" t="str">
            <v>MO004</v>
          </cell>
          <cell r="C1593" t="str">
            <v>OFICIAL</v>
          </cell>
          <cell r="D1593">
            <v>10270.602514022436</v>
          </cell>
          <cell r="E1593">
            <v>0.56000000000000005</v>
          </cell>
          <cell r="F1593">
            <v>16022.139921875001</v>
          </cell>
          <cell r="G1593">
            <v>0.8</v>
          </cell>
          <cell r="H1593">
            <v>12817.711937500002</v>
          </cell>
          <cell r="I1593">
            <v>0</v>
          </cell>
        </row>
        <row r="1594">
          <cell r="B1594" t="str">
            <v>MO005</v>
          </cell>
          <cell r="C1594" t="str">
            <v>AYUDANTE ENTENDIDO</v>
          </cell>
          <cell r="D1594">
            <v>6411.5899439102559</v>
          </cell>
          <cell r="E1594">
            <v>0.56000000000000005</v>
          </cell>
          <cell r="F1594">
            <v>10002.0803125</v>
          </cell>
          <cell r="G1594">
            <v>0.8</v>
          </cell>
          <cell r="H1594">
            <v>8001.6642500000007</v>
          </cell>
          <cell r="I1594">
            <v>0</v>
          </cell>
        </row>
        <row r="1595">
          <cell r="B1595" t="str">
            <v>MO006</v>
          </cell>
          <cell r="C1595" t="str">
            <v>AYUDANTE</v>
          </cell>
          <cell r="D1595">
            <v>4633.604176682692</v>
          </cell>
          <cell r="E1595">
            <v>0.56000000000000005</v>
          </cell>
          <cell r="F1595">
            <v>7228.4225156249995</v>
          </cell>
          <cell r="G1595">
            <v>4</v>
          </cell>
          <cell r="H1595">
            <v>28913.690062499998</v>
          </cell>
          <cell r="I1595">
            <v>0</v>
          </cell>
        </row>
        <row r="1596"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</row>
        <row r="1597"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 t="str">
            <v>Sub-Total</v>
          </cell>
          <cell r="G1597" t="str">
            <v>4.8</v>
          </cell>
          <cell r="H1597" t="str">
            <v>MDEO-4.8</v>
          </cell>
          <cell r="I1597">
            <v>49733.066250000003</v>
          </cell>
        </row>
        <row r="1598"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2486.6533125000005</v>
          </cell>
        </row>
        <row r="1599"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 t="str">
            <v>Total Costo Directo</v>
          </cell>
          <cell r="G1599">
            <v>0</v>
          </cell>
          <cell r="H1599">
            <v>0</v>
          </cell>
          <cell r="I1599">
            <v>128445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 t="str">
            <v>PORCENTAJE</v>
          </cell>
          <cell r="F1600">
            <v>0</v>
          </cell>
          <cell r="G1600" t="str">
            <v>V. COSTO INDERECTO</v>
          </cell>
          <cell r="H1600">
            <v>0</v>
          </cell>
          <cell r="I1600">
            <v>0</v>
          </cell>
        </row>
        <row r="1601">
          <cell r="B1601">
            <v>0</v>
          </cell>
          <cell r="C1601">
            <v>0</v>
          </cell>
          <cell r="D1601">
            <v>0</v>
          </cell>
          <cell r="E1601">
            <v>0.02</v>
          </cell>
          <cell r="F1601">
            <v>0</v>
          </cell>
          <cell r="G1601">
            <v>2568.9</v>
          </cell>
          <cell r="H1601">
            <v>0</v>
          </cell>
          <cell r="I1601">
            <v>0</v>
          </cell>
        </row>
        <row r="1602">
          <cell r="B1602">
            <v>0</v>
          </cell>
          <cell r="C1602">
            <v>0</v>
          </cell>
          <cell r="D1602">
            <v>0</v>
          </cell>
          <cell r="E1602">
            <v>0.23</v>
          </cell>
          <cell r="F1602">
            <v>0</v>
          </cell>
          <cell r="G1602">
            <v>29542.350000000002</v>
          </cell>
          <cell r="H1602">
            <v>0</v>
          </cell>
          <cell r="I1602">
            <v>0</v>
          </cell>
        </row>
        <row r="1603">
          <cell r="B1603">
            <v>0</v>
          </cell>
          <cell r="C1603">
            <v>0</v>
          </cell>
          <cell r="D1603">
            <v>0</v>
          </cell>
          <cell r="E1603">
            <v>0.05</v>
          </cell>
          <cell r="F1603">
            <v>0</v>
          </cell>
          <cell r="G1603">
            <v>6422.25</v>
          </cell>
          <cell r="H1603">
            <v>0</v>
          </cell>
          <cell r="I1603">
            <v>0</v>
          </cell>
        </row>
        <row r="1604">
          <cell r="B1604">
            <v>0</v>
          </cell>
          <cell r="C1604">
            <v>0</v>
          </cell>
          <cell r="D1604">
            <v>0</v>
          </cell>
          <cell r="E1604">
            <v>0.02</v>
          </cell>
          <cell r="F1604">
            <v>0</v>
          </cell>
          <cell r="G1604">
            <v>2568.9</v>
          </cell>
          <cell r="H1604">
            <v>0</v>
          </cell>
          <cell r="I1604">
            <v>0</v>
          </cell>
        </row>
        <row r="1605"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41102.400000000001</v>
          </cell>
        </row>
        <row r="1606"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169547.4</v>
          </cell>
        </row>
        <row r="1607"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</row>
        <row r="1608"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 t="str">
            <v>REVISA</v>
          </cell>
          <cell r="G1608">
            <v>0</v>
          </cell>
          <cell r="H1608">
            <v>0</v>
          </cell>
          <cell r="I1608">
            <v>0</v>
          </cell>
        </row>
        <row r="1609"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 t="str">
            <v>FIRMA:</v>
          </cell>
          <cell r="G1609">
            <v>0</v>
          </cell>
          <cell r="H1609">
            <v>0</v>
          </cell>
          <cell r="I1609">
            <v>0</v>
          </cell>
        </row>
        <row r="1610">
          <cell r="B1610" t="str">
            <v>JHON EMIR GAMBOA MENA</v>
          </cell>
          <cell r="C1610">
            <v>0</v>
          </cell>
          <cell r="F1610" t="str">
            <v>NOMBRE</v>
          </cell>
          <cell r="G1610">
            <v>0</v>
          </cell>
          <cell r="H1610">
            <v>0</v>
          </cell>
          <cell r="I1610">
            <v>0</v>
          </cell>
        </row>
        <row r="1611">
          <cell r="B1611" t="str">
            <v>05202-316814 ANT</v>
          </cell>
          <cell r="C1611">
            <v>0</v>
          </cell>
          <cell r="F1611" t="str">
            <v>MAT:</v>
          </cell>
          <cell r="G1611">
            <v>0</v>
          </cell>
          <cell r="H1611">
            <v>0</v>
          </cell>
          <cell r="I1611">
            <v>0</v>
          </cell>
        </row>
        <row r="1612">
          <cell r="B1612">
            <v>0</v>
          </cell>
          <cell r="C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</row>
        <row r="1613"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</row>
        <row r="1615"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</row>
        <row r="1616"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</row>
        <row r="1617">
          <cell r="B1617" t="str">
            <v>4.9</v>
          </cell>
          <cell r="C1617" t="str">
            <v>DESCRIPCION:</v>
          </cell>
          <cell r="D1617" t="str">
            <v>CONCRETO REFORZADO 21MPA PARA VIGA DE CIERRE ANDENES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</row>
        <row r="1618">
          <cell r="B1618" t="str">
            <v>630-13</v>
          </cell>
          <cell r="C1618">
            <v>0</v>
          </cell>
          <cell r="D1618" t="str">
            <v>UNIDAD</v>
          </cell>
          <cell r="E1618" t="str">
            <v>M3</v>
          </cell>
          <cell r="F1618" t="str">
            <v>CANTIDAD</v>
          </cell>
          <cell r="G1618">
            <v>45</v>
          </cell>
          <cell r="H1618" t="str">
            <v>V. UNITARIO:</v>
          </cell>
          <cell r="I1618">
            <v>696733</v>
          </cell>
        </row>
        <row r="1619"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 t="str">
            <v>Tarifa/Hora</v>
          </cell>
          <cell r="G1620" t="str">
            <v>Rendimiento</v>
          </cell>
          <cell r="H1620" t="str">
            <v>Valor-Unit.</v>
          </cell>
          <cell r="I1620">
            <v>0</v>
          </cell>
        </row>
        <row r="1621">
          <cell r="B1621" t="str">
            <v>E018</v>
          </cell>
          <cell r="C1621" t="str">
            <v>LISTON Y VARILLA AJUS. FORMALETA METALICA</v>
          </cell>
          <cell r="D1621">
            <v>0</v>
          </cell>
          <cell r="E1621">
            <v>0</v>
          </cell>
          <cell r="F1621">
            <v>1000</v>
          </cell>
          <cell r="G1621">
            <v>0.5</v>
          </cell>
          <cell r="H1621">
            <v>500</v>
          </cell>
          <cell r="I1621">
            <v>0</v>
          </cell>
        </row>
        <row r="1622">
          <cell r="B1622" t="str">
            <v>E013</v>
          </cell>
          <cell r="C1622" t="str">
            <v>FORMALETA MADERA (TABLA 3M 0,20M)</v>
          </cell>
          <cell r="D1622">
            <v>0</v>
          </cell>
          <cell r="E1622">
            <v>0</v>
          </cell>
          <cell r="F1622">
            <v>7500</v>
          </cell>
          <cell r="G1622">
            <v>0.66</v>
          </cell>
          <cell r="H1622">
            <v>4950</v>
          </cell>
          <cell r="I1622">
            <v>0</v>
          </cell>
        </row>
        <row r="1623">
          <cell r="B1623" t="str">
            <v>E027</v>
          </cell>
          <cell r="C1623" t="str">
            <v>VIBRADOR DE AGUJA</v>
          </cell>
          <cell r="D1623">
            <v>0</v>
          </cell>
          <cell r="E1623">
            <v>0</v>
          </cell>
          <cell r="F1623">
            <v>4375</v>
          </cell>
          <cell r="G1623">
            <v>1</v>
          </cell>
          <cell r="H1623">
            <v>4375</v>
          </cell>
          <cell r="I1623">
            <v>0</v>
          </cell>
        </row>
        <row r="1624">
          <cell r="B1624" t="str">
            <v>E018</v>
          </cell>
          <cell r="C1624" t="str">
            <v>LISTON Y VARILLA AJUS. FORMALETA METALICA</v>
          </cell>
          <cell r="D1624">
            <v>0</v>
          </cell>
          <cell r="E1624">
            <v>0</v>
          </cell>
          <cell r="F1624">
            <v>1000</v>
          </cell>
          <cell r="G1624">
            <v>0.5</v>
          </cell>
          <cell r="H1624">
            <v>500</v>
          </cell>
          <cell r="I1624">
            <v>0</v>
          </cell>
        </row>
        <row r="1625"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 t="str">
            <v>Sub-Total</v>
          </cell>
          <cell r="G1625" t="str">
            <v>4.9</v>
          </cell>
          <cell r="H1625" t="str">
            <v>EQUI-4.9</v>
          </cell>
          <cell r="I1625">
            <v>10325</v>
          </cell>
        </row>
        <row r="1626"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</row>
        <row r="1627">
          <cell r="B1627">
            <v>0</v>
          </cell>
          <cell r="C1627">
            <v>0</v>
          </cell>
          <cell r="D1627">
            <v>0</v>
          </cell>
          <cell r="E1627" t="str">
            <v>UNIDAD</v>
          </cell>
          <cell r="F1627" t="str">
            <v>V.UNIT</v>
          </cell>
          <cell r="G1627" t="str">
            <v>CANT</v>
          </cell>
          <cell r="H1627" t="str">
            <v>V.TOTAL</v>
          </cell>
          <cell r="I1627">
            <v>0</v>
          </cell>
        </row>
        <row r="1628">
          <cell r="B1628" t="str">
            <v>M064</v>
          </cell>
          <cell r="C1628" t="str">
            <v>CONCRETO 3000 PSI</v>
          </cell>
          <cell r="D1628">
            <v>0</v>
          </cell>
          <cell r="E1628" t="str">
            <v>M3</v>
          </cell>
          <cell r="F1628">
            <v>410000</v>
          </cell>
          <cell r="G1628">
            <v>1</v>
          </cell>
          <cell r="H1628">
            <v>410000</v>
          </cell>
          <cell r="I1628">
            <v>0</v>
          </cell>
        </row>
        <row r="1629">
          <cell r="B1629" t="str">
            <v>M005</v>
          </cell>
          <cell r="C1629" t="str">
            <v>ALAMBRE QUEMADO</v>
          </cell>
          <cell r="D1629">
            <v>0</v>
          </cell>
          <cell r="E1629" t="str">
            <v>KG</v>
          </cell>
          <cell r="F1629">
            <v>3550</v>
          </cell>
          <cell r="G1629">
            <v>2.3869440000000002</v>
          </cell>
          <cell r="H1629">
            <v>8473.6512000000002</v>
          </cell>
          <cell r="I1629">
            <v>0</v>
          </cell>
        </row>
        <row r="1630">
          <cell r="B1630" t="str">
            <v>M003</v>
          </cell>
          <cell r="C1630" t="str">
            <v>ACERO 40000 PSI</v>
          </cell>
          <cell r="D1630">
            <v>0</v>
          </cell>
          <cell r="E1630" t="str">
            <v>KG</v>
          </cell>
          <cell r="F1630">
            <v>2744</v>
          </cell>
          <cell r="G1630">
            <v>59.6736</v>
          </cell>
          <cell r="H1630">
            <v>163744.3584</v>
          </cell>
          <cell r="I1630">
            <v>0</v>
          </cell>
        </row>
        <row r="1631"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</row>
        <row r="1632"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 t="str">
            <v>Sub-Total</v>
          </cell>
          <cell r="G1632" t="str">
            <v>4.9</v>
          </cell>
          <cell r="H1632" t="str">
            <v>MAT-4.9</v>
          </cell>
          <cell r="I1632">
            <v>582218.00959999999</v>
          </cell>
        </row>
        <row r="1633"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</row>
        <row r="1634">
          <cell r="B1634">
            <v>0</v>
          </cell>
          <cell r="C1634">
            <v>0</v>
          </cell>
          <cell r="D1634" t="str">
            <v xml:space="preserve">CAN </v>
          </cell>
          <cell r="E1634" t="str">
            <v>DISTANCIA</v>
          </cell>
          <cell r="F1634" t="str">
            <v>M3-Km / UN-KM</v>
          </cell>
          <cell r="G1634" t="str">
            <v>TARIFA</v>
          </cell>
          <cell r="H1634" t="str">
            <v>Valor-Unit.</v>
          </cell>
          <cell r="I1634">
            <v>0</v>
          </cell>
        </row>
        <row r="1635">
          <cell r="B1635" t="str">
            <v>T001</v>
          </cell>
          <cell r="C1635" t="str">
            <v>TRANS INT CONCRETO M3</v>
          </cell>
          <cell r="D1635">
            <v>1</v>
          </cell>
          <cell r="E1635">
            <v>1</v>
          </cell>
          <cell r="F1635">
            <v>1</v>
          </cell>
          <cell r="G1635">
            <v>4000</v>
          </cell>
          <cell r="H1635">
            <v>4000</v>
          </cell>
          <cell r="I1635">
            <v>0</v>
          </cell>
        </row>
        <row r="1636"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</row>
        <row r="1637"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 t="str">
            <v>Sub-Total</v>
          </cell>
          <cell r="G1637" t="str">
            <v>4.9</v>
          </cell>
          <cell r="H1637" t="str">
            <v>TRAN-4.9</v>
          </cell>
          <cell r="I1637">
            <v>4000</v>
          </cell>
        </row>
        <row r="1638"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</row>
        <row r="1639">
          <cell r="B1639">
            <v>0</v>
          </cell>
          <cell r="C1639">
            <v>0</v>
          </cell>
          <cell r="D1639" t="str">
            <v>JORNAL-HORA</v>
          </cell>
          <cell r="E1639" t="str">
            <v>PRES</v>
          </cell>
          <cell r="F1639" t="str">
            <v>JORNAL TOTAL</v>
          </cell>
          <cell r="G1639" t="str">
            <v>RENDIEMIENTO</v>
          </cell>
          <cell r="H1639" t="str">
            <v>VALOR-UNIT</v>
          </cell>
          <cell r="I1639">
            <v>0</v>
          </cell>
        </row>
        <row r="1640">
          <cell r="B1640" t="str">
            <v>MO004</v>
          </cell>
          <cell r="C1640" t="str">
            <v>OFICIAL</v>
          </cell>
          <cell r="D1640">
            <v>10270.602514022436</v>
          </cell>
          <cell r="E1640">
            <v>0.56000000000000005</v>
          </cell>
          <cell r="F1640">
            <v>16022.139921875001</v>
          </cell>
          <cell r="G1640">
            <v>2</v>
          </cell>
          <cell r="H1640">
            <v>32044.279843750002</v>
          </cell>
          <cell r="I1640">
            <v>0</v>
          </cell>
        </row>
        <row r="1641">
          <cell r="B1641" t="str">
            <v>MO005</v>
          </cell>
          <cell r="C1641" t="str">
            <v>AYUDANTE ENTENDIDO</v>
          </cell>
          <cell r="D1641">
            <v>6411.5899439102559</v>
          </cell>
          <cell r="E1641">
            <v>0.56000000000000005</v>
          </cell>
          <cell r="F1641">
            <v>10002.0803125</v>
          </cell>
          <cell r="G1641">
            <v>2</v>
          </cell>
          <cell r="H1641">
            <v>20004.160625</v>
          </cell>
          <cell r="I1641">
            <v>0</v>
          </cell>
        </row>
        <row r="1642">
          <cell r="B1642" t="str">
            <v>MO006</v>
          </cell>
          <cell r="C1642" t="str">
            <v>AYUDANTE</v>
          </cell>
          <cell r="D1642">
            <v>4633.604176682692</v>
          </cell>
          <cell r="E1642">
            <v>0.56000000000000005</v>
          </cell>
          <cell r="F1642">
            <v>7228.4225156249995</v>
          </cell>
          <cell r="G1642">
            <v>6</v>
          </cell>
          <cell r="H1642">
            <v>43370.535093749997</v>
          </cell>
          <cell r="I1642">
            <v>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</row>
        <row r="1644"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</row>
        <row r="1645"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</row>
        <row r="1646"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 t="str">
            <v>Sub-Total</v>
          </cell>
          <cell r="G1646" t="str">
            <v>4.9</v>
          </cell>
          <cell r="H1646" t="str">
            <v>MDEO-4.9</v>
          </cell>
          <cell r="I1646">
            <v>95418.975562500011</v>
          </cell>
        </row>
        <row r="1647"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4770.9487781250009</v>
          </cell>
        </row>
        <row r="1648"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 t="str">
            <v>Total Costo Directo</v>
          </cell>
          <cell r="G1648">
            <v>0</v>
          </cell>
          <cell r="H1648">
            <v>0</v>
          </cell>
          <cell r="I1648">
            <v>696733</v>
          </cell>
        </row>
        <row r="1649">
          <cell r="B1649">
            <v>0</v>
          </cell>
          <cell r="C1649">
            <v>0</v>
          </cell>
          <cell r="D1649">
            <v>0</v>
          </cell>
          <cell r="E1649" t="str">
            <v>PORCENTAJE</v>
          </cell>
          <cell r="F1649">
            <v>0</v>
          </cell>
          <cell r="G1649" t="str">
            <v>V. COSTO INDERECTO</v>
          </cell>
          <cell r="H1649">
            <v>0</v>
          </cell>
          <cell r="I1649">
            <v>0</v>
          </cell>
        </row>
        <row r="1650">
          <cell r="B1650">
            <v>0</v>
          </cell>
          <cell r="C1650">
            <v>0</v>
          </cell>
          <cell r="D1650">
            <v>0</v>
          </cell>
          <cell r="E1650">
            <v>0.02</v>
          </cell>
          <cell r="F1650">
            <v>0</v>
          </cell>
          <cell r="G1650">
            <v>13934.66</v>
          </cell>
          <cell r="H1650">
            <v>0</v>
          </cell>
          <cell r="I1650">
            <v>0</v>
          </cell>
        </row>
        <row r="1651">
          <cell r="B1651">
            <v>0</v>
          </cell>
          <cell r="C1651">
            <v>0</v>
          </cell>
          <cell r="D1651">
            <v>0</v>
          </cell>
          <cell r="E1651">
            <v>0.23</v>
          </cell>
          <cell r="F1651">
            <v>0</v>
          </cell>
          <cell r="G1651">
            <v>160248.59</v>
          </cell>
          <cell r="H1651">
            <v>0</v>
          </cell>
          <cell r="I1651">
            <v>0</v>
          </cell>
        </row>
        <row r="1652">
          <cell r="B1652">
            <v>0</v>
          </cell>
          <cell r="C1652">
            <v>0</v>
          </cell>
          <cell r="D1652">
            <v>0</v>
          </cell>
          <cell r="E1652">
            <v>0.05</v>
          </cell>
          <cell r="F1652">
            <v>0</v>
          </cell>
          <cell r="G1652">
            <v>34836.65</v>
          </cell>
          <cell r="H1652">
            <v>0</v>
          </cell>
          <cell r="I1652">
            <v>0</v>
          </cell>
        </row>
        <row r="1653">
          <cell r="B1653">
            <v>0</v>
          </cell>
          <cell r="C1653">
            <v>0</v>
          </cell>
          <cell r="D1653">
            <v>0</v>
          </cell>
          <cell r="E1653">
            <v>0.02</v>
          </cell>
          <cell r="F1653">
            <v>0</v>
          </cell>
          <cell r="G1653">
            <v>13934.66</v>
          </cell>
          <cell r="H1653">
            <v>0</v>
          </cell>
          <cell r="I1653">
            <v>0</v>
          </cell>
        </row>
        <row r="1654"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222954.56</v>
          </cell>
        </row>
        <row r="1655"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919687.56</v>
          </cell>
        </row>
        <row r="1656"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</row>
        <row r="1657"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 t="str">
            <v>REVISA</v>
          </cell>
          <cell r="G1657">
            <v>0</v>
          </cell>
          <cell r="H1657">
            <v>0</v>
          </cell>
          <cell r="I1657">
            <v>0</v>
          </cell>
        </row>
        <row r="1658"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 t="str">
            <v>FIRMA:</v>
          </cell>
          <cell r="G1658">
            <v>0</v>
          </cell>
          <cell r="H1658">
            <v>0</v>
          </cell>
          <cell r="I1658">
            <v>0</v>
          </cell>
        </row>
        <row r="1659">
          <cell r="B1659" t="str">
            <v>JHON EMIR GAMBOA MENA</v>
          </cell>
          <cell r="C1659">
            <v>0</v>
          </cell>
          <cell r="F1659" t="str">
            <v>NOMBRE</v>
          </cell>
          <cell r="G1659">
            <v>0</v>
          </cell>
          <cell r="H1659">
            <v>0</v>
          </cell>
          <cell r="I1659">
            <v>0</v>
          </cell>
        </row>
        <row r="1660">
          <cell r="B1660" t="str">
            <v>05202-316814 ANT</v>
          </cell>
          <cell r="C1660">
            <v>0</v>
          </cell>
          <cell r="F1660" t="str">
            <v>MAT:</v>
          </cell>
          <cell r="G1660">
            <v>0</v>
          </cell>
          <cell r="H1660">
            <v>0</v>
          </cell>
          <cell r="I1660">
            <v>0</v>
          </cell>
        </row>
        <row r="1661">
          <cell r="B1661">
            <v>0</v>
          </cell>
          <cell r="C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</row>
        <row r="1662"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</row>
        <row r="1663"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</row>
        <row r="1664"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</row>
        <row r="1665"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</row>
        <row r="1666">
          <cell r="B1666" t="str">
            <v>2.7</v>
          </cell>
          <cell r="C1666" t="str">
            <v>DESCRIPCION:</v>
          </cell>
          <cell r="D1666" t="str">
            <v>CAJA EN CONCRETO, COLECTOR DE AGUAS LLUVIAS DE 0.7*HVARIABLE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</row>
        <row r="1667">
          <cell r="B1667" t="str">
            <v>PAR-06</v>
          </cell>
          <cell r="C1667">
            <v>0</v>
          </cell>
          <cell r="D1667" t="str">
            <v>UNIDAD</v>
          </cell>
          <cell r="E1667" t="str">
            <v>ML</v>
          </cell>
          <cell r="F1667" t="str">
            <v>CANTIDAD</v>
          </cell>
          <cell r="G1667">
            <v>789</v>
          </cell>
          <cell r="H1667" t="str">
            <v>V. UNITARIO:</v>
          </cell>
          <cell r="I1667">
            <v>530156</v>
          </cell>
        </row>
        <row r="1668"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</row>
        <row r="1669"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 t="str">
            <v>Tarifa/Hora</v>
          </cell>
          <cell r="G1669" t="str">
            <v>Rendimiento</v>
          </cell>
          <cell r="H1669" t="str">
            <v>Valor-Unit.</v>
          </cell>
          <cell r="I1669">
            <v>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B1671" t="str">
            <v>E011</v>
          </cell>
          <cell r="C1671" t="str">
            <v>FORMALETA OBRAS</v>
          </cell>
          <cell r="D1671">
            <v>0</v>
          </cell>
          <cell r="E1671">
            <v>0</v>
          </cell>
          <cell r="F1671">
            <v>65000</v>
          </cell>
          <cell r="G1671">
            <v>2</v>
          </cell>
          <cell r="H1671">
            <v>130000</v>
          </cell>
          <cell r="I1671">
            <v>0</v>
          </cell>
        </row>
        <row r="1672">
          <cell r="B1672" t="str">
            <v>E027</v>
          </cell>
          <cell r="C1672" t="str">
            <v>VIBRADOR DE AGUJA</v>
          </cell>
          <cell r="D1672">
            <v>0</v>
          </cell>
          <cell r="E1672">
            <v>0</v>
          </cell>
          <cell r="F1672">
            <v>4375</v>
          </cell>
          <cell r="G1672">
            <v>2</v>
          </cell>
          <cell r="H1672">
            <v>8750</v>
          </cell>
          <cell r="I1672">
            <v>0</v>
          </cell>
        </row>
        <row r="1673"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 t="str">
            <v>Sub-Total</v>
          </cell>
          <cell r="G1673" t="str">
            <v>2.7</v>
          </cell>
          <cell r="H1673" t="str">
            <v>EQUI-2.7</v>
          </cell>
          <cell r="I1673">
            <v>138750</v>
          </cell>
        </row>
        <row r="1674"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</row>
        <row r="1675">
          <cell r="B1675">
            <v>0</v>
          </cell>
          <cell r="C1675">
            <v>0</v>
          </cell>
          <cell r="D1675">
            <v>0</v>
          </cell>
          <cell r="E1675" t="str">
            <v>UNIDAD</v>
          </cell>
          <cell r="F1675" t="str">
            <v>V.UNIT</v>
          </cell>
          <cell r="G1675" t="str">
            <v>CANT</v>
          </cell>
          <cell r="H1675" t="str">
            <v>V.TOTAL</v>
          </cell>
          <cell r="I1675">
            <v>0</v>
          </cell>
        </row>
        <row r="1676">
          <cell r="B1676" t="str">
            <v>M064</v>
          </cell>
          <cell r="C1676" t="str">
            <v>CONCRETO 3000 PSI</v>
          </cell>
          <cell r="D1676">
            <v>0</v>
          </cell>
          <cell r="E1676" t="str">
            <v>M3</v>
          </cell>
          <cell r="F1676">
            <v>410000</v>
          </cell>
          <cell r="G1676">
            <v>0.47249999999999998</v>
          </cell>
          <cell r="H1676">
            <v>193725</v>
          </cell>
          <cell r="I1676">
            <v>0</v>
          </cell>
        </row>
        <row r="1677">
          <cell r="B1677" t="str">
            <v>M002</v>
          </cell>
          <cell r="C1677" t="str">
            <v>ACERO  60000 PSI</v>
          </cell>
          <cell r="D1677">
            <v>0</v>
          </cell>
          <cell r="E1677" t="str">
            <v>KG</v>
          </cell>
          <cell r="F1677">
            <v>2510</v>
          </cell>
          <cell r="G1677">
            <v>42.23</v>
          </cell>
          <cell r="H1677">
            <v>105997.29999999999</v>
          </cell>
          <cell r="I1677">
            <v>0</v>
          </cell>
        </row>
        <row r="1678">
          <cell r="B1678" t="str">
            <v>M005</v>
          </cell>
          <cell r="C1678" t="str">
            <v>ALAMBRE QUEMADO</v>
          </cell>
          <cell r="D1678">
            <v>0</v>
          </cell>
          <cell r="E1678" t="str">
            <v>KG</v>
          </cell>
          <cell r="F1678">
            <v>3550</v>
          </cell>
          <cell r="G1678">
            <v>1.6891999999999998</v>
          </cell>
          <cell r="H1678">
            <v>5996.6599999999989</v>
          </cell>
          <cell r="I1678">
            <v>0</v>
          </cell>
        </row>
        <row r="1679"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</row>
        <row r="1680"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 t="str">
            <v>Sub-Total</v>
          </cell>
          <cell r="G1680" t="str">
            <v>2.7</v>
          </cell>
          <cell r="H1680" t="str">
            <v>MAT-2.7</v>
          </cell>
          <cell r="I1680">
            <v>305718.95999999996</v>
          </cell>
        </row>
        <row r="1681"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</row>
        <row r="1682">
          <cell r="B1682">
            <v>0</v>
          </cell>
          <cell r="C1682">
            <v>0</v>
          </cell>
          <cell r="D1682" t="str">
            <v xml:space="preserve">CAN </v>
          </cell>
          <cell r="E1682" t="str">
            <v>DISTANCIA</v>
          </cell>
          <cell r="F1682" t="str">
            <v>M3-Km / UN-KM</v>
          </cell>
          <cell r="G1682" t="str">
            <v>TARIFA</v>
          </cell>
          <cell r="H1682" t="str">
            <v>Valor-Unit.</v>
          </cell>
          <cell r="I1682">
            <v>0</v>
          </cell>
        </row>
        <row r="1683">
          <cell r="B1683" t="str">
            <v>T001</v>
          </cell>
          <cell r="C1683" t="str">
            <v>TRANS INT CONCRETO M3</v>
          </cell>
          <cell r="D1683">
            <v>0.47249999999999998</v>
          </cell>
          <cell r="E1683">
            <v>1</v>
          </cell>
          <cell r="F1683">
            <v>0.47249999999999998</v>
          </cell>
          <cell r="G1683">
            <v>4000</v>
          </cell>
          <cell r="H1683">
            <v>1890</v>
          </cell>
          <cell r="I1683">
            <v>0</v>
          </cell>
        </row>
        <row r="1684"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 t="str">
            <v>Sub-Total</v>
          </cell>
          <cell r="G1685" t="str">
            <v>2.7</v>
          </cell>
          <cell r="H1685" t="str">
            <v>TRAN-2.7</v>
          </cell>
          <cell r="I1685">
            <v>1890</v>
          </cell>
        </row>
        <row r="1686"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B1687">
            <v>0</v>
          </cell>
          <cell r="C1687">
            <v>0</v>
          </cell>
          <cell r="D1687" t="str">
            <v>JORNAL-HORA</v>
          </cell>
          <cell r="E1687" t="str">
            <v>PRES</v>
          </cell>
          <cell r="F1687" t="str">
            <v>JORNAL TOTAL</v>
          </cell>
          <cell r="G1687" t="str">
            <v>RENDIEMIENTO</v>
          </cell>
          <cell r="H1687" t="str">
            <v>VALOR-UNIT</v>
          </cell>
          <cell r="I1687">
            <v>0</v>
          </cell>
        </row>
        <row r="1688">
          <cell r="B1688" t="str">
            <v>MO004</v>
          </cell>
          <cell r="C1688" t="str">
            <v>OFICIAL</v>
          </cell>
          <cell r="D1688">
            <v>10270.602514022436</v>
          </cell>
          <cell r="E1688">
            <v>0.56000000000000005</v>
          </cell>
          <cell r="F1688">
            <v>16022.139921875001</v>
          </cell>
          <cell r="G1688">
            <v>2.4</v>
          </cell>
          <cell r="H1688">
            <v>38453.135812500004</v>
          </cell>
          <cell r="I1688">
            <v>0</v>
          </cell>
        </row>
        <row r="1689">
          <cell r="B1689" t="str">
            <v>MO005</v>
          </cell>
          <cell r="C1689" t="str">
            <v>AYUDANTE ENTENDIDO</v>
          </cell>
          <cell r="D1689">
            <v>6411.5899439102559</v>
          </cell>
          <cell r="E1689">
            <v>0.56000000000000005</v>
          </cell>
          <cell r="F1689">
            <v>10002.0803125</v>
          </cell>
          <cell r="G1689">
            <v>2.4</v>
          </cell>
          <cell r="H1689">
            <v>24004.992750000001</v>
          </cell>
          <cell r="I1689">
            <v>0</v>
          </cell>
        </row>
        <row r="1690">
          <cell r="B1690" t="str">
            <v>MO006</v>
          </cell>
          <cell r="C1690" t="str">
            <v>AYUDANTE</v>
          </cell>
          <cell r="D1690">
            <v>4633.604176682692</v>
          </cell>
          <cell r="E1690">
            <v>0.56000000000000005</v>
          </cell>
          <cell r="F1690">
            <v>7228.4225156249995</v>
          </cell>
          <cell r="G1690">
            <v>2.4</v>
          </cell>
          <cell r="H1690">
            <v>17348.214037499998</v>
          </cell>
          <cell r="I1690">
            <v>0</v>
          </cell>
        </row>
        <row r="1691"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</row>
        <row r="1692"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</row>
        <row r="1694"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 t="str">
            <v>Sub-Total</v>
          </cell>
          <cell r="G1694" t="str">
            <v>2.7</v>
          </cell>
          <cell r="H1694" t="str">
            <v>MDEO-2.7</v>
          </cell>
          <cell r="I1694">
            <v>79806.342600000004</v>
          </cell>
        </row>
        <row r="1695"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3990.3171300000004</v>
          </cell>
        </row>
        <row r="1696"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 t="str">
            <v>Total Costo Directo</v>
          </cell>
          <cell r="G1696">
            <v>0</v>
          </cell>
          <cell r="H1696">
            <v>0</v>
          </cell>
          <cell r="I1696">
            <v>530156</v>
          </cell>
        </row>
        <row r="1697">
          <cell r="B1697">
            <v>0</v>
          </cell>
          <cell r="C1697">
            <v>0</v>
          </cell>
          <cell r="D1697">
            <v>0</v>
          </cell>
          <cell r="E1697" t="str">
            <v>PORCENTAJE</v>
          </cell>
          <cell r="F1697">
            <v>0</v>
          </cell>
          <cell r="G1697" t="str">
            <v>V. COSTO INDERECTO</v>
          </cell>
          <cell r="H1697">
            <v>0</v>
          </cell>
          <cell r="I1697">
            <v>0</v>
          </cell>
        </row>
        <row r="1698">
          <cell r="B1698">
            <v>0</v>
          </cell>
          <cell r="C1698">
            <v>0</v>
          </cell>
          <cell r="D1698">
            <v>0</v>
          </cell>
          <cell r="E1698">
            <v>0.02</v>
          </cell>
          <cell r="F1698">
            <v>0</v>
          </cell>
          <cell r="G1698">
            <v>10603.12</v>
          </cell>
          <cell r="H1698">
            <v>0</v>
          </cell>
          <cell r="I1698">
            <v>0</v>
          </cell>
        </row>
        <row r="1699">
          <cell r="B1699">
            <v>0</v>
          </cell>
          <cell r="C1699">
            <v>0</v>
          </cell>
          <cell r="D1699">
            <v>0</v>
          </cell>
          <cell r="E1699">
            <v>0.23</v>
          </cell>
          <cell r="F1699">
            <v>0</v>
          </cell>
          <cell r="G1699">
            <v>121935.88</v>
          </cell>
          <cell r="H1699">
            <v>0</v>
          </cell>
          <cell r="I1699">
            <v>0</v>
          </cell>
        </row>
        <row r="1700">
          <cell r="B1700">
            <v>0</v>
          </cell>
          <cell r="C1700">
            <v>0</v>
          </cell>
          <cell r="D1700">
            <v>0</v>
          </cell>
          <cell r="E1700">
            <v>0.05</v>
          </cell>
          <cell r="F1700">
            <v>0</v>
          </cell>
          <cell r="G1700">
            <v>26507.800000000003</v>
          </cell>
          <cell r="H1700">
            <v>0</v>
          </cell>
          <cell r="I1700">
            <v>0</v>
          </cell>
        </row>
        <row r="1701">
          <cell r="B1701">
            <v>0</v>
          </cell>
          <cell r="C1701">
            <v>0</v>
          </cell>
          <cell r="D1701">
            <v>0</v>
          </cell>
          <cell r="E1701">
            <v>0.02</v>
          </cell>
          <cell r="F1701">
            <v>0</v>
          </cell>
          <cell r="G1701">
            <v>10603.12</v>
          </cell>
          <cell r="H1701">
            <v>0</v>
          </cell>
          <cell r="I1701">
            <v>0</v>
          </cell>
        </row>
        <row r="1702"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169649.91999999998</v>
          </cell>
        </row>
        <row r="1703"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699805.91999999993</v>
          </cell>
        </row>
        <row r="1704"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</row>
        <row r="1705"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 t="str">
            <v>REVISA</v>
          </cell>
          <cell r="G1705">
            <v>0</v>
          </cell>
          <cell r="H1705">
            <v>0</v>
          </cell>
          <cell r="I1705">
            <v>0</v>
          </cell>
        </row>
        <row r="1706"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 t="str">
            <v>FIRMA:</v>
          </cell>
          <cell r="G1706">
            <v>0</v>
          </cell>
          <cell r="H1706">
            <v>0</v>
          </cell>
          <cell r="I1706">
            <v>0</v>
          </cell>
        </row>
        <row r="1707">
          <cell r="B1707" t="str">
            <v>JHON EMIR GAMBOA MENA</v>
          </cell>
          <cell r="C1707">
            <v>0</v>
          </cell>
          <cell r="F1707" t="str">
            <v>NOMBRE</v>
          </cell>
          <cell r="G1707">
            <v>0</v>
          </cell>
          <cell r="H1707">
            <v>0</v>
          </cell>
          <cell r="I1707">
            <v>0</v>
          </cell>
        </row>
        <row r="1708">
          <cell r="B1708" t="str">
            <v>05202-316814 ANT</v>
          </cell>
          <cell r="C1708">
            <v>0</v>
          </cell>
          <cell r="F1708" t="str">
            <v>MAT:</v>
          </cell>
          <cell r="G1708">
            <v>0</v>
          </cell>
          <cell r="H1708">
            <v>0</v>
          </cell>
          <cell r="I1708">
            <v>0</v>
          </cell>
        </row>
        <row r="1709">
          <cell r="B1709">
            <v>0</v>
          </cell>
          <cell r="C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</row>
        <row r="1710"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</row>
        <row r="1711"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</row>
        <row r="1712"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</row>
        <row r="1713"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B1714" t="str">
            <v>2.8</v>
          </cell>
          <cell r="C1714" t="str">
            <v>DESCRIPCION:</v>
          </cell>
          <cell r="D1714" t="str">
            <v>CAJA TIPO SUMIDERO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</row>
        <row r="1715">
          <cell r="B1715" t="str">
            <v>PAR-07</v>
          </cell>
          <cell r="C1715">
            <v>0</v>
          </cell>
          <cell r="D1715" t="str">
            <v>UNIDAD</v>
          </cell>
          <cell r="E1715" t="str">
            <v>ML</v>
          </cell>
          <cell r="F1715" t="str">
            <v>CANTIDAD</v>
          </cell>
          <cell r="G1715">
            <v>30</v>
          </cell>
          <cell r="H1715" t="str">
            <v>V. UNITARIO:</v>
          </cell>
          <cell r="I1715">
            <v>529721</v>
          </cell>
        </row>
        <row r="1716"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 t="str">
            <v>Tarifa/Hora</v>
          </cell>
          <cell r="G1717" t="str">
            <v>Rendimiento</v>
          </cell>
          <cell r="H1717" t="str">
            <v>Valor-Unit.</v>
          </cell>
          <cell r="I1717">
            <v>0</v>
          </cell>
        </row>
        <row r="1718">
          <cell r="B1718" t="str">
            <v>E011</v>
          </cell>
          <cell r="C1718" t="str">
            <v>FORMALETA OBRAS</v>
          </cell>
          <cell r="D1718">
            <v>0</v>
          </cell>
          <cell r="E1718">
            <v>0</v>
          </cell>
          <cell r="F1718">
            <v>65000</v>
          </cell>
          <cell r="G1718">
            <v>1</v>
          </cell>
          <cell r="H1718">
            <v>65000</v>
          </cell>
          <cell r="I1718">
            <v>0</v>
          </cell>
        </row>
        <row r="1719">
          <cell r="B1719" t="str">
            <v>E027</v>
          </cell>
          <cell r="C1719" t="str">
            <v>VIBRADOR DE AGUJA</v>
          </cell>
          <cell r="D1719">
            <v>0</v>
          </cell>
          <cell r="E1719">
            <v>0</v>
          </cell>
          <cell r="F1719">
            <v>4375</v>
          </cell>
          <cell r="G1719">
            <v>1</v>
          </cell>
          <cell r="H1719">
            <v>4375</v>
          </cell>
          <cell r="I1719">
            <v>0</v>
          </cell>
        </row>
        <row r="1720">
          <cell r="B1720" t="str">
            <v>E003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 t="str">
            <v>Sub-Total</v>
          </cell>
          <cell r="G1721" t="str">
            <v>2.8</v>
          </cell>
          <cell r="H1721" t="str">
            <v>EQUI-2.8</v>
          </cell>
          <cell r="I1721">
            <v>69375</v>
          </cell>
        </row>
        <row r="1722"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</row>
        <row r="1723">
          <cell r="B1723">
            <v>0</v>
          </cell>
          <cell r="C1723">
            <v>0</v>
          </cell>
          <cell r="D1723">
            <v>0</v>
          </cell>
          <cell r="E1723" t="str">
            <v>UNIDAD</v>
          </cell>
          <cell r="F1723" t="str">
            <v>V.UNIT</v>
          </cell>
          <cell r="G1723" t="str">
            <v>CANT</v>
          </cell>
          <cell r="H1723" t="str">
            <v>V.TOTAL</v>
          </cell>
          <cell r="I1723">
            <v>0</v>
          </cell>
        </row>
        <row r="1724">
          <cell r="B1724" t="str">
            <v>M064</v>
          </cell>
          <cell r="C1724" t="str">
            <v>CONCRETO 3000 PSI</v>
          </cell>
          <cell r="D1724">
            <v>0</v>
          </cell>
          <cell r="E1724" t="str">
            <v>M3</v>
          </cell>
          <cell r="F1724">
            <v>410000</v>
          </cell>
          <cell r="G1724">
            <v>0.4</v>
          </cell>
          <cell r="H1724">
            <v>164000</v>
          </cell>
          <cell r="I1724">
            <v>0</v>
          </cell>
        </row>
        <row r="1725">
          <cell r="B1725" t="str">
            <v>M041</v>
          </cell>
          <cell r="C1725" t="str">
            <v>REJILLA TIPO SUMIDERO</v>
          </cell>
          <cell r="D1725">
            <v>0</v>
          </cell>
          <cell r="E1725" t="str">
            <v>Unidad</v>
          </cell>
          <cell r="F1725">
            <v>190000</v>
          </cell>
          <cell r="G1725">
            <v>1</v>
          </cell>
          <cell r="H1725">
            <v>190000</v>
          </cell>
          <cell r="I1725">
            <v>0</v>
          </cell>
        </row>
        <row r="1726"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</row>
        <row r="1728"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 t="str">
            <v>Sub-Total</v>
          </cell>
          <cell r="G1728" t="str">
            <v>2.8</v>
          </cell>
          <cell r="H1728" t="str">
            <v>MAT-2.8</v>
          </cell>
          <cell r="I1728">
            <v>354000</v>
          </cell>
        </row>
        <row r="1729"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</row>
        <row r="1730">
          <cell r="B1730">
            <v>0</v>
          </cell>
          <cell r="C1730">
            <v>0</v>
          </cell>
          <cell r="D1730" t="str">
            <v xml:space="preserve">CAN </v>
          </cell>
          <cell r="E1730" t="str">
            <v>DISTANCIA</v>
          </cell>
          <cell r="F1730" t="str">
            <v>M3-Km / UN-KM</v>
          </cell>
          <cell r="G1730" t="str">
            <v>TARIFA</v>
          </cell>
          <cell r="H1730" t="str">
            <v>Valor-Unit.</v>
          </cell>
          <cell r="I1730">
            <v>0</v>
          </cell>
        </row>
        <row r="1731">
          <cell r="B1731" t="str">
            <v>T001</v>
          </cell>
          <cell r="C1731" t="str">
            <v>TRANS INT CONCRETO M3</v>
          </cell>
          <cell r="D1731">
            <v>0.4</v>
          </cell>
          <cell r="E1731">
            <v>1</v>
          </cell>
          <cell r="F1731">
            <v>0.4</v>
          </cell>
          <cell r="G1731">
            <v>4000</v>
          </cell>
          <cell r="H1731">
            <v>1600</v>
          </cell>
          <cell r="I1731">
            <v>0</v>
          </cell>
        </row>
        <row r="1732"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 t="str">
            <v>Sub-Total</v>
          </cell>
          <cell r="G1733" t="str">
            <v>2.8</v>
          </cell>
          <cell r="H1733" t="str">
            <v>TRAN-2.8</v>
          </cell>
          <cell r="I1733">
            <v>1600</v>
          </cell>
        </row>
        <row r="1734"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B1735">
            <v>0</v>
          </cell>
          <cell r="C1735">
            <v>0</v>
          </cell>
          <cell r="D1735" t="str">
            <v>JORNAL-HORA</v>
          </cell>
          <cell r="E1735" t="str">
            <v>PRES</v>
          </cell>
          <cell r="F1735" t="str">
            <v>JORNAL TOTAL</v>
          </cell>
          <cell r="G1735" t="str">
            <v>RENDIEMIENTO</v>
          </cell>
          <cell r="H1735" t="str">
            <v>VALOR-UNIT</v>
          </cell>
          <cell r="I1735">
            <v>0</v>
          </cell>
        </row>
        <row r="1736">
          <cell r="B1736" t="str">
            <v>MO004</v>
          </cell>
          <cell r="C1736" t="str">
            <v>OFICIAL</v>
          </cell>
          <cell r="D1736">
            <v>10270.602514022436</v>
          </cell>
          <cell r="E1736">
            <v>0.56000000000000005</v>
          </cell>
          <cell r="F1736">
            <v>16022.139921875001</v>
          </cell>
          <cell r="G1736">
            <v>3</v>
          </cell>
          <cell r="H1736">
            <v>48066.419765625003</v>
          </cell>
          <cell r="I1736">
            <v>0</v>
          </cell>
        </row>
        <row r="1737">
          <cell r="B1737" t="str">
            <v>MO005</v>
          </cell>
          <cell r="C1737" t="str">
            <v>AYUDANTE ENTENDIDO</v>
          </cell>
          <cell r="D1737">
            <v>6411.5899439102559</v>
          </cell>
          <cell r="E1737">
            <v>0.56000000000000005</v>
          </cell>
          <cell r="F1737">
            <v>10002.0803125</v>
          </cell>
          <cell r="G1737">
            <v>3</v>
          </cell>
          <cell r="H1737">
            <v>30006.240937499999</v>
          </cell>
          <cell r="I1737">
            <v>0</v>
          </cell>
        </row>
        <row r="1738">
          <cell r="B1738" t="str">
            <v>MO006</v>
          </cell>
          <cell r="C1738" t="str">
            <v>AYUDANTE</v>
          </cell>
          <cell r="D1738">
            <v>4633.604176682692</v>
          </cell>
          <cell r="E1738">
            <v>0.56000000000000005</v>
          </cell>
          <cell r="F1738">
            <v>7228.4225156249995</v>
          </cell>
          <cell r="G1738">
            <v>3</v>
          </cell>
          <cell r="H1738">
            <v>21685.267546874999</v>
          </cell>
          <cell r="I1738">
            <v>0</v>
          </cell>
        </row>
        <row r="1739"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</row>
        <row r="1740"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</row>
        <row r="1742"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 t="str">
            <v>Sub-Total</v>
          </cell>
          <cell r="G1742" t="str">
            <v>2.8</v>
          </cell>
          <cell r="H1742" t="str">
            <v>MDEO-2.8</v>
          </cell>
          <cell r="I1742">
            <v>99757.928249999997</v>
          </cell>
        </row>
        <row r="1743"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4987.8964125000002</v>
          </cell>
        </row>
        <row r="1744"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 t="str">
            <v>Total Costo Directo</v>
          </cell>
          <cell r="G1744">
            <v>0</v>
          </cell>
          <cell r="H1744">
            <v>0</v>
          </cell>
          <cell r="I1744">
            <v>529721</v>
          </cell>
        </row>
        <row r="1745">
          <cell r="B1745">
            <v>0</v>
          </cell>
          <cell r="C1745">
            <v>0</v>
          </cell>
          <cell r="D1745">
            <v>0</v>
          </cell>
          <cell r="E1745" t="str">
            <v>PORCENTAJE</v>
          </cell>
          <cell r="F1745">
            <v>0</v>
          </cell>
          <cell r="G1745" t="str">
            <v>V. COSTO INDERECTO</v>
          </cell>
          <cell r="H1745">
            <v>0</v>
          </cell>
          <cell r="I1745">
            <v>0</v>
          </cell>
        </row>
        <row r="1746">
          <cell r="B1746">
            <v>0</v>
          </cell>
          <cell r="C1746">
            <v>0</v>
          </cell>
          <cell r="D1746">
            <v>0</v>
          </cell>
          <cell r="E1746">
            <v>0.02</v>
          </cell>
          <cell r="F1746">
            <v>0</v>
          </cell>
          <cell r="G1746">
            <v>10594.42</v>
          </cell>
          <cell r="H1746">
            <v>0</v>
          </cell>
          <cell r="I1746">
            <v>0</v>
          </cell>
        </row>
        <row r="1747">
          <cell r="B1747">
            <v>0</v>
          </cell>
          <cell r="C1747">
            <v>0</v>
          </cell>
          <cell r="D1747">
            <v>0</v>
          </cell>
          <cell r="E1747">
            <v>0.23</v>
          </cell>
          <cell r="F1747">
            <v>0</v>
          </cell>
          <cell r="G1747">
            <v>121835.83</v>
          </cell>
          <cell r="H1747">
            <v>0</v>
          </cell>
          <cell r="I1747">
            <v>0</v>
          </cell>
        </row>
        <row r="1748">
          <cell r="B1748">
            <v>0</v>
          </cell>
          <cell r="C1748">
            <v>0</v>
          </cell>
          <cell r="D1748">
            <v>0</v>
          </cell>
          <cell r="E1748">
            <v>0.05</v>
          </cell>
          <cell r="F1748">
            <v>0</v>
          </cell>
          <cell r="G1748">
            <v>26486.050000000003</v>
          </cell>
          <cell r="H1748">
            <v>0</v>
          </cell>
          <cell r="I1748">
            <v>0</v>
          </cell>
        </row>
        <row r="1749">
          <cell r="B1749">
            <v>0</v>
          </cell>
          <cell r="C1749">
            <v>0</v>
          </cell>
          <cell r="D1749">
            <v>0</v>
          </cell>
          <cell r="E1749">
            <v>0.02</v>
          </cell>
          <cell r="F1749">
            <v>0</v>
          </cell>
          <cell r="G1749">
            <v>10594.42</v>
          </cell>
          <cell r="H1749">
            <v>0</v>
          </cell>
          <cell r="I1749">
            <v>0</v>
          </cell>
        </row>
        <row r="1750"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169510.72</v>
          </cell>
        </row>
        <row r="1751"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699231.72</v>
          </cell>
        </row>
        <row r="1752"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 t="str">
            <v>REVISA</v>
          </cell>
          <cell r="G1753">
            <v>0</v>
          </cell>
          <cell r="H1753">
            <v>0</v>
          </cell>
          <cell r="I1753">
            <v>0</v>
          </cell>
        </row>
        <row r="1754"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 t="str">
            <v>FIRMA:</v>
          </cell>
          <cell r="G1754">
            <v>0</v>
          </cell>
          <cell r="H1754">
            <v>0</v>
          </cell>
          <cell r="I1754">
            <v>0</v>
          </cell>
        </row>
        <row r="1755">
          <cell r="B1755" t="str">
            <v>JHON EMIR GAMBOA MENA</v>
          </cell>
          <cell r="C1755">
            <v>0</v>
          </cell>
          <cell r="F1755" t="str">
            <v>NOMBRE</v>
          </cell>
          <cell r="G1755">
            <v>0</v>
          </cell>
          <cell r="H1755">
            <v>0</v>
          </cell>
          <cell r="I1755">
            <v>0</v>
          </cell>
        </row>
        <row r="1756">
          <cell r="B1756" t="str">
            <v>05202-316814 ANT</v>
          </cell>
          <cell r="C1756">
            <v>0</v>
          </cell>
          <cell r="F1756" t="str">
            <v>MAT:</v>
          </cell>
          <cell r="G1756">
            <v>0</v>
          </cell>
          <cell r="H1756">
            <v>0</v>
          </cell>
          <cell r="I1756">
            <v>0</v>
          </cell>
        </row>
        <row r="1757">
          <cell r="B1757">
            <v>0</v>
          </cell>
          <cell r="C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</row>
        <row r="1759"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</row>
        <row r="1760"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</row>
        <row r="1761"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</row>
        <row r="1762">
          <cell r="B1762" t="str">
            <v>5.1</v>
          </cell>
          <cell r="C1762" t="str">
            <v>DESCRIPCION:</v>
          </cell>
          <cell r="D1762" t="e">
            <v>#N/A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</row>
        <row r="1763">
          <cell r="B1763" t="e">
            <v>#N/A</v>
          </cell>
          <cell r="C1763">
            <v>0</v>
          </cell>
          <cell r="D1763" t="str">
            <v>UNIDAD</v>
          </cell>
          <cell r="E1763" t="str">
            <v>UNIDAD</v>
          </cell>
          <cell r="F1763" t="str">
            <v>CANTIDAD</v>
          </cell>
          <cell r="G1763" t="e">
            <v>#N/A</v>
          </cell>
          <cell r="H1763" t="str">
            <v>V. UNITARIO:</v>
          </cell>
          <cell r="I1763">
            <v>98983</v>
          </cell>
        </row>
        <row r="1764"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</row>
        <row r="1765"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 t="str">
            <v>Tarifa/Hora</v>
          </cell>
          <cell r="G1765" t="str">
            <v>Rendimiento</v>
          </cell>
          <cell r="H1765" t="str">
            <v>Valor-Unit.</v>
          </cell>
          <cell r="I1765">
            <v>0</v>
          </cell>
        </row>
        <row r="1766"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</row>
        <row r="1767"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</row>
        <row r="1768"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</row>
        <row r="1769"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</row>
        <row r="1770"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 t="str">
            <v>Sub-Total</v>
          </cell>
          <cell r="G1770" t="str">
            <v>5.1</v>
          </cell>
          <cell r="H1770" t="str">
            <v>EQUI-5.1</v>
          </cell>
          <cell r="I1770">
            <v>0</v>
          </cell>
        </row>
        <row r="1771"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</row>
        <row r="1772">
          <cell r="B1772">
            <v>0</v>
          </cell>
          <cell r="C1772">
            <v>0</v>
          </cell>
          <cell r="D1772">
            <v>0</v>
          </cell>
          <cell r="E1772" t="str">
            <v>UNIDAD</v>
          </cell>
          <cell r="F1772" t="str">
            <v>V.UNIT</v>
          </cell>
          <cell r="G1772" t="str">
            <v>CANT</v>
          </cell>
          <cell r="H1772" t="str">
            <v>V.TOTAL</v>
          </cell>
          <cell r="I1772">
            <v>0</v>
          </cell>
        </row>
        <row r="1773">
          <cell r="B1773" t="str">
            <v>M045</v>
          </cell>
          <cell r="C1773" t="str">
            <v>SILVICULTURA ESPECIE FORESTAL</v>
          </cell>
          <cell r="D1773">
            <v>0</v>
          </cell>
          <cell r="E1773" t="str">
            <v>Unidad</v>
          </cell>
          <cell r="F1773">
            <v>45000</v>
          </cell>
          <cell r="G1773">
            <v>1</v>
          </cell>
          <cell r="H1773">
            <v>45000</v>
          </cell>
          <cell r="I1773">
            <v>0</v>
          </cell>
        </row>
        <row r="1774">
          <cell r="B1774" t="str">
            <v>M024</v>
          </cell>
          <cell r="C1774" t="str">
            <v>FERTILIZANTE Foliar</v>
          </cell>
          <cell r="D1774">
            <v>0</v>
          </cell>
          <cell r="E1774" t="str">
            <v>LITRO</v>
          </cell>
          <cell r="F1774">
            <v>30000</v>
          </cell>
          <cell r="G1774">
            <v>0.2</v>
          </cell>
          <cell r="H1774">
            <v>6000</v>
          </cell>
          <cell r="I1774">
            <v>0</v>
          </cell>
        </row>
        <row r="1775">
          <cell r="B1775" t="str">
            <v>M025</v>
          </cell>
          <cell r="C1775" t="str">
            <v xml:space="preserve">FERTILIZANTE FÓSFORO </v>
          </cell>
          <cell r="D1775">
            <v>0</v>
          </cell>
          <cell r="E1775" t="str">
            <v>BULTO</v>
          </cell>
          <cell r="F1775">
            <v>110000</v>
          </cell>
          <cell r="G1775">
            <v>0.2</v>
          </cell>
          <cell r="H1775">
            <v>22000</v>
          </cell>
          <cell r="I1775">
            <v>0</v>
          </cell>
        </row>
        <row r="1776">
          <cell r="B1776" t="str">
            <v>M026</v>
          </cell>
          <cell r="C1776" t="str">
            <v>FERTILIZANTE Urea</v>
          </cell>
          <cell r="D1776">
            <v>0</v>
          </cell>
          <cell r="E1776" t="str">
            <v>BULTO</v>
          </cell>
          <cell r="F1776">
            <v>95000</v>
          </cell>
          <cell r="G1776">
            <v>0.2</v>
          </cell>
          <cell r="H1776">
            <v>19000</v>
          </cell>
          <cell r="I1776">
            <v>0</v>
          </cell>
        </row>
        <row r="1777"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 t="str">
            <v>Sub-Total</v>
          </cell>
          <cell r="G1777" t="str">
            <v>5.1</v>
          </cell>
          <cell r="H1777" t="str">
            <v>MAT-5.1</v>
          </cell>
          <cell r="I1777">
            <v>92000</v>
          </cell>
        </row>
        <row r="1778"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</row>
        <row r="1779">
          <cell r="B1779">
            <v>0</v>
          </cell>
          <cell r="C1779">
            <v>0</v>
          </cell>
          <cell r="D1779" t="str">
            <v xml:space="preserve">CAN </v>
          </cell>
          <cell r="E1779" t="str">
            <v>DISTANCIA</v>
          </cell>
          <cell r="F1779" t="str">
            <v>M3-Km / UN-KM</v>
          </cell>
          <cell r="G1779" t="str">
            <v>TARIFA</v>
          </cell>
          <cell r="H1779" t="str">
            <v>Valor-Unit.</v>
          </cell>
          <cell r="I1779">
            <v>0</v>
          </cell>
        </row>
        <row r="1780">
          <cell r="B1780" t="str">
            <v>T001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</row>
        <row r="1781"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 t="str">
            <v>Sub-Total</v>
          </cell>
          <cell r="G1781" t="str">
            <v>5.1</v>
          </cell>
          <cell r="H1781" t="str">
            <v>TRAN-5.1</v>
          </cell>
          <cell r="I1781">
            <v>0</v>
          </cell>
        </row>
        <row r="1782"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</row>
        <row r="1783">
          <cell r="B1783">
            <v>0</v>
          </cell>
          <cell r="C1783">
            <v>0</v>
          </cell>
          <cell r="D1783" t="str">
            <v>JORNAL-HORA</v>
          </cell>
          <cell r="E1783" t="str">
            <v>PRES</v>
          </cell>
          <cell r="F1783" t="str">
            <v>JORNAL TOTAL</v>
          </cell>
          <cell r="G1783" t="str">
            <v>RENDIEMIENTO</v>
          </cell>
          <cell r="H1783" t="str">
            <v>VALOR-UNIT</v>
          </cell>
          <cell r="I1783">
            <v>0</v>
          </cell>
        </row>
        <row r="1784">
          <cell r="B1784" t="str">
            <v>MO004</v>
          </cell>
          <cell r="C1784" t="str">
            <v>OFICIAL</v>
          </cell>
          <cell r="D1784">
            <v>10270.602514022436</v>
          </cell>
          <cell r="E1784">
            <v>0.56000000000000005</v>
          </cell>
          <cell r="F1784">
            <v>16022.139921875001</v>
          </cell>
          <cell r="G1784">
            <v>0.2</v>
          </cell>
          <cell r="H1784">
            <v>3204.4279843750005</v>
          </cell>
          <cell r="I1784">
            <v>0</v>
          </cell>
        </row>
        <row r="1785">
          <cell r="B1785" t="str">
            <v>MO005</v>
          </cell>
          <cell r="C1785" t="str">
            <v>AYUDANTE ENTENDIDO</v>
          </cell>
          <cell r="D1785">
            <v>6411.5899439102559</v>
          </cell>
          <cell r="E1785">
            <v>0.56000000000000005</v>
          </cell>
          <cell r="F1785">
            <v>10002.0803125</v>
          </cell>
          <cell r="G1785">
            <v>0.2</v>
          </cell>
          <cell r="H1785">
            <v>2000.4160625000002</v>
          </cell>
          <cell r="I1785">
            <v>0</v>
          </cell>
        </row>
        <row r="1786">
          <cell r="B1786" t="str">
            <v>MO006</v>
          </cell>
          <cell r="C1786" t="str">
            <v>AYUDANTE</v>
          </cell>
          <cell r="D1786">
            <v>4633.604176682692</v>
          </cell>
          <cell r="E1786">
            <v>0.56000000000000005</v>
          </cell>
          <cell r="F1786">
            <v>7228.4225156249995</v>
          </cell>
          <cell r="G1786">
            <v>0.2</v>
          </cell>
          <cell r="H1786">
            <v>1445.684503125</v>
          </cell>
          <cell r="I1786">
            <v>0</v>
          </cell>
        </row>
        <row r="1787"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</row>
        <row r="1788"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</row>
        <row r="1789"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 t="str">
            <v>Sub-Total</v>
          </cell>
          <cell r="G1790" t="str">
            <v>5.1</v>
          </cell>
          <cell r="H1790" t="str">
            <v>MDEO-5.1</v>
          </cell>
          <cell r="I1790">
            <v>6650.5285500000009</v>
          </cell>
        </row>
        <row r="1791"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332.52642750000007</v>
          </cell>
        </row>
        <row r="1792"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 t="str">
            <v>Total Costo Directo</v>
          </cell>
          <cell r="G1792">
            <v>0</v>
          </cell>
          <cell r="H1792">
            <v>0</v>
          </cell>
          <cell r="I1792">
            <v>98983</v>
          </cell>
        </row>
        <row r="1793">
          <cell r="B1793">
            <v>0</v>
          </cell>
          <cell r="C1793">
            <v>0</v>
          </cell>
          <cell r="D1793">
            <v>0</v>
          </cell>
          <cell r="E1793" t="str">
            <v>PORCENTAJE</v>
          </cell>
          <cell r="F1793">
            <v>0</v>
          </cell>
          <cell r="G1793" t="str">
            <v>V. COSTO INDERECTO</v>
          </cell>
          <cell r="H1793">
            <v>0</v>
          </cell>
          <cell r="I1793">
            <v>0</v>
          </cell>
        </row>
        <row r="1794">
          <cell r="B1794">
            <v>0</v>
          </cell>
          <cell r="C1794">
            <v>0</v>
          </cell>
          <cell r="D1794">
            <v>0</v>
          </cell>
          <cell r="E1794">
            <v>0.02</v>
          </cell>
          <cell r="F1794">
            <v>0</v>
          </cell>
          <cell r="G1794">
            <v>1979.66</v>
          </cell>
          <cell r="H1794">
            <v>0</v>
          </cell>
          <cell r="I1794">
            <v>0</v>
          </cell>
        </row>
        <row r="1795">
          <cell r="B1795">
            <v>0</v>
          </cell>
          <cell r="C1795">
            <v>0</v>
          </cell>
          <cell r="D1795">
            <v>0</v>
          </cell>
          <cell r="E1795">
            <v>0.23</v>
          </cell>
          <cell r="F1795">
            <v>0</v>
          </cell>
          <cell r="G1795">
            <v>22766.09</v>
          </cell>
          <cell r="H1795">
            <v>0</v>
          </cell>
          <cell r="I1795">
            <v>0</v>
          </cell>
        </row>
        <row r="1796">
          <cell r="B1796">
            <v>0</v>
          </cell>
          <cell r="C1796">
            <v>0</v>
          </cell>
          <cell r="D1796">
            <v>0</v>
          </cell>
          <cell r="E1796">
            <v>0.05</v>
          </cell>
          <cell r="F1796">
            <v>0</v>
          </cell>
          <cell r="G1796">
            <v>4949.1500000000005</v>
          </cell>
          <cell r="H1796">
            <v>0</v>
          </cell>
          <cell r="I1796">
            <v>0</v>
          </cell>
        </row>
        <row r="1797">
          <cell r="B1797">
            <v>0</v>
          </cell>
          <cell r="C1797">
            <v>0</v>
          </cell>
          <cell r="D1797">
            <v>0</v>
          </cell>
          <cell r="E1797">
            <v>0.02</v>
          </cell>
          <cell r="F1797">
            <v>0</v>
          </cell>
          <cell r="G1797">
            <v>1979.66</v>
          </cell>
          <cell r="H1797">
            <v>0</v>
          </cell>
          <cell r="I1797">
            <v>0</v>
          </cell>
        </row>
        <row r="1798"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31674.560000000001</v>
          </cell>
        </row>
        <row r="1799"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130657.56</v>
          </cell>
        </row>
        <row r="1800"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</row>
        <row r="1801"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 t="str">
            <v>REVISA</v>
          </cell>
          <cell r="G1801">
            <v>0</v>
          </cell>
          <cell r="H1801">
            <v>0</v>
          </cell>
          <cell r="I1801">
            <v>0</v>
          </cell>
        </row>
        <row r="1802"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 t="str">
            <v>FIRMA:</v>
          </cell>
          <cell r="G1802">
            <v>0</v>
          </cell>
          <cell r="H1802">
            <v>0</v>
          </cell>
          <cell r="I1802">
            <v>0</v>
          </cell>
        </row>
        <row r="1803">
          <cell r="B1803" t="str">
            <v>JHON EMIR GAMBOA MENA</v>
          </cell>
          <cell r="C1803">
            <v>0</v>
          </cell>
          <cell r="F1803" t="str">
            <v>NOMBRE</v>
          </cell>
          <cell r="G1803">
            <v>0</v>
          </cell>
          <cell r="H1803">
            <v>0</v>
          </cell>
          <cell r="I1803">
            <v>0</v>
          </cell>
        </row>
        <row r="1804">
          <cell r="B1804" t="str">
            <v>05202-316814 ANT</v>
          </cell>
          <cell r="C1804">
            <v>0</v>
          </cell>
          <cell r="F1804" t="str">
            <v>MAT:</v>
          </cell>
          <cell r="G1804">
            <v>0</v>
          </cell>
          <cell r="H1804">
            <v>0</v>
          </cell>
          <cell r="I1804">
            <v>0</v>
          </cell>
        </row>
        <row r="1805">
          <cell r="B1805">
            <v>0</v>
          </cell>
          <cell r="C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</row>
        <row r="1806"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</row>
        <row r="1807"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</row>
        <row r="1808"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</row>
        <row r="1809"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</row>
        <row r="1810">
          <cell r="B1810" t="str">
            <v>5.2</v>
          </cell>
          <cell r="C1810" t="str">
            <v>DESCRIPCION:</v>
          </cell>
          <cell r="D1810" t="e">
            <v>#N/A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</row>
        <row r="1811">
          <cell r="B1811" t="e">
            <v>#N/A</v>
          </cell>
          <cell r="C1811">
            <v>0</v>
          </cell>
          <cell r="D1811" t="str">
            <v>UNIDAD</v>
          </cell>
          <cell r="E1811" t="str">
            <v>UNIDAD</v>
          </cell>
          <cell r="F1811" t="str">
            <v>CANTIDAD</v>
          </cell>
          <cell r="G1811" t="e">
            <v>#N/A</v>
          </cell>
          <cell r="H1811" t="str">
            <v>V. UNITARIO:</v>
          </cell>
          <cell r="I1811">
            <v>394580</v>
          </cell>
        </row>
        <row r="1812"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</row>
        <row r="1813"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 t="str">
            <v>Tarifa/Hora</v>
          </cell>
          <cell r="G1813" t="str">
            <v>Rendimiento</v>
          </cell>
          <cell r="H1813" t="str">
            <v>Valor-Unit.</v>
          </cell>
          <cell r="I1813">
            <v>0</v>
          </cell>
        </row>
        <row r="1814">
          <cell r="B1814" t="str">
            <v>E018</v>
          </cell>
          <cell r="C1814" t="str">
            <v>LISTON Y VARILLA AJUS. FORMALETA METALICA</v>
          </cell>
          <cell r="D1814">
            <v>0</v>
          </cell>
          <cell r="E1814">
            <v>0</v>
          </cell>
          <cell r="F1814">
            <v>1000</v>
          </cell>
          <cell r="G1814">
            <v>0.5</v>
          </cell>
          <cell r="H1814">
            <v>500</v>
          </cell>
          <cell r="I1814">
            <v>0</v>
          </cell>
        </row>
        <row r="1815">
          <cell r="B1815" t="str">
            <v>E013</v>
          </cell>
          <cell r="C1815" t="str">
            <v>FORMALETA MADERA (TABLA 3M 0,20M)</v>
          </cell>
          <cell r="D1815">
            <v>0</v>
          </cell>
          <cell r="E1815">
            <v>0</v>
          </cell>
          <cell r="F1815">
            <v>7500</v>
          </cell>
          <cell r="G1815">
            <v>0.66</v>
          </cell>
          <cell r="H1815">
            <v>4950</v>
          </cell>
          <cell r="I1815">
            <v>0</v>
          </cell>
        </row>
        <row r="1816">
          <cell r="B1816" t="str">
            <v>E027</v>
          </cell>
          <cell r="C1816" t="str">
            <v>VIBRADOR DE AGUJA</v>
          </cell>
          <cell r="D1816">
            <v>0</v>
          </cell>
          <cell r="E1816">
            <v>0</v>
          </cell>
          <cell r="F1816">
            <v>4375</v>
          </cell>
          <cell r="G1816">
            <v>2</v>
          </cell>
          <cell r="H1816">
            <v>8750</v>
          </cell>
          <cell r="I1816">
            <v>0</v>
          </cell>
        </row>
        <row r="1817">
          <cell r="B1817" t="str">
            <v>E018</v>
          </cell>
          <cell r="C1817" t="str">
            <v>LISTON Y VARILLA AJUS. FORMALETA METALICA</v>
          </cell>
          <cell r="D1817">
            <v>0</v>
          </cell>
          <cell r="E1817">
            <v>0</v>
          </cell>
          <cell r="F1817">
            <v>1000</v>
          </cell>
          <cell r="G1817">
            <v>0.5</v>
          </cell>
          <cell r="H1817">
            <v>500</v>
          </cell>
          <cell r="I1817">
            <v>0</v>
          </cell>
        </row>
        <row r="1818">
          <cell r="B1818" t="str">
            <v>E003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</row>
        <row r="1819"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 t="str">
            <v>Sub-Total</v>
          </cell>
          <cell r="G1819" t="str">
            <v>5.2</v>
          </cell>
          <cell r="H1819" t="str">
            <v>EQUI-5.2</v>
          </cell>
          <cell r="I1819">
            <v>14700</v>
          </cell>
        </row>
        <row r="1820"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</row>
        <row r="1821">
          <cell r="B1821">
            <v>0</v>
          </cell>
          <cell r="C1821">
            <v>0</v>
          </cell>
          <cell r="D1821">
            <v>0</v>
          </cell>
          <cell r="E1821" t="str">
            <v>UNIDAD</v>
          </cell>
          <cell r="F1821" t="str">
            <v>V.UNIT</v>
          </cell>
          <cell r="G1821" t="str">
            <v>CANT</v>
          </cell>
          <cell r="H1821" t="str">
            <v>V.TOTAL</v>
          </cell>
          <cell r="I1821">
            <v>0</v>
          </cell>
        </row>
        <row r="1822">
          <cell r="B1822" t="str">
            <v>M016</v>
          </cell>
          <cell r="C1822" t="str">
            <v>CONCRETO 2500 PSI</v>
          </cell>
          <cell r="D1822">
            <v>0</v>
          </cell>
          <cell r="E1822" t="str">
            <v>M3</v>
          </cell>
          <cell r="F1822">
            <v>390000</v>
          </cell>
          <cell r="G1822">
            <v>0.6</v>
          </cell>
          <cell r="H1822">
            <v>234000</v>
          </cell>
          <cell r="I1822">
            <v>0</v>
          </cell>
        </row>
        <row r="1823">
          <cell r="B1823" t="str">
            <v>M005</v>
          </cell>
          <cell r="C1823" t="str">
            <v>ALAMBRE QUEMADO</v>
          </cell>
          <cell r="D1823">
            <v>0</v>
          </cell>
          <cell r="E1823" t="str">
            <v>KG</v>
          </cell>
          <cell r="F1823">
            <v>3550</v>
          </cell>
          <cell r="G1823">
            <v>0.6</v>
          </cell>
          <cell r="H1823">
            <v>2130</v>
          </cell>
          <cell r="I1823">
            <v>0</v>
          </cell>
        </row>
        <row r="1824">
          <cell r="B1824" t="str">
            <v>M003</v>
          </cell>
          <cell r="C1824" t="str">
            <v>ACERO 40000 PSI</v>
          </cell>
          <cell r="D1824">
            <v>0</v>
          </cell>
          <cell r="E1824" t="str">
            <v>KG</v>
          </cell>
          <cell r="F1824">
            <v>2744</v>
          </cell>
          <cell r="G1824">
            <v>15</v>
          </cell>
          <cell r="H1824">
            <v>41160</v>
          </cell>
          <cell r="I1824">
            <v>0</v>
          </cell>
        </row>
        <row r="1825"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</row>
        <row r="1826"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 t="str">
            <v>Sub-Total</v>
          </cell>
          <cell r="G1826" t="str">
            <v>5.2</v>
          </cell>
          <cell r="H1826" t="str">
            <v>MAT-5.2</v>
          </cell>
          <cell r="I1826">
            <v>277290</v>
          </cell>
        </row>
        <row r="1827"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</row>
        <row r="1828">
          <cell r="B1828">
            <v>0</v>
          </cell>
          <cell r="C1828">
            <v>0</v>
          </cell>
          <cell r="D1828" t="str">
            <v xml:space="preserve">CAN </v>
          </cell>
          <cell r="E1828" t="str">
            <v>DISTANCIA</v>
          </cell>
          <cell r="F1828" t="str">
            <v>M3-Km / UN-KM</v>
          </cell>
          <cell r="G1828" t="str">
            <v>TARIFA</v>
          </cell>
          <cell r="H1828" t="str">
            <v>Valor-Unit.</v>
          </cell>
          <cell r="I1828">
            <v>0</v>
          </cell>
        </row>
        <row r="1829">
          <cell r="B1829" t="str">
            <v>T001</v>
          </cell>
          <cell r="C1829" t="str">
            <v>TRANS INT CONCRETO M3</v>
          </cell>
          <cell r="D1829">
            <v>0.6</v>
          </cell>
          <cell r="E1829">
            <v>1</v>
          </cell>
          <cell r="F1829">
            <v>0.6</v>
          </cell>
          <cell r="G1829">
            <v>4000</v>
          </cell>
          <cell r="H1829">
            <v>2400</v>
          </cell>
          <cell r="I1829">
            <v>0</v>
          </cell>
        </row>
        <row r="1830"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 t="str">
            <v>Sub-Total</v>
          </cell>
          <cell r="G1830" t="str">
            <v>5.2</v>
          </cell>
          <cell r="H1830" t="str">
            <v>TRAN-5.2</v>
          </cell>
          <cell r="I1830">
            <v>2400</v>
          </cell>
        </row>
        <row r="1831"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B1832">
            <v>0</v>
          </cell>
          <cell r="C1832">
            <v>0</v>
          </cell>
          <cell r="D1832" t="str">
            <v>JORNAL-HORA</v>
          </cell>
          <cell r="E1832" t="str">
            <v>PRES</v>
          </cell>
          <cell r="F1832" t="str">
            <v>JORNAL TOTAL</v>
          </cell>
          <cell r="G1832" t="str">
            <v>RENDIEMIENTO</v>
          </cell>
          <cell r="H1832" t="str">
            <v>VALOR-UNIT</v>
          </cell>
          <cell r="I1832">
            <v>0</v>
          </cell>
        </row>
        <row r="1833">
          <cell r="B1833" t="str">
            <v>MO004</v>
          </cell>
          <cell r="C1833" t="str">
            <v>OFICIAL</v>
          </cell>
          <cell r="D1833">
            <v>10270.602514022436</v>
          </cell>
          <cell r="E1833">
            <v>0.56000000000000005</v>
          </cell>
          <cell r="F1833">
            <v>16022.139921875001</v>
          </cell>
          <cell r="G1833">
            <v>2</v>
          </cell>
          <cell r="H1833">
            <v>32044.279843750002</v>
          </cell>
          <cell r="I1833">
            <v>0</v>
          </cell>
        </row>
        <row r="1834">
          <cell r="B1834" t="str">
            <v>MO005</v>
          </cell>
          <cell r="C1834" t="str">
            <v>AYUDANTE ENTENDIDO</v>
          </cell>
          <cell r="D1834">
            <v>6411.5899439102559</v>
          </cell>
          <cell r="E1834">
            <v>0.56000000000000005</v>
          </cell>
          <cell r="F1834">
            <v>10002.0803125</v>
          </cell>
          <cell r="G1834">
            <v>2</v>
          </cell>
          <cell r="H1834">
            <v>20004.160625</v>
          </cell>
          <cell r="I1834">
            <v>0</v>
          </cell>
        </row>
        <row r="1835">
          <cell r="B1835" t="str">
            <v>MO006</v>
          </cell>
          <cell r="C1835" t="str">
            <v>AYUDANTE</v>
          </cell>
          <cell r="D1835">
            <v>4633.604176682692</v>
          </cell>
          <cell r="E1835">
            <v>0.56000000000000005</v>
          </cell>
          <cell r="F1835">
            <v>7228.4225156249995</v>
          </cell>
          <cell r="G1835">
            <v>6</v>
          </cell>
          <cell r="H1835">
            <v>43370.535093749997</v>
          </cell>
          <cell r="I1835">
            <v>0</v>
          </cell>
        </row>
        <row r="1836"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</row>
        <row r="1837"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</row>
        <row r="1838"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</row>
        <row r="1839"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 t="str">
            <v>Sub-Total</v>
          </cell>
          <cell r="G1839" t="str">
            <v>5.2</v>
          </cell>
          <cell r="H1839" t="str">
            <v>MDEO-5.2</v>
          </cell>
          <cell r="I1839">
            <v>95418.975562500011</v>
          </cell>
        </row>
        <row r="1840"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4770.9487781250009</v>
          </cell>
        </row>
        <row r="1841"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 t="str">
            <v>Total Costo Directo</v>
          </cell>
          <cell r="G1841">
            <v>0</v>
          </cell>
          <cell r="H1841">
            <v>0</v>
          </cell>
          <cell r="I1841">
            <v>394580</v>
          </cell>
        </row>
        <row r="1842">
          <cell r="B1842">
            <v>0</v>
          </cell>
          <cell r="C1842">
            <v>0</v>
          </cell>
          <cell r="D1842">
            <v>0</v>
          </cell>
          <cell r="E1842" t="str">
            <v>PORCENTAJE</v>
          </cell>
          <cell r="F1842">
            <v>0</v>
          </cell>
          <cell r="G1842" t="str">
            <v>V. COSTO INDERECTO</v>
          </cell>
          <cell r="H1842">
            <v>0</v>
          </cell>
          <cell r="I1842">
            <v>0</v>
          </cell>
        </row>
        <row r="1843">
          <cell r="B1843">
            <v>0</v>
          </cell>
          <cell r="C1843">
            <v>0</v>
          </cell>
          <cell r="D1843">
            <v>0</v>
          </cell>
          <cell r="E1843">
            <v>0.02</v>
          </cell>
          <cell r="F1843">
            <v>0</v>
          </cell>
          <cell r="G1843">
            <v>7891.6</v>
          </cell>
          <cell r="H1843">
            <v>0</v>
          </cell>
          <cell r="I1843">
            <v>0</v>
          </cell>
        </row>
        <row r="1844">
          <cell r="B1844">
            <v>0</v>
          </cell>
          <cell r="C1844">
            <v>0</v>
          </cell>
          <cell r="D1844">
            <v>0</v>
          </cell>
          <cell r="E1844">
            <v>0.23</v>
          </cell>
          <cell r="F1844">
            <v>0</v>
          </cell>
          <cell r="G1844">
            <v>90753.400000000009</v>
          </cell>
          <cell r="H1844">
            <v>0</v>
          </cell>
          <cell r="I1844">
            <v>0</v>
          </cell>
        </row>
        <row r="1845">
          <cell r="B1845">
            <v>0</v>
          </cell>
          <cell r="C1845">
            <v>0</v>
          </cell>
          <cell r="D1845">
            <v>0</v>
          </cell>
          <cell r="E1845">
            <v>0.05</v>
          </cell>
          <cell r="F1845">
            <v>0</v>
          </cell>
          <cell r="G1845">
            <v>19729</v>
          </cell>
          <cell r="H1845">
            <v>0</v>
          </cell>
          <cell r="I1845">
            <v>0</v>
          </cell>
        </row>
        <row r="1846">
          <cell r="B1846">
            <v>0</v>
          </cell>
          <cell r="C1846">
            <v>0</v>
          </cell>
          <cell r="D1846">
            <v>0</v>
          </cell>
          <cell r="E1846">
            <v>0.02</v>
          </cell>
          <cell r="F1846">
            <v>0</v>
          </cell>
          <cell r="G1846">
            <v>7891.6</v>
          </cell>
          <cell r="H1846">
            <v>0</v>
          </cell>
          <cell r="I1846">
            <v>0</v>
          </cell>
        </row>
        <row r="1847"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126265.60000000002</v>
          </cell>
        </row>
        <row r="1848"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520845.60000000003</v>
          </cell>
        </row>
        <row r="1849"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</row>
        <row r="1850"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 t="str">
            <v>REVISA</v>
          </cell>
          <cell r="G1850">
            <v>0</v>
          </cell>
          <cell r="H1850">
            <v>0</v>
          </cell>
          <cell r="I1850">
            <v>0</v>
          </cell>
        </row>
        <row r="1851"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 t="str">
            <v>FIRMA:</v>
          </cell>
          <cell r="G1851">
            <v>0</v>
          </cell>
          <cell r="H1851">
            <v>0</v>
          </cell>
          <cell r="I1851">
            <v>0</v>
          </cell>
        </row>
        <row r="1852">
          <cell r="B1852" t="str">
            <v>JHON EMIR GAMBOA MENA</v>
          </cell>
          <cell r="C1852">
            <v>0</v>
          </cell>
          <cell r="F1852" t="str">
            <v>NOMBRE</v>
          </cell>
          <cell r="G1852">
            <v>0</v>
          </cell>
          <cell r="H1852">
            <v>0</v>
          </cell>
          <cell r="I1852">
            <v>0</v>
          </cell>
        </row>
        <row r="1853">
          <cell r="B1853" t="str">
            <v>05202-316814 ANT</v>
          </cell>
          <cell r="C1853">
            <v>0</v>
          </cell>
          <cell r="F1853" t="str">
            <v>MAT:</v>
          </cell>
          <cell r="G1853">
            <v>0</v>
          </cell>
          <cell r="H1853">
            <v>0</v>
          </cell>
          <cell r="I1853">
            <v>0</v>
          </cell>
        </row>
        <row r="1854">
          <cell r="B1854">
            <v>0</v>
          </cell>
          <cell r="C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</row>
        <row r="1855"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</row>
        <row r="1856"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</row>
        <row r="1857"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</row>
        <row r="1858"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</row>
        <row r="1859">
          <cell r="B1859" t="str">
            <v>5.3</v>
          </cell>
          <cell r="C1859" t="str">
            <v>DESCRIPCION:</v>
          </cell>
          <cell r="D1859" t="e">
            <v>#N/A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</row>
        <row r="1860">
          <cell r="B1860" t="e">
            <v>#N/A</v>
          </cell>
          <cell r="C1860">
            <v>0</v>
          </cell>
          <cell r="D1860" t="str">
            <v>UNIDAD</v>
          </cell>
          <cell r="E1860" t="str">
            <v>UNIDAD</v>
          </cell>
          <cell r="F1860" t="str">
            <v>CANTIDAD</v>
          </cell>
          <cell r="G1860" t="e">
            <v>#N/A</v>
          </cell>
          <cell r="H1860" t="str">
            <v>V. UNITARIO:</v>
          </cell>
          <cell r="I1860">
            <v>201085</v>
          </cell>
        </row>
        <row r="1861"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</row>
        <row r="1862"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 t="str">
            <v>Tarifa/Hora</v>
          </cell>
          <cell r="G1862" t="str">
            <v>Rendimiento</v>
          </cell>
          <cell r="H1862" t="str">
            <v>Valor-Unit.</v>
          </cell>
          <cell r="I1862">
            <v>0</v>
          </cell>
        </row>
        <row r="1863">
          <cell r="B1863" t="str">
            <v>E018</v>
          </cell>
          <cell r="C1863" t="str">
            <v>LISTON Y VARILLA AJUS. FORMALETA METALICA</v>
          </cell>
          <cell r="D1863">
            <v>0</v>
          </cell>
          <cell r="E1863">
            <v>0</v>
          </cell>
          <cell r="F1863">
            <v>1000</v>
          </cell>
          <cell r="G1863">
            <v>0.5</v>
          </cell>
          <cell r="H1863">
            <v>500</v>
          </cell>
          <cell r="I1863">
            <v>0</v>
          </cell>
        </row>
        <row r="1864">
          <cell r="B1864" t="str">
            <v>E013</v>
          </cell>
          <cell r="C1864" t="str">
            <v>FORMALETA MADERA (TABLA 3M 0,20M)</v>
          </cell>
          <cell r="D1864">
            <v>0</v>
          </cell>
          <cell r="E1864">
            <v>0</v>
          </cell>
          <cell r="F1864">
            <v>7500</v>
          </cell>
          <cell r="G1864">
            <v>0.66</v>
          </cell>
          <cell r="H1864">
            <v>4950</v>
          </cell>
          <cell r="I1864">
            <v>0</v>
          </cell>
        </row>
        <row r="1865">
          <cell r="B1865" t="str">
            <v>E027</v>
          </cell>
          <cell r="C1865" t="str">
            <v>VIBRADOR DE AGUJA</v>
          </cell>
          <cell r="D1865">
            <v>0</v>
          </cell>
          <cell r="E1865">
            <v>0</v>
          </cell>
          <cell r="F1865">
            <v>4375</v>
          </cell>
          <cell r="G1865">
            <v>2</v>
          </cell>
          <cell r="H1865">
            <v>8750</v>
          </cell>
          <cell r="I1865">
            <v>0</v>
          </cell>
        </row>
        <row r="1866">
          <cell r="B1866" t="str">
            <v>E018</v>
          </cell>
          <cell r="C1866" t="str">
            <v>LISTON Y VARILLA AJUS. FORMALETA METALICA</v>
          </cell>
          <cell r="D1866">
            <v>0</v>
          </cell>
          <cell r="E1866">
            <v>0</v>
          </cell>
          <cell r="F1866">
            <v>1000</v>
          </cell>
          <cell r="G1866">
            <v>0.5</v>
          </cell>
          <cell r="H1866">
            <v>500</v>
          </cell>
          <cell r="I1866">
            <v>0</v>
          </cell>
        </row>
        <row r="1867"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 t="str">
            <v>Sub-Total</v>
          </cell>
          <cell r="G1867" t="str">
            <v>5.3</v>
          </cell>
          <cell r="H1867" t="str">
            <v>EQUI-5.3</v>
          </cell>
          <cell r="I1867">
            <v>14700</v>
          </cell>
        </row>
        <row r="1868"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</row>
        <row r="1869">
          <cell r="B1869">
            <v>0</v>
          </cell>
          <cell r="C1869">
            <v>0</v>
          </cell>
          <cell r="D1869">
            <v>0</v>
          </cell>
          <cell r="E1869" t="str">
            <v>UNIDAD</v>
          </cell>
          <cell r="F1869" t="str">
            <v>V.UNIT</v>
          </cell>
          <cell r="G1869" t="str">
            <v>CANT</v>
          </cell>
          <cell r="H1869" t="str">
            <v>V.TOTAL</v>
          </cell>
          <cell r="I1869">
            <v>0</v>
          </cell>
        </row>
        <row r="1870">
          <cell r="B1870" t="str">
            <v>M016</v>
          </cell>
          <cell r="C1870" t="str">
            <v>CONCRETO 2500 PSI</v>
          </cell>
          <cell r="D1870">
            <v>0</v>
          </cell>
          <cell r="E1870" t="str">
            <v>M3</v>
          </cell>
          <cell r="F1870">
            <v>390000</v>
          </cell>
          <cell r="G1870">
            <v>0.09</v>
          </cell>
          <cell r="H1870">
            <v>35100</v>
          </cell>
          <cell r="I1870">
            <v>0</v>
          </cell>
        </row>
        <row r="1871">
          <cell r="B1871" t="str">
            <v>M005</v>
          </cell>
          <cell r="C1871" t="str">
            <v>ALAMBRE QUEMADO</v>
          </cell>
          <cell r="D1871">
            <v>0</v>
          </cell>
          <cell r="E1871" t="str">
            <v>KG</v>
          </cell>
          <cell r="F1871">
            <v>3550</v>
          </cell>
          <cell r="G1871">
            <v>0.49280000000000002</v>
          </cell>
          <cell r="H1871">
            <v>1749.44</v>
          </cell>
          <cell r="I1871">
            <v>0</v>
          </cell>
        </row>
        <row r="1872">
          <cell r="B1872" t="str">
            <v>M003</v>
          </cell>
          <cell r="C1872" t="str">
            <v>ACERO 40000 PSI</v>
          </cell>
          <cell r="D1872">
            <v>0</v>
          </cell>
          <cell r="E1872" t="str">
            <v>KG</v>
          </cell>
          <cell r="F1872">
            <v>2744</v>
          </cell>
          <cell r="G1872">
            <v>12.32</v>
          </cell>
          <cell r="H1872">
            <v>33806.080000000002</v>
          </cell>
          <cell r="I1872">
            <v>0</v>
          </cell>
        </row>
        <row r="1873"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</row>
        <row r="1874"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 t="str">
            <v>Sub-Total</v>
          </cell>
          <cell r="G1874" t="str">
            <v>5.3</v>
          </cell>
          <cell r="H1874" t="str">
            <v>MAT-5.3</v>
          </cell>
          <cell r="I1874">
            <v>70655.520000000004</v>
          </cell>
        </row>
        <row r="1875"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</row>
        <row r="1876">
          <cell r="B1876">
            <v>0</v>
          </cell>
          <cell r="C1876">
            <v>0</v>
          </cell>
          <cell r="D1876" t="str">
            <v xml:space="preserve">CAN </v>
          </cell>
          <cell r="E1876" t="str">
            <v>DISTANCIA</v>
          </cell>
          <cell r="F1876" t="str">
            <v>M3-Km / UN-KM</v>
          </cell>
          <cell r="G1876" t="str">
            <v>TARIFA</v>
          </cell>
          <cell r="H1876" t="str">
            <v>Valor-Unit.</v>
          </cell>
          <cell r="I1876">
            <v>0</v>
          </cell>
        </row>
        <row r="1877">
          <cell r="B1877" t="str">
            <v>T001</v>
          </cell>
          <cell r="C1877" t="str">
            <v>TRANS INT CONCRETO M3</v>
          </cell>
          <cell r="D1877">
            <v>0.09</v>
          </cell>
          <cell r="E1877">
            <v>1</v>
          </cell>
          <cell r="F1877">
            <v>0.09</v>
          </cell>
          <cell r="G1877">
            <v>4000</v>
          </cell>
          <cell r="H1877">
            <v>360</v>
          </cell>
          <cell r="I1877">
            <v>0</v>
          </cell>
        </row>
        <row r="1878"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</row>
        <row r="1879"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 t="str">
            <v>Sub-Total</v>
          </cell>
          <cell r="G1879" t="str">
            <v>5.3</v>
          </cell>
          <cell r="H1879" t="str">
            <v>TRAN-5.3</v>
          </cell>
          <cell r="I1879">
            <v>360</v>
          </cell>
        </row>
        <row r="1880"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</row>
        <row r="1881">
          <cell r="B1881">
            <v>0</v>
          </cell>
          <cell r="C1881">
            <v>0</v>
          </cell>
          <cell r="D1881" t="str">
            <v>JORNAL-HORA</v>
          </cell>
          <cell r="E1881" t="str">
            <v>PRES</v>
          </cell>
          <cell r="F1881" t="str">
            <v>JORNAL TOTAL</v>
          </cell>
          <cell r="G1881" t="str">
            <v>RENDIEMIENTO</v>
          </cell>
          <cell r="H1881" t="str">
            <v>VALOR-UNIT</v>
          </cell>
          <cell r="I1881">
            <v>0</v>
          </cell>
        </row>
        <row r="1882">
          <cell r="B1882" t="str">
            <v>MO004</v>
          </cell>
          <cell r="C1882" t="str">
            <v>OFICIAL</v>
          </cell>
          <cell r="D1882">
            <v>10270.602514022436</v>
          </cell>
          <cell r="E1882">
            <v>0.56000000000000005</v>
          </cell>
          <cell r="F1882">
            <v>16022.139921875001</v>
          </cell>
          <cell r="G1882">
            <v>2</v>
          </cell>
          <cell r="H1882">
            <v>32044.279843750002</v>
          </cell>
          <cell r="I1882">
            <v>0</v>
          </cell>
        </row>
        <row r="1883">
          <cell r="B1883" t="str">
            <v>MO005</v>
          </cell>
          <cell r="C1883" t="str">
            <v>AYUDANTE ENTENDIDO</v>
          </cell>
          <cell r="D1883">
            <v>6411.5899439102559</v>
          </cell>
          <cell r="E1883">
            <v>0.56000000000000005</v>
          </cell>
          <cell r="F1883">
            <v>10002.0803125</v>
          </cell>
          <cell r="G1883">
            <v>2</v>
          </cell>
          <cell r="H1883">
            <v>20004.160625</v>
          </cell>
          <cell r="I1883">
            <v>0</v>
          </cell>
        </row>
        <row r="1884">
          <cell r="B1884" t="str">
            <v>MO006</v>
          </cell>
          <cell r="C1884" t="str">
            <v>AYUDANTE</v>
          </cell>
          <cell r="D1884">
            <v>4633.604176682692</v>
          </cell>
          <cell r="E1884">
            <v>0.56000000000000005</v>
          </cell>
          <cell r="F1884">
            <v>7228.4225156249995</v>
          </cell>
          <cell r="G1884">
            <v>8</v>
          </cell>
          <cell r="H1884">
            <v>57827.380124999996</v>
          </cell>
          <cell r="I1884">
            <v>0</v>
          </cell>
        </row>
        <row r="1885"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</row>
        <row r="1886"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</row>
        <row r="1887"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</row>
        <row r="1888"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 t="str">
            <v>Sub-Total</v>
          </cell>
          <cell r="G1888" t="str">
            <v>5.3</v>
          </cell>
          <cell r="H1888" t="str">
            <v>MDEO-5.3</v>
          </cell>
          <cell r="I1888">
            <v>109875.82059375</v>
          </cell>
        </row>
        <row r="1889"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5493.7910296875007</v>
          </cell>
        </row>
        <row r="1890"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 t="str">
            <v>Total Costo Directo</v>
          </cell>
          <cell r="G1890">
            <v>0</v>
          </cell>
          <cell r="H1890">
            <v>0</v>
          </cell>
          <cell r="I1890">
            <v>201085</v>
          </cell>
        </row>
        <row r="1891">
          <cell r="B1891">
            <v>0</v>
          </cell>
          <cell r="C1891">
            <v>0</v>
          </cell>
          <cell r="D1891">
            <v>0</v>
          </cell>
          <cell r="E1891" t="str">
            <v>PORCENTAJE</v>
          </cell>
          <cell r="F1891">
            <v>0</v>
          </cell>
          <cell r="G1891" t="str">
            <v>V. COSTO INDERECTO</v>
          </cell>
          <cell r="H1891">
            <v>0</v>
          </cell>
          <cell r="I1891">
            <v>0</v>
          </cell>
        </row>
        <row r="1892">
          <cell r="B1892">
            <v>0</v>
          </cell>
          <cell r="C1892">
            <v>0</v>
          </cell>
          <cell r="D1892">
            <v>0</v>
          </cell>
          <cell r="E1892">
            <v>0.02</v>
          </cell>
          <cell r="F1892">
            <v>0</v>
          </cell>
          <cell r="G1892">
            <v>4021.7000000000003</v>
          </cell>
          <cell r="H1892">
            <v>0</v>
          </cell>
          <cell r="I1892">
            <v>0</v>
          </cell>
        </row>
        <row r="1893">
          <cell r="B1893">
            <v>0</v>
          </cell>
          <cell r="C1893">
            <v>0</v>
          </cell>
          <cell r="D1893">
            <v>0</v>
          </cell>
          <cell r="E1893">
            <v>0.23</v>
          </cell>
          <cell r="F1893">
            <v>0</v>
          </cell>
          <cell r="G1893">
            <v>46249.55</v>
          </cell>
          <cell r="H1893">
            <v>0</v>
          </cell>
          <cell r="I1893">
            <v>0</v>
          </cell>
        </row>
        <row r="1894">
          <cell r="B1894">
            <v>0</v>
          </cell>
          <cell r="C1894">
            <v>0</v>
          </cell>
          <cell r="D1894">
            <v>0</v>
          </cell>
          <cell r="E1894">
            <v>0.05</v>
          </cell>
          <cell r="F1894">
            <v>0</v>
          </cell>
          <cell r="G1894">
            <v>10054.25</v>
          </cell>
          <cell r="H1894">
            <v>0</v>
          </cell>
          <cell r="I1894">
            <v>0</v>
          </cell>
        </row>
        <row r="1895">
          <cell r="B1895">
            <v>0</v>
          </cell>
          <cell r="C1895">
            <v>0</v>
          </cell>
          <cell r="D1895">
            <v>0</v>
          </cell>
          <cell r="E1895">
            <v>0.02</v>
          </cell>
          <cell r="F1895">
            <v>0</v>
          </cell>
          <cell r="G1895">
            <v>4021.7000000000003</v>
          </cell>
          <cell r="H1895">
            <v>0</v>
          </cell>
          <cell r="I1895">
            <v>0</v>
          </cell>
        </row>
        <row r="1896"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64347.199999999997</v>
          </cell>
        </row>
        <row r="1897"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265432.2</v>
          </cell>
        </row>
        <row r="1898"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</row>
        <row r="1899"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 t="str">
            <v>REVISA</v>
          </cell>
          <cell r="G1899">
            <v>0</v>
          </cell>
          <cell r="H1899">
            <v>0</v>
          </cell>
          <cell r="I1899">
            <v>0</v>
          </cell>
        </row>
        <row r="1900"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 t="str">
            <v>FIRMA:</v>
          </cell>
          <cell r="G1900">
            <v>0</v>
          </cell>
          <cell r="H1900">
            <v>0</v>
          </cell>
          <cell r="I1900">
            <v>0</v>
          </cell>
        </row>
        <row r="1901">
          <cell r="B1901" t="str">
            <v>JHON EMIR GAMBOA MENA</v>
          </cell>
          <cell r="C1901">
            <v>0</v>
          </cell>
          <cell r="F1901" t="str">
            <v>NOMBRE</v>
          </cell>
          <cell r="G1901">
            <v>0</v>
          </cell>
          <cell r="H1901">
            <v>0</v>
          </cell>
          <cell r="I1901">
            <v>0</v>
          </cell>
        </row>
        <row r="1902">
          <cell r="B1902" t="str">
            <v>05202-316814 ANT</v>
          </cell>
          <cell r="C1902">
            <v>0</v>
          </cell>
          <cell r="F1902" t="str">
            <v>MAT:</v>
          </cell>
          <cell r="G1902">
            <v>0</v>
          </cell>
          <cell r="H1902">
            <v>0</v>
          </cell>
          <cell r="I1902">
            <v>0</v>
          </cell>
        </row>
        <row r="1903">
          <cell r="B1903">
            <v>0</v>
          </cell>
          <cell r="C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</row>
        <row r="1904"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</row>
        <row r="1905"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</row>
        <row r="1906"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</row>
        <row r="1907"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B1908" t="str">
            <v>5.4</v>
          </cell>
          <cell r="C1908" t="str">
            <v>DESCRIPCION:</v>
          </cell>
          <cell r="D1908" t="e">
            <v>#N/A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</row>
        <row r="1909">
          <cell r="B1909" t="e">
            <v>#N/A</v>
          </cell>
          <cell r="C1909">
            <v>0</v>
          </cell>
          <cell r="D1909" t="str">
            <v>UNIDAD</v>
          </cell>
          <cell r="E1909" t="str">
            <v>UNIDAD</v>
          </cell>
          <cell r="F1909" t="str">
            <v>CANTIDAD</v>
          </cell>
          <cell r="G1909" t="e">
            <v>#N/A</v>
          </cell>
          <cell r="H1909" t="str">
            <v>V. UNITARIO:</v>
          </cell>
          <cell r="I1909">
            <v>192120</v>
          </cell>
        </row>
        <row r="1910"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</row>
        <row r="1911"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 t="str">
            <v>Tarifa/Hora</v>
          </cell>
          <cell r="G1911" t="str">
            <v>Rendimiento</v>
          </cell>
          <cell r="H1911" t="str">
            <v>Valor-Unit.</v>
          </cell>
          <cell r="I1911">
            <v>0</v>
          </cell>
        </row>
        <row r="1912">
          <cell r="B1912" t="str">
            <v>E018</v>
          </cell>
          <cell r="C1912" t="str">
            <v>LISTON Y VARILLA AJUS. FORMALETA METALICA</v>
          </cell>
          <cell r="D1912">
            <v>0</v>
          </cell>
          <cell r="E1912">
            <v>0</v>
          </cell>
          <cell r="F1912">
            <v>1000</v>
          </cell>
          <cell r="G1912">
            <v>0.5</v>
          </cell>
          <cell r="H1912">
            <v>500</v>
          </cell>
          <cell r="I1912">
            <v>0</v>
          </cell>
        </row>
        <row r="1913">
          <cell r="B1913" t="str">
            <v>E013</v>
          </cell>
          <cell r="C1913" t="str">
            <v>FORMALETA MADERA (TABLA 3M 0,20M)</v>
          </cell>
          <cell r="D1913">
            <v>0</v>
          </cell>
          <cell r="E1913">
            <v>0</v>
          </cell>
          <cell r="F1913">
            <v>7500</v>
          </cell>
          <cell r="G1913">
            <v>0.66</v>
          </cell>
          <cell r="H1913">
            <v>4950</v>
          </cell>
          <cell r="I1913">
            <v>0</v>
          </cell>
        </row>
        <row r="1914">
          <cell r="B1914" t="str">
            <v>E027</v>
          </cell>
          <cell r="C1914" t="str">
            <v>VIBRADOR DE AGUJA</v>
          </cell>
          <cell r="D1914">
            <v>0</v>
          </cell>
          <cell r="E1914">
            <v>0</v>
          </cell>
          <cell r="F1914">
            <v>4375</v>
          </cell>
          <cell r="G1914">
            <v>2</v>
          </cell>
          <cell r="H1914">
            <v>8750</v>
          </cell>
          <cell r="I1914">
            <v>0</v>
          </cell>
        </row>
        <row r="1915">
          <cell r="B1915" t="str">
            <v>E018</v>
          </cell>
          <cell r="C1915" t="str">
            <v>LISTON Y VARILLA AJUS. FORMALETA METALICA</v>
          </cell>
          <cell r="D1915">
            <v>0</v>
          </cell>
          <cell r="E1915">
            <v>0</v>
          </cell>
          <cell r="F1915">
            <v>1000</v>
          </cell>
          <cell r="G1915">
            <v>0.5</v>
          </cell>
          <cell r="H1915">
            <v>500</v>
          </cell>
          <cell r="I1915">
            <v>0</v>
          </cell>
        </row>
        <row r="1916">
          <cell r="B1916" t="str">
            <v>E011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</row>
        <row r="1917">
          <cell r="B1917" t="str">
            <v>E003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</row>
        <row r="1918"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 t="str">
            <v>Sub-Total</v>
          </cell>
          <cell r="G1918" t="str">
            <v>5.4</v>
          </cell>
          <cell r="H1918" t="str">
            <v>EQUI-5.4</v>
          </cell>
          <cell r="I1918">
            <v>14700</v>
          </cell>
        </row>
        <row r="1919"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</row>
        <row r="1920">
          <cell r="B1920">
            <v>0</v>
          </cell>
          <cell r="C1920">
            <v>0</v>
          </cell>
          <cell r="D1920">
            <v>0</v>
          </cell>
          <cell r="E1920" t="str">
            <v>UNIDAD</v>
          </cell>
          <cell r="F1920" t="str">
            <v>V.UNIT</v>
          </cell>
          <cell r="G1920" t="str">
            <v>CANT</v>
          </cell>
          <cell r="H1920" t="str">
            <v>V.TOTAL</v>
          </cell>
          <cell r="I1920">
            <v>0</v>
          </cell>
        </row>
        <row r="1921">
          <cell r="B1921" t="str">
            <v>M040</v>
          </cell>
          <cell r="C1921" t="str">
            <v>PREFABRICADO ALCORQUE</v>
          </cell>
          <cell r="D1921">
            <v>0</v>
          </cell>
          <cell r="E1921" t="str">
            <v>UN</v>
          </cell>
          <cell r="F1921">
            <v>65000</v>
          </cell>
          <cell r="G1921">
            <v>1</v>
          </cell>
          <cell r="H1921">
            <v>65000</v>
          </cell>
          <cell r="I1921">
            <v>0</v>
          </cell>
        </row>
        <row r="1922">
          <cell r="B1922" t="str">
            <v>M005</v>
          </cell>
          <cell r="C1922" t="str">
            <v>ALAMBRE QUEMADO</v>
          </cell>
          <cell r="D1922">
            <v>0</v>
          </cell>
          <cell r="E1922" t="str">
            <v>KG</v>
          </cell>
          <cell r="F1922">
            <v>3550</v>
          </cell>
          <cell r="G1922">
            <v>0.49280000000000002</v>
          </cell>
          <cell r="H1922">
            <v>1749.44</v>
          </cell>
          <cell r="I1922">
            <v>0</v>
          </cell>
        </row>
        <row r="1923">
          <cell r="B1923" t="str">
            <v>M003</v>
          </cell>
          <cell r="C1923" t="str">
            <v>ACERO 40000 PSI</v>
          </cell>
          <cell r="D1923">
            <v>0</v>
          </cell>
          <cell r="E1923" t="str">
            <v>KG</v>
          </cell>
          <cell r="F1923">
            <v>2744</v>
          </cell>
          <cell r="G1923">
            <v>12.32</v>
          </cell>
          <cell r="H1923">
            <v>33806.080000000002</v>
          </cell>
          <cell r="I1923">
            <v>0</v>
          </cell>
        </row>
        <row r="1924"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 t="str">
            <v>Sub-Total</v>
          </cell>
          <cell r="G1924" t="str">
            <v>5.4</v>
          </cell>
          <cell r="H1924" t="str">
            <v>MAT-5.4</v>
          </cell>
          <cell r="I1924">
            <v>100555.52</v>
          </cell>
        </row>
        <row r="1925"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</row>
        <row r="1926">
          <cell r="B1926">
            <v>0</v>
          </cell>
          <cell r="C1926">
            <v>0</v>
          </cell>
          <cell r="D1926" t="str">
            <v xml:space="preserve">CAN </v>
          </cell>
          <cell r="E1926" t="str">
            <v>DISTANCIA</v>
          </cell>
          <cell r="F1926" t="str">
            <v>M3-Km / UN-KM</v>
          </cell>
          <cell r="G1926" t="str">
            <v>TARIFA</v>
          </cell>
          <cell r="H1926" t="str">
            <v>Valor-Unit.</v>
          </cell>
          <cell r="I1926">
            <v>0</v>
          </cell>
        </row>
        <row r="1927">
          <cell r="B1927" t="str">
            <v>T001</v>
          </cell>
          <cell r="C1927" t="str">
            <v>TRANS INT CONCRETO M3</v>
          </cell>
          <cell r="D1927">
            <v>1</v>
          </cell>
          <cell r="E1927">
            <v>1</v>
          </cell>
          <cell r="F1927">
            <v>1</v>
          </cell>
          <cell r="G1927">
            <v>4000</v>
          </cell>
          <cell r="H1927">
            <v>4000</v>
          </cell>
          <cell r="I1927">
            <v>0</v>
          </cell>
        </row>
        <row r="1928"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 t="str">
            <v>Sub-Total</v>
          </cell>
          <cell r="G1929" t="str">
            <v>5.4</v>
          </cell>
          <cell r="H1929" t="str">
            <v>TRAN-5.4</v>
          </cell>
          <cell r="I1929">
            <v>4000</v>
          </cell>
        </row>
        <row r="1930"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B1931">
            <v>0</v>
          </cell>
          <cell r="C1931">
            <v>0</v>
          </cell>
          <cell r="D1931" t="str">
            <v>JORNAL-HORA</v>
          </cell>
          <cell r="E1931" t="str">
            <v>PRES</v>
          </cell>
          <cell r="F1931" t="str">
            <v>JORNAL TOTAL</v>
          </cell>
          <cell r="G1931" t="str">
            <v>RENDIEMIENTO</v>
          </cell>
          <cell r="H1931" t="str">
            <v>VALOR-UNIT</v>
          </cell>
          <cell r="I1931">
            <v>0</v>
          </cell>
        </row>
        <row r="1932">
          <cell r="B1932" t="str">
            <v>MO004</v>
          </cell>
          <cell r="C1932" t="str">
            <v>OFICIAL</v>
          </cell>
          <cell r="D1932">
            <v>10270.602514022436</v>
          </cell>
          <cell r="E1932">
            <v>0.56000000000000005</v>
          </cell>
          <cell r="F1932">
            <v>16022.139921875001</v>
          </cell>
          <cell r="G1932">
            <v>1</v>
          </cell>
          <cell r="H1932">
            <v>16022.139921875001</v>
          </cell>
          <cell r="I1932">
            <v>0</v>
          </cell>
        </row>
        <row r="1933">
          <cell r="B1933" t="str">
            <v>MO005</v>
          </cell>
          <cell r="C1933" t="str">
            <v>AYUDANTE ENTENDIDO</v>
          </cell>
          <cell r="D1933">
            <v>6411.5899439102559</v>
          </cell>
          <cell r="E1933">
            <v>0.56000000000000005</v>
          </cell>
          <cell r="F1933">
            <v>10002.0803125</v>
          </cell>
          <cell r="G1933">
            <v>1</v>
          </cell>
          <cell r="H1933">
            <v>10002.0803125</v>
          </cell>
          <cell r="I1933">
            <v>0</v>
          </cell>
        </row>
        <row r="1934">
          <cell r="B1934" t="str">
            <v>MO006</v>
          </cell>
          <cell r="C1934" t="str">
            <v>AYUDANTE</v>
          </cell>
          <cell r="D1934">
            <v>4633.604176682692</v>
          </cell>
          <cell r="E1934">
            <v>0.56000000000000005</v>
          </cell>
          <cell r="F1934">
            <v>7228.4225156249995</v>
          </cell>
          <cell r="G1934">
            <v>6</v>
          </cell>
          <cell r="H1934">
            <v>43370.535093749997</v>
          </cell>
          <cell r="I1934">
            <v>0</v>
          </cell>
        </row>
        <row r="1935"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</row>
        <row r="1936"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 t="str">
            <v>Sub-Total</v>
          </cell>
          <cell r="G1936" t="str">
            <v>5.4</v>
          </cell>
          <cell r="H1936" t="str">
            <v>MDEO-5.4</v>
          </cell>
          <cell r="I1936">
            <v>69394.755328125</v>
          </cell>
        </row>
        <row r="1937"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3469.7377664062501</v>
          </cell>
        </row>
        <row r="1938"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 t="str">
            <v>Total Costo Directo</v>
          </cell>
          <cell r="G1938">
            <v>0</v>
          </cell>
          <cell r="H1938">
            <v>0</v>
          </cell>
          <cell r="I1938">
            <v>192120</v>
          </cell>
        </row>
        <row r="1939">
          <cell r="B1939">
            <v>0</v>
          </cell>
          <cell r="C1939">
            <v>0</v>
          </cell>
          <cell r="D1939">
            <v>0</v>
          </cell>
          <cell r="E1939" t="str">
            <v>PORCENTAJE</v>
          </cell>
          <cell r="F1939">
            <v>0</v>
          </cell>
          <cell r="G1939" t="str">
            <v>V. COSTO INDERECTO</v>
          </cell>
          <cell r="H1939">
            <v>0</v>
          </cell>
          <cell r="I1939">
            <v>0</v>
          </cell>
        </row>
        <row r="1940">
          <cell r="B1940">
            <v>0</v>
          </cell>
          <cell r="C1940">
            <v>0</v>
          </cell>
          <cell r="D1940">
            <v>0</v>
          </cell>
          <cell r="E1940">
            <v>0.02</v>
          </cell>
          <cell r="F1940">
            <v>0</v>
          </cell>
          <cell r="G1940">
            <v>3842.4</v>
          </cell>
          <cell r="H1940">
            <v>0</v>
          </cell>
          <cell r="I1940">
            <v>0</v>
          </cell>
        </row>
        <row r="1941">
          <cell r="B1941">
            <v>0</v>
          </cell>
          <cell r="C1941">
            <v>0</v>
          </cell>
          <cell r="D1941">
            <v>0</v>
          </cell>
          <cell r="E1941">
            <v>0.23</v>
          </cell>
          <cell r="F1941">
            <v>0</v>
          </cell>
          <cell r="G1941">
            <v>44187.6</v>
          </cell>
          <cell r="H1941">
            <v>0</v>
          </cell>
          <cell r="I1941">
            <v>0</v>
          </cell>
        </row>
        <row r="1942">
          <cell r="B1942">
            <v>0</v>
          </cell>
          <cell r="C1942">
            <v>0</v>
          </cell>
          <cell r="D1942">
            <v>0</v>
          </cell>
          <cell r="E1942">
            <v>0.05</v>
          </cell>
          <cell r="F1942">
            <v>0</v>
          </cell>
          <cell r="G1942">
            <v>9606</v>
          </cell>
          <cell r="H1942">
            <v>0</v>
          </cell>
          <cell r="I1942">
            <v>0</v>
          </cell>
        </row>
        <row r="1943">
          <cell r="B1943">
            <v>0</v>
          </cell>
          <cell r="C1943">
            <v>0</v>
          </cell>
          <cell r="D1943">
            <v>0</v>
          </cell>
          <cell r="E1943">
            <v>0.02</v>
          </cell>
          <cell r="F1943">
            <v>0</v>
          </cell>
          <cell r="G1943">
            <v>3842.4</v>
          </cell>
          <cell r="H1943">
            <v>0</v>
          </cell>
          <cell r="I1943">
            <v>0</v>
          </cell>
        </row>
        <row r="1944"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61478.400000000001</v>
          </cell>
        </row>
        <row r="1945"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253598.4</v>
          </cell>
        </row>
        <row r="1946"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</row>
        <row r="1947"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 t="str">
            <v>REVISA</v>
          </cell>
          <cell r="G1947">
            <v>0</v>
          </cell>
          <cell r="H1947">
            <v>0</v>
          </cell>
          <cell r="I1947">
            <v>0</v>
          </cell>
        </row>
        <row r="1948"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 t="str">
            <v>FIRMA:</v>
          </cell>
          <cell r="G1948">
            <v>0</v>
          </cell>
          <cell r="H1948">
            <v>0</v>
          </cell>
          <cell r="I1948">
            <v>0</v>
          </cell>
        </row>
        <row r="1949">
          <cell r="B1949" t="str">
            <v>JHON EMIR GAMBOA MENA</v>
          </cell>
          <cell r="C1949">
            <v>0</v>
          </cell>
          <cell r="F1949" t="str">
            <v>NOMBRE</v>
          </cell>
          <cell r="G1949">
            <v>0</v>
          </cell>
          <cell r="H1949">
            <v>0</v>
          </cell>
          <cell r="I1949">
            <v>0</v>
          </cell>
        </row>
        <row r="1950">
          <cell r="B1950" t="str">
            <v>05202-316814 ANT</v>
          </cell>
          <cell r="C1950">
            <v>0</v>
          </cell>
          <cell r="F1950" t="str">
            <v>MAT:</v>
          </cell>
          <cell r="G1950">
            <v>0</v>
          </cell>
          <cell r="H1950">
            <v>0</v>
          </cell>
          <cell r="I1950">
            <v>0</v>
          </cell>
        </row>
        <row r="1951">
          <cell r="B1951">
            <v>0</v>
          </cell>
          <cell r="C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</row>
        <row r="1952"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</row>
        <row r="1953"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</row>
        <row r="1954"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</row>
        <row r="1955">
          <cell r="I1955">
            <v>0</v>
          </cell>
        </row>
        <row r="1956"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</row>
        <row r="1957">
          <cell r="B1957" t="str">
            <v>5.5</v>
          </cell>
          <cell r="C1957" t="str">
            <v>DESCRIPCION:</v>
          </cell>
          <cell r="D1957" t="e">
            <v>#N/A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</row>
        <row r="1958">
          <cell r="B1958" t="e">
            <v>#N/A</v>
          </cell>
          <cell r="C1958">
            <v>0</v>
          </cell>
          <cell r="D1958" t="str">
            <v>UNIDAD</v>
          </cell>
          <cell r="E1958" t="str">
            <v>M2</v>
          </cell>
          <cell r="F1958" t="str">
            <v>CANTIDAD</v>
          </cell>
          <cell r="G1958" t="e">
            <v>#N/A</v>
          </cell>
          <cell r="H1958" t="str">
            <v>V. UNITARIO:</v>
          </cell>
          <cell r="I1958">
            <v>22475</v>
          </cell>
        </row>
        <row r="1959"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</row>
        <row r="1960"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 t="str">
            <v>Tarifa/Hora</v>
          </cell>
          <cell r="G1960" t="str">
            <v>Rendimiento</v>
          </cell>
          <cell r="H1960" t="str">
            <v>Valor-Unit.</v>
          </cell>
          <cell r="I1960">
            <v>0</v>
          </cell>
        </row>
        <row r="1961">
          <cell r="B1961" t="str">
            <v>E018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B1962" t="str">
            <v>E013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</row>
        <row r="1963">
          <cell r="B1963" t="str">
            <v>E027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</row>
        <row r="1964"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 t="str">
            <v>Sub-Total</v>
          </cell>
          <cell r="G1964" t="str">
            <v>5.5</v>
          </cell>
          <cell r="H1964" t="str">
            <v>EQUI-5.5</v>
          </cell>
          <cell r="I1964">
            <v>0</v>
          </cell>
        </row>
        <row r="1965"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</row>
        <row r="1966">
          <cell r="B1966">
            <v>0</v>
          </cell>
          <cell r="C1966">
            <v>0</v>
          </cell>
          <cell r="D1966">
            <v>0</v>
          </cell>
          <cell r="E1966" t="str">
            <v>UNIDAD</v>
          </cell>
          <cell r="F1966" t="str">
            <v>V.UNIT</v>
          </cell>
          <cell r="G1966" t="str">
            <v>CANT</v>
          </cell>
          <cell r="H1966" t="str">
            <v>V.TOTAL</v>
          </cell>
          <cell r="I1966">
            <v>0</v>
          </cell>
        </row>
        <row r="1967">
          <cell r="B1967" t="str">
            <v>M066</v>
          </cell>
          <cell r="C1967" t="str">
            <v>GRAMA ZONA VERDE</v>
          </cell>
          <cell r="D1967">
            <v>0</v>
          </cell>
          <cell r="E1967" t="str">
            <v>M2</v>
          </cell>
          <cell r="F1967">
            <v>12000</v>
          </cell>
          <cell r="G1967">
            <v>1</v>
          </cell>
          <cell r="H1967">
            <v>12000</v>
          </cell>
          <cell r="I1967">
            <v>0</v>
          </cell>
        </row>
        <row r="1968">
          <cell r="B1968" t="str">
            <v>M005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</row>
        <row r="1969"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 t="str">
            <v>Sub-Total</v>
          </cell>
          <cell r="G1969" t="str">
            <v>5.5</v>
          </cell>
          <cell r="H1969" t="str">
            <v>MAT-5.5</v>
          </cell>
          <cell r="I1969">
            <v>12000</v>
          </cell>
        </row>
        <row r="1970"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</row>
        <row r="1971">
          <cell r="B1971">
            <v>0</v>
          </cell>
          <cell r="C1971">
            <v>0</v>
          </cell>
          <cell r="D1971" t="str">
            <v xml:space="preserve">CAN </v>
          </cell>
          <cell r="E1971" t="str">
            <v>DISTANCIA</v>
          </cell>
          <cell r="F1971" t="str">
            <v>M3-Km / UN-KM</v>
          </cell>
          <cell r="G1971" t="str">
            <v>TARIFA</v>
          </cell>
          <cell r="H1971" t="str">
            <v>Valor-Unit.</v>
          </cell>
          <cell r="I1971">
            <v>0</v>
          </cell>
        </row>
        <row r="1972"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</row>
        <row r="1973"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</row>
        <row r="1974"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 t="str">
            <v>Sub-Total</v>
          </cell>
          <cell r="G1974" t="str">
            <v>5.5</v>
          </cell>
          <cell r="H1974" t="str">
            <v>TRAN-5.5</v>
          </cell>
          <cell r="I1974">
            <v>0</v>
          </cell>
        </row>
        <row r="1975"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</row>
        <row r="1976">
          <cell r="B1976">
            <v>0</v>
          </cell>
          <cell r="C1976">
            <v>0</v>
          </cell>
          <cell r="D1976" t="str">
            <v>JORNAL-HORA</v>
          </cell>
          <cell r="E1976" t="str">
            <v>PRES</v>
          </cell>
          <cell r="F1976" t="str">
            <v>JORNAL TOTAL</v>
          </cell>
          <cell r="G1976" t="str">
            <v>RENDIEMIENTO</v>
          </cell>
          <cell r="H1976" t="str">
            <v>VALOR-UNIT</v>
          </cell>
          <cell r="I1976">
            <v>0</v>
          </cell>
        </row>
        <row r="1977">
          <cell r="B1977" t="str">
            <v>MO004</v>
          </cell>
          <cell r="C1977" t="str">
            <v>OFICIAL</v>
          </cell>
          <cell r="D1977">
            <v>10270.602514022436</v>
          </cell>
          <cell r="E1977">
            <v>0.56000000000000005</v>
          </cell>
          <cell r="F1977">
            <v>16022.139921875001</v>
          </cell>
          <cell r="G1977">
            <v>0.3</v>
          </cell>
          <cell r="H1977">
            <v>4806.6419765625005</v>
          </cell>
          <cell r="I1977">
            <v>0</v>
          </cell>
        </row>
        <row r="1978">
          <cell r="B1978" t="str">
            <v>MO005</v>
          </cell>
          <cell r="C1978" t="str">
            <v>AYUDANTE ENTENDIDO</v>
          </cell>
          <cell r="D1978">
            <v>6411.5899439102559</v>
          </cell>
          <cell r="E1978">
            <v>0.56000000000000005</v>
          </cell>
          <cell r="F1978">
            <v>10002.0803125</v>
          </cell>
          <cell r="G1978">
            <v>0.3</v>
          </cell>
          <cell r="H1978">
            <v>3000.6240937500002</v>
          </cell>
          <cell r="I1978">
            <v>0</v>
          </cell>
        </row>
        <row r="1979">
          <cell r="B1979" t="str">
            <v>MO006</v>
          </cell>
          <cell r="C1979" t="str">
            <v>AYUDANTE</v>
          </cell>
          <cell r="D1979">
            <v>4633.604176682692</v>
          </cell>
          <cell r="E1979">
            <v>0.56000000000000005</v>
          </cell>
          <cell r="F1979">
            <v>7228.4225156249995</v>
          </cell>
          <cell r="G1979">
            <v>0.3</v>
          </cell>
          <cell r="H1979">
            <v>2168.5267546874998</v>
          </cell>
          <cell r="I1979">
            <v>0</v>
          </cell>
        </row>
        <row r="1980"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</row>
        <row r="1981"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</row>
        <row r="1982"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</row>
        <row r="1983"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 t="str">
            <v>Sub-Total</v>
          </cell>
          <cell r="G1983" t="str">
            <v>5.5</v>
          </cell>
          <cell r="H1983" t="str">
            <v>MDEO-5.5</v>
          </cell>
          <cell r="I1983">
            <v>9975.7928250000004</v>
          </cell>
        </row>
        <row r="1984"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498.78964125000005</v>
          </cell>
        </row>
        <row r="1985"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 t="str">
            <v>Total Costo Directo</v>
          </cell>
          <cell r="G1985">
            <v>0</v>
          </cell>
          <cell r="H1985">
            <v>0</v>
          </cell>
          <cell r="I1985">
            <v>22475</v>
          </cell>
        </row>
        <row r="1986">
          <cell r="B1986">
            <v>0</v>
          </cell>
          <cell r="C1986">
            <v>0</v>
          </cell>
          <cell r="D1986">
            <v>0</v>
          </cell>
          <cell r="E1986" t="str">
            <v>PORCENTAJE</v>
          </cell>
          <cell r="F1986">
            <v>0</v>
          </cell>
          <cell r="G1986" t="str">
            <v>V. COSTO INDERECTO</v>
          </cell>
          <cell r="H1986">
            <v>0</v>
          </cell>
          <cell r="I1986">
            <v>0</v>
          </cell>
        </row>
        <row r="1987">
          <cell r="B1987">
            <v>0</v>
          </cell>
          <cell r="C1987">
            <v>0</v>
          </cell>
          <cell r="D1987">
            <v>0</v>
          </cell>
          <cell r="E1987">
            <v>0.02</v>
          </cell>
          <cell r="F1987">
            <v>0</v>
          </cell>
          <cell r="G1987">
            <v>449.5</v>
          </cell>
          <cell r="H1987">
            <v>0</v>
          </cell>
          <cell r="I1987">
            <v>0</v>
          </cell>
        </row>
        <row r="1988">
          <cell r="B1988">
            <v>0</v>
          </cell>
          <cell r="C1988">
            <v>0</v>
          </cell>
          <cell r="D1988">
            <v>0</v>
          </cell>
          <cell r="E1988">
            <v>0.23</v>
          </cell>
          <cell r="F1988">
            <v>0</v>
          </cell>
          <cell r="G1988">
            <v>5169.25</v>
          </cell>
          <cell r="H1988">
            <v>0</v>
          </cell>
          <cell r="I1988">
            <v>0</v>
          </cell>
        </row>
        <row r="1989">
          <cell r="B1989">
            <v>0</v>
          </cell>
          <cell r="C1989">
            <v>0</v>
          </cell>
          <cell r="D1989">
            <v>0</v>
          </cell>
          <cell r="E1989">
            <v>0.05</v>
          </cell>
          <cell r="F1989">
            <v>0</v>
          </cell>
          <cell r="G1989">
            <v>1123.75</v>
          </cell>
          <cell r="H1989">
            <v>0</v>
          </cell>
          <cell r="I1989">
            <v>0</v>
          </cell>
        </row>
        <row r="1990">
          <cell r="B1990">
            <v>0</v>
          </cell>
          <cell r="C1990">
            <v>0</v>
          </cell>
          <cell r="D1990">
            <v>0</v>
          </cell>
          <cell r="E1990">
            <v>0.02</v>
          </cell>
          <cell r="F1990">
            <v>0</v>
          </cell>
          <cell r="G1990">
            <v>449.5</v>
          </cell>
          <cell r="H1990">
            <v>0</v>
          </cell>
          <cell r="I1990">
            <v>0</v>
          </cell>
        </row>
        <row r="1991"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7192</v>
          </cell>
        </row>
        <row r="1992"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29667</v>
          </cell>
        </row>
        <row r="1993"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</row>
        <row r="1994"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 t="str">
            <v>REVISA</v>
          </cell>
          <cell r="G1994">
            <v>0</v>
          </cell>
          <cell r="H1994">
            <v>0</v>
          </cell>
          <cell r="I1994">
            <v>0</v>
          </cell>
        </row>
        <row r="1995"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 t="str">
            <v>FIRMA:</v>
          </cell>
          <cell r="G1995">
            <v>0</v>
          </cell>
          <cell r="H1995">
            <v>0</v>
          </cell>
          <cell r="I1995">
            <v>0</v>
          </cell>
        </row>
        <row r="1996">
          <cell r="B1996" t="str">
            <v>JHON EMIR GAMBOA MENA</v>
          </cell>
          <cell r="C1996">
            <v>0</v>
          </cell>
          <cell r="F1996" t="str">
            <v>NOMBRE</v>
          </cell>
          <cell r="G1996">
            <v>0</v>
          </cell>
          <cell r="H1996">
            <v>0</v>
          </cell>
          <cell r="I1996">
            <v>0</v>
          </cell>
        </row>
        <row r="1997">
          <cell r="B1997" t="str">
            <v>05202-316814 ANT</v>
          </cell>
          <cell r="C1997">
            <v>0</v>
          </cell>
          <cell r="F1997" t="str">
            <v>MAT:</v>
          </cell>
          <cell r="G1997">
            <v>0</v>
          </cell>
          <cell r="H1997">
            <v>0</v>
          </cell>
          <cell r="I1997">
            <v>0</v>
          </cell>
        </row>
        <row r="1998">
          <cell r="B1998">
            <v>0</v>
          </cell>
          <cell r="C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</row>
        <row r="1999"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</row>
        <row r="2000"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</row>
        <row r="2001"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FLUJO1"/>
      <sheetName val="APU1"/>
      <sheetName val="PRESUPUESTO (2)"/>
      <sheetName val="AIU Obra civil "/>
      <sheetName val="aiu insumos"/>
      <sheetName val="MEM"/>
      <sheetName val="PGIO"/>
      <sheetName val="PMT"/>
      <sheetName val="CRONOGRAMA "/>
      <sheetName val="MDEO ADMON"/>
      <sheetName val="prespuesto interventoria"/>
      <sheetName val="FACTOR MULTIPLICADOR"/>
      <sheetName val="PRESUPUESTO"/>
      <sheetName val="APU"/>
      <sheetName val="EQUI"/>
      <sheetName val="MAT1"/>
      <sheetName val="MAT2"/>
      <sheetName val="TRAN"/>
      <sheetName val="MDEO"/>
      <sheetName val="PRESTACION"/>
      <sheetName val="DIS APU"/>
      <sheetName val="CUADRO CANTIDADES"/>
      <sheetName val="ADMON INTERVENT"/>
      <sheetName val="POLIZAS"/>
      <sheetName val="ESPECIFICACION NORMA"/>
      <sheetName val="DOTACION"/>
      <sheetName val="ESQUE"/>
      <sheetName val="LOGOS SUB REGION"/>
      <sheetName val="NORMA INVIAS"/>
    </sheetNames>
    <sheetDataSet>
      <sheetData sheetId="0">
        <row r="6">
          <cell r="E6">
            <v>0</v>
          </cell>
        </row>
        <row r="10">
          <cell r="E10" t="str">
            <v>NOM_MUN</v>
          </cell>
          <cell r="F10" t="str">
            <v>DISTRITO DE TURBO</v>
          </cell>
          <cell r="G10">
            <v>0</v>
          </cell>
          <cell r="H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LOC_PRO</v>
          </cell>
          <cell r="F12" t="str">
            <v>BARRIOS, CIUDADELA INDUSTRIAL, LAS DELICIAS, JUAN XXIII, EL BOSQUE</v>
          </cell>
          <cell r="G12">
            <v>0</v>
          </cell>
          <cell r="H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NOM_PRO</v>
          </cell>
          <cell r="F14" t="str">
            <v>PAVIMENTA TU BARRIO</v>
          </cell>
          <cell r="G14">
            <v>0</v>
          </cell>
          <cell r="H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NORM</v>
          </cell>
          <cell r="F16" t="str">
            <v>INVIAS, RAS 2000, NORMAS EPM</v>
          </cell>
          <cell r="G16">
            <v>0</v>
          </cell>
          <cell r="H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 t="str">
            <v>FECHA</v>
          </cell>
          <cell r="F18">
            <v>44389</v>
          </cell>
          <cell r="G18">
            <v>0</v>
          </cell>
          <cell r="H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PROF_RESP</v>
          </cell>
          <cell r="F20" t="str">
            <v xml:space="preserve">ING MARIA LEONOR BLU DIAS </v>
          </cell>
          <cell r="G20">
            <v>0</v>
          </cell>
          <cell r="H20">
            <v>0</v>
          </cell>
        </row>
        <row r="21">
          <cell r="E21" t="str">
            <v>MAT:</v>
          </cell>
          <cell r="F21" t="str">
            <v>MP: 222202-301269 COR</v>
          </cell>
          <cell r="G21">
            <v>0</v>
          </cell>
          <cell r="H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</row>
      </sheetData>
      <sheetData sheetId="1"/>
      <sheetData sheetId="2">
        <row r="16">
          <cell r="B16" t="str">
            <v>1.1</v>
          </cell>
          <cell r="C16" t="str">
            <v>DESCRIPCION:</v>
          </cell>
          <cell r="D16" t="str">
            <v>LOCALIZACIÓN Y REPLANTEO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PAR_01</v>
          </cell>
          <cell r="C17">
            <v>0</v>
          </cell>
          <cell r="D17" t="str">
            <v>UNIDAD</v>
          </cell>
          <cell r="E17" t="str">
            <v>ML</v>
          </cell>
          <cell r="F17" t="str">
            <v>CANTIDAD</v>
          </cell>
          <cell r="G17">
            <v>9956</v>
          </cell>
          <cell r="H17" t="str">
            <v>V. UNITARIO:</v>
          </cell>
          <cell r="I17">
            <v>1393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>Tarifa/Hora</v>
          </cell>
          <cell r="G19" t="str">
            <v>Rendimiento</v>
          </cell>
          <cell r="H19" t="str">
            <v>Valor-Unit.</v>
          </cell>
          <cell r="I19">
            <v>0</v>
          </cell>
        </row>
        <row r="20">
          <cell r="B20" t="str">
            <v>E001</v>
          </cell>
          <cell r="C20" t="str">
            <v xml:space="preserve">ESTACION TOTAL LOCALIZACION </v>
          </cell>
          <cell r="D20">
            <v>0</v>
          </cell>
          <cell r="E20">
            <v>0</v>
          </cell>
          <cell r="F20">
            <v>80000</v>
          </cell>
          <cell r="G20">
            <v>8.3798882681564244E-3</v>
          </cell>
          <cell r="H20">
            <v>670.39106145251401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>Sub-Total</v>
          </cell>
          <cell r="G21" t="str">
            <v>1.1</v>
          </cell>
          <cell r="H21" t="str">
            <v>EQUI-1.1</v>
          </cell>
          <cell r="I21">
            <v>670.39106145251401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 t="str">
            <v>UNIDAD</v>
          </cell>
          <cell r="F23" t="str">
            <v>V.UNIT</v>
          </cell>
          <cell r="G23" t="str">
            <v>CANT</v>
          </cell>
          <cell r="H23" t="str">
            <v>V.TOTAL</v>
          </cell>
          <cell r="I23">
            <v>0</v>
          </cell>
        </row>
        <row r="24">
          <cell r="B24" t="str">
            <v>M001</v>
          </cell>
          <cell r="C24" t="str">
            <v>1/4 DE PINTURA</v>
          </cell>
          <cell r="D24">
            <v>0</v>
          </cell>
          <cell r="E24" t="str">
            <v>GL</v>
          </cell>
          <cell r="F24">
            <v>12500</v>
          </cell>
          <cell r="G24">
            <v>8.0000000000000002E-3</v>
          </cell>
          <cell r="H24">
            <v>100</v>
          </cell>
          <cell r="I24">
            <v>0</v>
          </cell>
        </row>
        <row r="25">
          <cell r="B25" t="str">
            <v>M008</v>
          </cell>
          <cell r="C25" t="str">
            <v>CLAVO COMUN 2</v>
          </cell>
          <cell r="D25">
            <v>0</v>
          </cell>
          <cell r="E25" t="str">
            <v>LB</v>
          </cell>
          <cell r="F25">
            <v>2300</v>
          </cell>
          <cell r="G25">
            <v>0.01</v>
          </cell>
          <cell r="H25">
            <v>23</v>
          </cell>
          <cell r="I25">
            <v>0</v>
          </cell>
        </row>
        <row r="26">
          <cell r="B26" t="str">
            <v>M019</v>
          </cell>
          <cell r="C26" t="str">
            <v>LISTON 2*2 MADERA TIPO CHOIVA</v>
          </cell>
          <cell r="D26">
            <v>0</v>
          </cell>
          <cell r="E26" t="str">
            <v>UNIDAD</v>
          </cell>
          <cell r="F26">
            <v>10000</v>
          </cell>
          <cell r="G26">
            <v>3.0000000000000001E-3</v>
          </cell>
          <cell r="H26">
            <v>30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>Sub-Total</v>
          </cell>
          <cell r="G27" t="str">
            <v>1.1</v>
          </cell>
          <cell r="H27" t="str">
            <v>MAT-1.1</v>
          </cell>
          <cell r="I27">
            <v>153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0</v>
          </cell>
          <cell r="C29">
            <v>0</v>
          </cell>
          <cell r="D29" t="str">
            <v xml:space="preserve">CAN </v>
          </cell>
          <cell r="E29" t="str">
            <v>DISTANCIA</v>
          </cell>
          <cell r="F29" t="str">
            <v>M3-Km / UN-KM</v>
          </cell>
          <cell r="G29" t="str">
            <v>TARIFA</v>
          </cell>
          <cell r="H29" t="str">
            <v>Valor-Unit.</v>
          </cell>
          <cell r="I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>Sub-Total</v>
          </cell>
          <cell r="G31" t="str">
            <v>1.1</v>
          </cell>
          <cell r="H31" t="str">
            <v>TRAN-1.1</v>
          </cell>
          <cell r="I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0</v>
          </cell>
          <cell r="C33">
            <v>0</v>
          </cell>
          <cell r="D33" t="str">
            <v>JORNAL-HORA</v>
          </cell>
          <cell r="E33" t="str">
            <v>PRES</v>
          </cell>
          <cell r="F33" t="str">
            <v>Jornal Total</v>
          </cell>
          <cell r="G33" t="str">
            <v>Rendimiento</v>
          </cell>
          <cell r="H33" t="str">
            <v>Valor-Unit.</v>
          </cell>
          <cell r="I33">
            <v>0</v>
          </cell>
        </row>
        <row r="34">
          <cell r="B34" t="str">
            <v>MO001</v>
          </cell>
          <cell r="C34" t="str">
            <v>TOPOGRAFO</v>
          </cell>
          <cell r="D34">
            <v>14408.036152500003</v>
          </cell>
          <cell r="E34">
            <v>0</v>
          </cell>
          <cell r="F34">
            <v>14408.036152500003</v>
          </cell>
          <cell r="G34">
            <v>2.5000000000000001E-2</v>
          </cell>
          <cell r="H34">
            <v>360.20090381250009</v>
          </cell>
          <cell r="I34">
            <v>0</v>
          </cell>
        </row>
        <row r="35">
          <cell r="B35" t="str">
            <v>MO002</v>
          </cell>
          <cell r="C35" t="str">
            <v>CADENERO 1</v>
          </cell>
          <cell r="D35">
            <v>12710.935458055557</v>
          </cell>
          <cell r="E35">
            <v>0</v>
          </cell>
          <cell r="F35">
            <v>12710.935458055557</v>
          </cell>
          <cell r="G35">
            <v>8.3798882681564244E-3</v>
          </cell>
          <cell r="H35">
            <v>106.51621892225327</v>
          </cell>
          <cell r="I35">
            <v>0</v>
          </cell>
        </row>
        <row r="36">
          <cell r="B36" t="str">
            <v>MO003</v>
          </cell>
          <cell r="C36" t="str">
            <v>CADENERO 2</v>
          </cell>
          <cell r="D36">
            <v>9090.4302079166664</v>
          </cell>
          <cell r="E36">
            <v>0</v>
          </cell>
          <cell r="F36">
            <v>9090.4302079166664</v>
          </cell>
          <cell r="G36">
            <v>8.3798882681564244E-3</v>
          </cell>
          <cell r="H36">
            <v>76.176789451815637</v>
          </cell>
          <cell r="I36">
            <v>0</v>
          </cell>
        </row>
        <row r="37">
          <cell r="B37" t="str">
            <v>MO007</v>
          </cell>
          <cell r="C37" t="str">
            <v>CONTRAMAESTRO</v>
          </cell>
          <cell r="D37">
            <v>12710.935458055557</v>
          </cell>
          <cell r="E37">
            <v>0</v>
          </cell>
          <cell r="F37">
            <v>12710.935458055557</v>
          </cell>
          <cell r="G37">
            <v>2.5000000000000005E-3</v>
          </cell>
          <cell r="H37">
            <v>31.777338645138901</v>
          </cell>
          <cell r="I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>Sub-Total</v>
          </cell>
          <cell r="G38" t="str">
            <v>1.1</v>
          </cell>
          <cell r="H38" t="str">
            <v>MDEO-1.1</v>
          </cell>
          <cell r="I38">
            <v>542.89391218656897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27.144695609328451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>Total Costo Directo</v>
          </cell>
          <cell r="G40">
            <v>0</v>
          </cell>
          <cell r="H40">
            <v>0</v>
          </cell>
          <cell r="I40">
            <v>1393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 t="str">
            <v>REVISA</v>
          </cell>
          <cell r="G42">
            <v>0</v>
          </cell>
          <cell r="H42">
            <v>0</v>
          </cell>
          <cell r="I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 t="str">
            <v>FIRMA: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 xml:space="preserve">ING MARIA LEONOR BLU DIAS </v>
          </cell>
          <cell r="C44">
            <v>0</v>
          </cell>
          <cell r="D44">
            <v>0</v>
          </cell>
          <cell r="E44">
            <v>0</v>
          </cell>
          <cell r="F44" t="str">
            <v>NOMBRE</v>
          </cell>
          <cell r="G44">
            <v>0</v>
          </cell>
          <cell r="H44">
            <v>0</v>
          </cell>
          <cell r="I44">
            <v>0</v>
          </cell>
        </row>
        <row r="45">
          <cell r="B45" t="str">
            <v>MP: 222202-301269 COR</v>
          </cell>
          <cell r="C45">
            <v>0</v>
          </cell>
          <cell r="D45">
            <v>0</v>
          </cell>
          <cell r="E45">
            <v>0</v>
          </cell>
          <cell r="F45" t="str">
            <v>MAT: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1.2</v>
          </cell>
          <cell r="C51" t="str">
            <v>DESCRIPCION:</v>
          </cell>
          <cell r="D51" t="str">
            <v>DEMOLICIÓN , ANDENES, BORDILLOS DE CONCRETO CONCRETOS EXISTENTES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 t="str">
            <v>201.3-13</v>
          </cell>
          <cell r="C52">
            <v>0</v>
          </cell>
          <cell r="D52" t="str">
            <v>UNIDAD</v>
          </cell>
          <cell r="E52" t="str">
            <v>M2</v>
          </cell>
          <cell r="F52" t="str">
            <v>CANTIDAD</v>
          </cell>
          <cell r="G52">
            <v>4794</v>
          </cell>
          <cell r="H52" t="str">
            <v>V. UNITARIO:</v>
          </cell>
          <cell r="I52">
            <v>21728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>Tarifa/Hora</v>
          </cell>
          <cell r="G54" t="str">
            <v>Rendimiento</v>
          </cell>
          <cell r="H54" t="str">
            <v>Valor-Unit.</v>
          </cell>
          <cell r="I54">
            <v>0</v>
          </cell>
        </row>
        <row r="55">
          <cell r="B55" t="str">
            <v>E024</v>
          </cell>
          <cell r="C55" t="str">
            <v>MINICARDOR</v>
          </cell>
          <cell r="D55">
            <v>0</v>
          </cell>
          <cell r="E55">
            <v>0</v>
          </cell>
          <cell r="F55">
            <v>80000</v>
          </cell>
          <cell r="G55">
            <v>0.16</v>
          </cell>
          <cell r="H55">
            <v>12800</v>
          </cell>
          <cell r="I55">
            <v>0</v>
          </cell>
        </row>
        <row r="56">
          <cell r="B56" t="str">
            <v>E009</v>
          </cell>
          <cell r="C56" t="str">
            <v>MARITLLO DEMLEDOR MINICARGADOR</v>
          </cell>
          <cell r="D56">
            <v>0</v>
          </cell>
          <cell r="E56">
            <v>0</v>
          </cell>
          <cell r="F56">
            <v>20000</v>
          </cell>
          <cell r="G56">
            <v>0.16</v>
          </cell>
          <cell r="H56">
            <v>3200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>Sub-Total</v>
          </cell>
          <cell r="G57" t="str">
            <v>1.2</v>
          </cell>
          <cell r="H57" t="str">
            <v>EQUI-1.2</v>
          </cell>
          <cell r="I57">
            <v>16000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 t="str">
            <v>UNIDAD</v>
          </cell>
          <cell r="F59" t="str">
            <v>V.UNIT</v>
          </cell>
          <cell r="G59" t="str">
            <v>CANT</v>
          </cell>
          <cell r="H59" t="str">
            <v>V.TOTAL</v>
          </cell>
          <cell r="I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>Sub-Total</v>
          </cell>
          <cell r="G61" t="str">
            <v>1.2</v>
          </cell>
          <cell r="H61" t="str">
            <v>MAT-1.2</v>
          </cell>
          <cell r="I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>
            <v>0</v>
          </cell>
          <cell r="C63">
            <v>0</v>
          </cell>
          <cell r="D63" t="str">
            <v xml:space="preserve">CAN </v>
          </cell>
          <cell r="E63" t="str">
            <v>DISTANCIA</v>
          </cell>
          <cell r="F63" t="str">
            <v>M3-Km / UN-KM</v>
          </cell>
          <cell r="G63" t="str">
            <v>TARIFA</v>
          </cell>
          <cell r="H63" t="str">
            <v>Valor-Unit.</v>
          </cell>
          <cell r="I63">
            <v>0</v>
          </cell>
        </row>
        <row r="64">
          <cell r="B64" t="str">
            <v>T004</v>
          </cell>
          <cell r="C64" t="str">
            <v>TRANS MAT SOBRANTE 0-5KM</v>
          </cell>
          <cell r="D64">
            <v>0.1</v>
          </cell>
          <cell r="E64">
            <v>5</v>
          </cell>
          <cell r="F64">
            <v>0.5</v>
          </cell>
          <cell r="G64">
            <v>2000</v>
          </cell>
          <cell r="H64">
            <v>1000</v>
          </cell>
          <cell r="I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>Sub-Total</v>
          </cell>
          <cell r="G65" t="str">
            <v>1.2</v>
          </cell>
          <cell r="H65" t="str">
            <v>TRAN-1.2</v>
          </cell>
          <cell r="I65">
            <v>1000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B67">
            <v>0</v>
          </cell>
          <cell r="C67">
            <v>0</v>
          </cell>
          <cell r="D67" t="str">
            <v>JORNAL-HORA</v>
          </cell>
          <cell r="E67" t="str">
            <v>PRES</v>
          </cell>
          <cell r="F67" t="str">
            <v>Jornal Total</v>
          </cell>
          <cell r="G67" t="str">
            <v>Rendimiento</v>
          </cell>
          <cell r="H67" t="str">
            <v>Valor-Unit.</v>
          </cell>
          <cell r="I67">
            <v>0</v>
          </cell>
        </row>
        <row r="68">
          <cell r="B68" t="str">
            <v>MO004</v>
          </cell>
          <cell r="C68" t="str">
            <v>OFICIAL ENTUBADOR</v>
          </cell>
          <cell r="D68">
            <v>10290.430207916666</v>
          </cell>
          <cell r="E68">
            <v>0</v>
          </cell>
          <cell r="F68">
            <v>10290.430207916666</v>
          </cell>
          <cell r="G68">
            <v>0.16</v>
          </cell>
          <cell r="H68">
            <v>1646.4688332666667</v>
          </cell>
          <cell r="I68">
            <v>0</v>
          </cell>
        </row>
        <row r="69">
          <cell r="B69" t="str">
            <v>MO005</v>
          </cell>
          <cell r="C69" t="str">
            <v>AYUDANTE ENTENDIDO PAV</v>
          </cell>
          <cell r="D69">
            <v>9090.4302079166664</v>
          </cell>
          <cell r="E69">
            <v>0</v>
          </cell>
          <cell r="F69">
            <v>9090.4302079166664</v>
          </cell>
          <cell r="G69">
            <v>0</v>
          </cell>
          <cell r="H69">
            <v>0</v>
          </cell>
          <cell r="I69">
            <v>0</v>
          </cell>
        </row>
        <row r="70">
          <cell r="B70" t="str">
            <v>MO006</v>
          </cell>
          <cell r="C70" t="str">
            <v>AYUDANTE ENTUBADOR</v>
          </cell>
          <cell r="D70">
            <v>8290.4302079166664</v>
          </cell>
          <cell r="E70">
            <v>0</v>
          </cell>
          <cell r="F70">
            <v>8290.4302079166664</v>
          </cell>
          <cell r="G70">
            <v>0.32</v>
          </cell>
          <cell r="H70">
            <v>2652.9376665333334</v>
          </cell>
          <cell r="I70">
            <v>0</v>
          </cell>
        </row>
        <row r="71">
          <cell r="B71" t="str">
            <v>MO007</v>
          </cell>
          <cell r="C71" t="str">
            <v>CONTRAMAESTRO</v>
          </cell>
          <cell r="D71">
            <v>12710.935458055557</v>
          </cell>
          <cell r="E71">
            <v>0</v>
          </cell>
          <cell r="F71">
            <v>12710.935458055557</v>
          </cell>
          <cell r="G71">
            <v>1.6E-2</v>
          </cell>
          <cell r="H71">
            <v>203.37496732888891</v>
          </cell>
          <cell r="I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 t="str">
            <v>Sub-Total</v>
          </cell>
          <cell r="G72" t="str">
            <v>1.2</v>
          </cell>
          <cell r="H72" t="str">
            <v>MDEO-1.2</v>
          </cell>
          <cell r="I72">
            <v>4502.7814671288888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225.13907335644444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 t="str">
            <v>Total Costo Directo</v>
          </cell>
          <cell r="G74">
            <v>0</v>
          </cell>
          <cell r="H74">
            <v>0</v>
          </cell>
          <cell r="I74">
            <v>21728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 t="str">
            <v>REVISA</v>
          </cell>
          <cell r="G76">
            <v>0</v>
          </cell>
          <cell r="H76">
            <v>0</v>
          </cell>
          <cell r="I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 t="str">
            <v>FIRMA:</v>
          </cell>
          <cell r="G77">
            <v>0</v>
          </cell>
          <cell r="H77">
            <v>0</v>
          </cell>
          <cell r="I77">
            <v>0</v>
          </cell>
        </row>
        <row r="78">
          <cell r="B78" t="str">
            <v xml:space="preserve">ING MARIA LEONOR BLU DIAS </v>
          </cell>
          <cell r="C78">
            <v>0</v>
          </cell>
          <cell r="D78">
            <v>0</v>
          </cell>
          <cell r="E78">
            <v>0</v>
          </cell>
          <cell r="F78" t="str">
            <v>NOMBRE</v>
          </cell>
          <cell r="G78">
            <v>0</v>
          </cell>
          <cell r="H78">
            <v>0</v>
          </cell>
          <cell r="I78">
            <v>0</v>
          </cell>
        </row>
        <row r="79">
          <cell r="B79" t="str">
            <v>MP: 222202-301269 COR</v>
          </cell>
          <cell r="C79">
            <v>0</v>
          </cell>
          <cell r="D79">
            <v>0</v>
          </cell>
          <cell r="E79">
            <v>0</v>
          </cell>
          <cell r="F79" t="str">
            <v>MAT:</v>
          </cell>
          <cell r="G79">
            <v>0</v>
          </cell>
          <cell r="H79">
            <v>0</v>
          </cell>
          <cell r="I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2.1</v>
          </cell>
          <cell r="C85" t="str">
            <v>DESCRIPCION:</v>
          </cell>
          <cell r="D85" t="str">
            <v xml:space="preserve">EXCAVACIONES VARIAS EN MATERIAL COMUN 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600.2.3-13</v>
          </cell>
          <cell r="C86">
            <v>0</v>
          </cell>
          <cell r="D86" t="str">
            <v>UNIDAD</v>
          </cell>
          <cell r="E86" t="str">
            <v>M3</v>
          </cell>
          <cell r="F86" t="str">
            <v>CANTIDAD</v>
          </cell>
          <cell r="G86">
            <v>5114</v>
          </cell>
          <cell r="H86" t="str">
            <v>V. UNITARIO:</v>
          </cell>
          <cell r="I86">
            <v>26684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 t="str">
            <v>Tarifa/Hora</v>
          </cell>
          <cell r="G88" t="str">
            <v>Rendimiento</v>
          </cell>
          <cell r="H88" t="str">
            <v>Valor-Unit.</v>
          </cell>
          <cell r="I88">
            <v>0</v>
          </cell>
        </row>
        <row r="89">
          <cell r="B89" t="str">
            <v>E003</v>
          </cell>
          <cell r="C89" t="str">
            <v>RETROCARGADOR</v>
          </cell>
          <cell r="D89">
            <v>0</v>
          </cell>
          <cell r="E89">
            <v>0</v>
          </cell>
          <cell r="F89">
            <v>120000</v>
          </cell>
          <cell r="G89">
            <v>0.18</v>
          </cell>
          <cell r="H89">
            <v>21600</v>
          </cell>
          <cell r="I89">
            <v>0</v>
          </cell>
        </row>
        <row r="90">
          <cell r="B90" t="str">
            <v>E031</v>
          </cell>
          <cell r="C90" t="str">
            <v>MOTOBOMBA</v>
          </cell>
          <cell r="D90">
            <v>0</v>
          </cell>
          <cell r="E90">
            <v>0</v>
          </cell>
          <cell r="F90">
            <v>7400</v>
          </cell>
          <cell r="G90">
            <v>0.18</v>
          </cell>
          <cell r="H90">
            <v>1332</v>
          </cell>
          <cell r="I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>Sub-Total</v>
          </cell>
          <cell r="G91" t="str">
            <v>2.1</v>
          </cell>
          <cell r="H91" t="str">
            <v>EQUI-2.1</v>
          </cell>
          <cell r="I91">
            <v>22932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 t="str">
            <v>UNIDAD</v>
          </cell>
          <cell r="F93" t="str">
            <v>V.UNIT</v>
          </cell>
          <cell r="G93" t="str">
            <v>CANT</v>
          </cell>
          <cell r="H93" t="str">
            <v>V.TOTAL</v>
          </cell>
          <cell r="I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>Sub-Total</v>
          </cell>
          <cell r="G95" t="str">
            <v>2.1</v>
          </cell>
          <cell r="H95" t="str">
            <v>MAT-2.1</v>
          </cell>
          <cell r="I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B97">
            <v>0</v>
          </cell>
          <cell r="C97">
            <v>0</v>
          </cell>
          <cell r="D97" t="str">
            <v xml:space="preserve">CAN </v>
          </cell>
          <cell r="E97" t="str">
            <v>DISTANCIA</v>
          </cell>
          <cell r="F97" t="str">
            <v>M3-Km / UN-KM</v>
          </cell>
          <cell r="G97" t="str">
            <v>TARIFA</v>
          </cell>
          <cell r="H97" t="str">
            <v>Valor-Unit.</v>
          </cell>
          <cell r="I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>Sub-Total</v>
          </cell>
          <cell r="G99" t="str">
            <v>2.1</v>
          </cell>
          <cell r="H99" t="str">
            <v>TRAN-2.1</v>
          </cell>
          <cell r="I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B101">
            <v>0</v>
          </cell>
          <cell r="C101">
            <v>0</v>
          </cell>
          <cell r="D101" t="str">
            <v>JORNAL-HORA</v>
          </cell>
          <cell r="E101" t="str">
            <v>PRES</v>
          </cell>
          <cell r="F101" t="str">
            <v>Jornal Total</v>
          </cell>
          <cell r="G101" t="str">
            <v>Rendimiento</v>
          </cell>
          <cell r="H101" t="str">
            <v>Valor-Unit.</v>
          </cell>
          <cell r="I101">
            <v>0</v>
          </cell>
        </row>
        <row r="102">
          <cell r="B102" t="str">
            <v>MO004</v>
          </cell>
          <cell r="C102" t="str">
            <v>OFICIAL ENTUBADOR</v>
          </cell>
          <cell r="D102">
            <v>10290.430207916666</v>
          </cell>
          <cell r="E102">
            <v>0</v>
          </cell>
          <cell r="F102">
            <v>10290.430207916666</v>
          </cell>
          <cell r="G102">
            <v>0.18</v>
          </cell>
          <cell r="H102">
            <v>1852.2774374249998</v>
          </cell>
          <cell r="I102">
            <v>0</v>
          </cell>
        </row>
        <row r="103">
          <cell r="B103" t="str">
            <v>MO005</v>
          </cell>
          <cell r="C103" t="str">
            <v>AYUDANTE ENTENDIDO PAV</v>
          </cell>
          <cell r="D103">
            <v>9090.4302079166664</v>
          </cell>
          <cell r="E103">
            <v>0</v>
          </cell>
          <cell r="F103">
            <v>9090.4302079166664</v>
          </cell>
          <cell r="G103">
            <v>0</v>
          </cell>
          <cell r="H103">
            <v>0</v>
          </cell>
          <cell r="I103">
            <v>0</v>
          </cell>
        </row>
        <row r="104">
          <cell r="B104" t="str">
            <v>MO006</v>
          </cell>
          <cell r="C104" t="str">
            <v>AYUDANTE ENTUBADOR</v>
          </cell>
          <cell r="D104">
            <v>8290.4302079166664</v>
          </cell>
          <cell r="E104">
            <v>0</v>
          </cell>
          <cell r="F104">
            <v>8290.4302079166664</v>
          </cell>
          <cell r="G104">
            <v>0.18</v>
          </cell>
          <cell r="H104">
            <v>1492.2774374249998</v>
          </cell>
          <cell r="I104">
            <v>0</v>
          </cell>
        </row>
        <row r="105">
          <cell r="B105" t="str">
            <v>MO007</v>
          </cell>
          <cell r="C105" t="str">
            <v>CONTRAMAESTRO</v>
          </cell>
          <cell r="D105">
            <v>12710.935458055557</v>
          </cell>
          <cell r="E105">
            <v>0</v>
          </cell>
          <cell r="F105">
            <v>12710.935458055557</v>
          </cell>
          <cell r="G105">
            <v>1.7999999999999999E-2</v>
          </cell>
          <cell r="H105">
            <v>228.796838245</v>
          </cell>
          <cell r="I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 t="str">
            <v>Sub-Total</v>
          </cell>
          <cell r="G107" t="str">
            <v>2.1</v>
          </cell>
          <cell r="H107" t="str">
            <v>MDEO-2.1</v>
          </cell>
          <cell r="I107">
            <v>3573.3517130949995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178.66758565474998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Total Costo Directo</v>
          </cell>
          <cell r="G109">
            <v>0</v>
          </cell>
          <cell r="H109">
            <v>0</v>
          </cell>
          <cell r="I109">
            <v>26684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 t="str">
            <v>REVISA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FIRMA:</v>
          </cell>
          <cell r="G112">
            <v>0</v>
          </cell>
          <cell r="H112">
            <v>0</v>
          </cell>
          <cell r="I112">
            <v>0</v>
          </cell>
        </row>
        <row r="113">
          <cell r="B113" t="str">
            <v xml:space="preserve">ING MARIA LEONOR BLU DIAS </v>
          </cell>
          <cell r="C113">
            <v>0</v>
          </cell>
          <cell r="D113">
            <v>0</v>
          </cell>
          <cell r="E113">
            <v>0</v>
          </cell>
          <cell r="F113" t="str">
            <v>NOMBRE</v>
          </cell>
          <cell r="G113">
            <v>0</v>
          </cell>
          <cell r="H113">
            <v>0</v>
          </cell>
          <cell r="I113">
            <v>0</v>
          </cell>
        </row>
        <row r="114">
          <cell r="B114" t="str">
            <v>MP: 222202-301269 COR</v>
          </cell>
          <cell r="C114">
            <v>0</v>
          </cell>
          <cell r="D114">
            <v>0</v>
          </cell>
          <cell r="E114">
            <v>0</v>
          </cell>
          <cell r="F114" t="str">
            <v>MAT:</v>
          </cell>
          <cell r="G114">
            <v>0</v>
          </cell>
          <cell r="H114">
            <v>0</v>
          </cell>
          <cell r="I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 t="str">
            <v>2.2</v>
          </cell>
          <cell r="C121" t="str">
            <v>DESCRIPCION:</v>
          </cell>
          <cell r="D121" t="str">
            <v>TRANSPORTE DE MATERIAL PROVENIENTE DE EXCAVACION HASTA 10 KM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B122" t="str">
            <v>900.2-13</v>
          </cell>
          <cell r="C122">
            <v>0</v>
          </cell>
          <cell r="D122" t="str">
            <v>UNIDAD</v>
          </cell>
          <cell r="E122" t="str">
            <v>m3</v>
          </cell>
          <cell r="F122" t="str">
            <v>CANTIDAD</v>
          </cell>
          <cell r="G122">
            <v>9434</v>
          </cell>
          <cell r="H122" t="str">
            <v>V. UNITARIO:</v>
          </cell>
          <cell r="I122">
            <v>13151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Tarifa/Hora</v>
          </cell>
          <cell r="G124" t="str">
            <v>Rendimiento</v>
          </cell>
          <cell r="H124" t="str">
            <v>Valor-Unit.</v>
          </cell>
          <cell r="I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 t="str">
            <v>Sub-Total</v>
          </cell>
          <cell r="G126" t="str">
            <v>2.2</v>
          </cell>
          <cell r="H126" t="str">
            <v>EQUI-2.2</v>
          </cell>
          <cell r="I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 t="str">
            <v>UNIDAD</v>
          </cell>
          <cell r="F128" t="str">
            <v>V.UNIT</v>
          </cell>
          <cell r="G128" t="str">
            <v>CANT</v>
          </cell>
          <cell r="H128" t="str">
            <v>V.TOTAL</v>
          </cell>
          <cell r="I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 t="str">
            <v>Sub-Total</v>
          </cell>
          <cell r="G130" t="str">
            <v>2.2</v>
          </cell>
          <cell r="H130" t="str">
            <v>MAT-2.2</v>
          </cell>
          <cell r="I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B132">
            <v>0</v>
          </cell>
          <cell r="C132">
            <v>0</v>
          </cell>
          <cell r="D132" t="str">
            <v xml:space="preserve">CAN </v>
          </cell>
          <cell r="E132" t="str">
            <v>DISTANCIA</v>
          </cell>
          <cell r="F132" t="str">
            <v>M3-Km / UN-KM</v>
          </cell>
          <cell r="G132" t="str">
            <v>TARIFA</v>
          </cell>
          <cell r="H132" t="str">
            <v>Valor-Unit.</v>
          </cell>
          <cell r="I132">
            <v>0</v>
          </cell>
        </row>
        <row r="133">
          <cell r="B133" t="str">
            <v>T004</v>
          </cell>
          <cell r="C133" t="str">
            <v>TRANS MAT SOBRANTE 0-5KM</v>
          </cell>
          <cell r="D133">
            <v>1.3</v>
          </cell>
          <cell r="E133">
            <v>5</v>
          </cell>
          <cell r="F133">
            <v>6.5</v>
          </cell>
          <cell r="G133">
            <v>2000</v>
          </cell>
          <cell r="H133">
            <v>13000</v>
          </cell>
          <cell r="I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 t="str">
            <v>Sub-Total</v>
          </cell>
          <cell r="G134" t="str">
            <v>2.2</v>
          </cell>
          <cell r="H134" t="str">
            <v>TRAN-2.2</v>
          </cell>
          <cell r="I134">
            <v>13000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B136">
            <v>0</v>
          </cell>
          <cell r="C136">
            <v>0</v>
          </cell>
          <cell r="D136" t="str">
            <v>JORNAL-HORA</v>
          </cell>
          <cell r="E136" t="str">
            <v>PRES</v>
          </cell>
          <cell r="F136" t="str">
            <v>Jornal Total</v>
          </cell>
          <cell r="G136" t="str">
            <v>Rendimiento</v>
          </cell>
          <cell r="H136" t="str">
            <v>Valor-Unit.</v>
          </cell>
          <cell r="I136">
            <v>0</v>
          </cell>
        </row>
        <row r="137">
          <cell r="B137" t="str">
            <v>MO004</v>
          </cell>
          <cell r="C137" t="str">
            <v>OFICIAL ENTUBADOR</v>
          </cell>
          <cell r="D137">
            <v>10290.430207916666</v>
          </cell>
          <cell r="E137">
            <v>0</v>
          </cell>
          <cell r="F137">
            <v>10290.430207916666</v>
          </cell>
          <cell r="G137">
            <v>0</v>
          </cell>
          <cell r="H137">
            <v>0</v>
          </cell>
          <cell r="I137">
            <v>0</v>
          </cell>
        </row>
        <row r="138">
          <cell r="B138" t="str">
            <v>MO005</v>
          </cell>
          <cell r="C138" t="str">
            <v>AYUDANTE ENTENDIDO PAV</v>
          </cell>
          <cell r="D138">
            <v>9090.4302079166664</v>
          </cell>
          <cell r="E138">
            <v>0</v>
          </cell>
          <cell r="F138">
            <v>9090.4302079166664</v>
          </cell>
          <cell r="G138">
            <v>0</v>
          </cell>
          <cell r="H138">
            <v>0</v>
          </cell>
          <cell r="I138">
            <v>0</v>
          </cell>
        </row>
        <row r="139">
          <cell r="B139" t="str">
            <v>MO006</v>
          </cell>
          <cell r="C139" t="str">
            <v>AYUDANTE ENTUBADOR</v>
          </cell>
          <cell r="D139">
            <v>8290.4302079166664</v>
          </cell>
          <cell r="E139">
            <v>0</v>
          </cell>
          <cell r="F139">
            <v>8290.4302079166664</v>
          </cell>
          <cell r="G139">
            <v>1.4999999999999999E-2</v>
          </cell>
          <cell r="H139">
            <v>124.35645311875</v>
          </cell>
          <cell r="I139">
            <v>0</v>
          </cell>
        </row>
        <row r="140">
          <cell r="B140" t="str">
            <v>MO007</v>
          </cell>
          <cell r="C140" t="str">
            <v>CONTRAMAESTRO</v>
          </cell>
          <cell r="D140">
            <v>12710.935458055557</v>
          </cell>
          <cell r="E140">
            <v>0</v>
          </cell>
          <cell r="F140">
            <v>12710.935458055557</v>
          </cell>
          <cell r="G140">
            <v>1.5E-3</v>
          </cell>
          <cell r="H140">
            <v>19.066403187083335</v>
          </cell>
          <cell r="I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 t="str">
            <v>Sub-Total</v>
          </cell>
          <cell r="G142" t="str">
            <v>2.2</v>
          </cell>
          <cell r="H142" t="str">
            <v>MDEO-2.2</v>
          </cell>
          <cell r="I142">
            <v>143.42285630583333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7.1711428152916667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 t="str">
            <v>Total Costo Directo</v>
          </cell>
          <cell r="G144">
            <v>0</v>
          </cell>
          <cell r="H144">
            <v>0</v>
          </cell>
          <cell r="I144">
            <v>13151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 t="str">
            <v>REVISA</v>
          </cell>
          <cell r="G145">
            <v>0</v>
          </cell>
          <cell r="H145">
            <v>0</v>
          </cell>
          <cell r="I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 t="str">
            <v>FIRMA: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 xml:space="preserve">ING MARIA LEONOR BLU DIAS </v>
          </cell>
          <cell r="C147">
            <v>0</v>
          </cell>
          <cell r="D147">
            <v>0</v>
          </cell>
          <cell r="E147">
            <v>0</v>
          </cell>
          <cell r="F147" t="str">
            <v>NOMBRE</v>
          </cell>
          <cell r="G147">
            <v>0</v>
          </cell>
          <cell r="H147">
            <v>0</v>
          </cell>
          <cell r="I147">
            <v>0</v>
          </cell>
        </row>
        <row r="148">
          <cell r="B148" t="str">
            <v>MP: 222202-301269 COR</v>
          </cell>
          <cell r="C148">
            <v>0</v>
          </cell>
          <cell r="D148">
            <v>0</v>
          </cell>
          <cell r="E148">
            <v>0</v>
          </cell>
          <cell r="F148" t="str">
            <v>MAT:</v>
          </cell>
          <cell r="G148">
            <v>0</v>
          </cell>
          <cell r="H148">
            <v>0</v>
          </cell>
          <cell r="I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B154" t="str">
            <v>2.3</v>
          </cell>
          <cell r="C154" t="str">
            <v>DESCRIPCION:</v>
          </cell>
          <cell r="D154" t="str">
            <v>REALCE DE VALVULA DE ACUEDUCTO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B155" t="str">
            <v>PAR_03</v>
          </cell>
          <cell r="C155">
            <v>0</v>
          </cell>
          <cell r="D155" t="str">
            <v>UNIDAD</v>
          </cell>
          <cell r="E155" t="str">
            <v>UNIDAD</v>
          </cell>
          <cell r="F155" t="str">
            <v>CANTIDAD</v>
          </cell>
          <cell r="G155">
            <v>4</v>
          </cell>
          <cell r="H155" t="str">
            <v>V. UNITARIO:</v>
          </cell>
          <cell r="I155">
            <v>131960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 t="str">
            <v>Tarifa/Hora</v>
          </cell>
          <cell r="G157" t="str">
            <v>Rendimiento</v>
          </cell>
          <cell r="H157" t="str">
            <v>Valor-Unit.</v>
          </cell>
          <cell r="I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 t="str">
            <v>Sub-Total</v>
          </cell>
          <cell r="G159" t="str">
            <v>2.3</v>
          </cell>
          <cell r="H159" t="str">
            <v>EQUI-2.3</v>
          </cell>
          <cell r="I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 t="str">
            <v>UNIDAD</v>
          </cell>
          <cell r="F161" t="str">
            <v>V.UNIT</v>
          </cell>
          <cell r="G161" t="str">
            <v>CANT</v>
          </cell>
          <cell r="H161" t="str">
            <v>V.TOTAL</v>
          </cell>
          <cell r="I161">
            <v>0</v>
          </cell>
        </row>
        <row r="162">
          <cell r="B162" t="str">
            <v>M020</v>
          </cell>
          <cell r="C162" t="str">
            <v>NIPLE 6"</v>
          </cell>
          <cell r="D162">
            <v>0</v>
          </cell>
          <cell r="E162" t="str">
            <v>Unidad</v>
          </cell>
          <cell r="F162">
            <v>100000</v>
          </cell>
          <cell r="G162">
            <v>1</v>
          </cell>
          <cell r="H162">
            <v>100000</v>
          </cell>
          <cell r="I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 t="str">
            <v>Sub-Total</v>
          </cell>
          <cell r="G163" t="str">
            <v>2.3</v>
          </cell>
          <cell r="H163" t="str">
            <v>MAT-2.3</v>
          </cell>
          <cell r="I163">
            <v>100000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B165">
            <v>0</v>
          </cell>
          <cell r="C165">
            <v>0</v>
          </cell>
          <cell r="D165" t="str">
            <v xml:space="preserve">CAN </v>
          </cell>
          <cell r="E165" t="str">
            <v>DISTANCIA</v>
          </cell>
          <cell r="F165" t="str">
            <v>M3-Km / UN-KM</v>
          </cell>
          <cell r="G165" t="str">
            <v>TARIFA</v>
          </cell>
          <cell r="H165" t="str">
            <v>Valor-Unit.</v>
          </cell>
          <cell r="I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 t="str">
            <v>Sub-Total</v>
          </cell>
          <cell r="G167" t="str">
            <v>2.3</v>
          </cell>
          <cell r="H167" t="str">
            <v>TRAN-2.3</v>
          </cell>
          <cell r="I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>
            <v>0</v>
          </cell>
          <cell r="C169">
            <v>0</v>
          </cell>
          <cell r="D169" t="str">
            <v>JORNAL-HORA</v>
          </cell>
          <cell r="E169" t="str">
            <v>PRES</v>
          </cell>
          <cell r="F169" t="str">
            <v>Jornal Total</v>
          </cell>
          <cell r="G169" t="str">
            <v>Rendimiento</v>
          </cell>
          <cell r="H169" t="str">
            <v>Valor-Unit.</v>
          </cell>
          <cell r="I169">
            <v>0</v>
          </cell>
        </row>
        <row r="170">
          <cell r="B170" t="str">
            <v>MO004</v>
          </cell>
          <cell r="C170" t="str">
            <v>OFICIAL ENTUBADOR</v>
          </cell>
          <cell r="D170">
            <v>10290.430207916666</v>
          </cell>
          <cell r="E170">
            <v>0</v>
          </cell>
          <cell r="F170">
            <v>10290.430207916666</v>
          </cell>
          <cell r="G170">
            <v>1.1000000000000001</v>
          </cell>
          <cell r="H170">
            <v>11319.473228708333</v>
          </cell>
          <cell r="I170">
            <v>0</v>
          </cell>
        </row>
        <row r="171">
          <cell r="B171" t="str">
            <v>MO005</v>
          </cell>
          <cell r="C171" t="str">
            <v>AYUDANTE ENTENDIDO PAV</v>
          </cell>
          <cell r="D171">
            <v>9090.4302079166664</v>
          </cell>
          <cell r="E171">
            <v>0</v>
          </cell>
          <cell r="F171">
            <v>9090.4302079166664</v>
          </cell>
          <cell r="G171">
            <v>1.1000000000000001</v>
          </cell>
          <cell r="H171">
            <v>9999.4732287083334</v>
          </cell>
          <cell r="I171">
            <v>0</v>
          </cell>
        </row>
        <row r="172">
          <cell r="B172" t="str">
            <v>MO006</v>
          </cell>
          <cell r="C172" t="str">
            <v>AYUDANTE ENTUBADOR</v>
          </cell>
          <cell r="D172">
            <v>8290.4302079166664</v>
          </cell>
          <cell r="E172">
            <v>0</v>
          </cell>
          <cell r="F172">
            <v>8290.4302079166664</v>
          </cell>
          <cell r="G172">
            <v>1.1000000000000001</v>
          </cell>
          <cell r="H172">
            <v>9119.4732287083334</v>
          </cell>
          <cell r="I172">
            <v>0</v>
          </cell>
        </row>
        <row r="173">
          <cell r="B173" t="str">
            <v>MO007</v>
          </cell>
          <cell r="C173" t="str">
            <v>CONTRAMAESTRO</v>
          </cell>
          <cell r="D173">
            <v>12710.935458055557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 t="str">
            <v>Sub-Total</v>
          </cell>
          <cell r="G175" t="str">
            <v>2.3</v>
          </cell>
          <cell r="H175" t="str">
            <v>MDEO-2.3</v>
          </cell>
          <cell r="I175">
            <v>30438.419686125002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1521.9209843062501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 t="str">
            <v>Total Costo Directo</v>
          </cell>
          <cell r="G177">
            <v>0</v>
          </cell>
          <cell r="H177">
            <v>0</v>
          </cell>
          <cell r="I177">
            <v>131960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 t="str">
            <v>REVISA</v>
          </cell>
          <cell r="G178">
            <v>0</v>
          </cell>
          <cell r="H178">
            <v>0</v>
          </cell>
          <cell r="I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 t="str">
            <v>FIRMA:</v>
          </cell>
          <cell r="G179">
            <v>0</v>
          </cell>
          <cell r="H179">
            <v>0</v>
          </cell>
          <cell r="I179">
            <v>0</v>
          </cell>
        </row>
        <row r="180">
          <cell r="B180" t="str">
            <v xml:space="preserve">ING MARIA LEONOR BLU DIAS </v>
          </cell>
          <cell r="C180">
            <v>0</v>
          </cell>
          <cell r="D180">
            <v>0</v>
          </cell>
          <cell r="E180">
            <v>0</v>
          </cell>
          <cell r="F180" t="str">
            <v>NOMBRE</v>
          </cell>
          <cell r="G180">
            <v>0</v>
          </cell>
          <cell r="H180">
            <v>0</v>
          </cell>
          <cell r="I180">
            <v>0</v>
          </cell>
        </row>
        <row r="181">
          <cell r="B181" t="str">
            <v>MP: 222202-301269 COR</v>
          </cell>
          <cell r="C181">
            <v>0</v>
          </cell>
          <cell r="D181">
            <v>0</v>
          </cell>
          <cell r="E181">
            <v>0</v>
          </cell>
          <cell r="F181" t="str">
            <v>MAT:</v>
          </cell>
          <cell r="G181">
            <v>0</v>
          </cell>
          <cell r="H181">
            <v>0</v>
          </cell>
          <cell r="I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B187" t="str">
            <v>2.4</v>
          </cell>
          <cell r="C187" t="str">
            <v>DESCRIPCION:</v>
          </cell>
          <cell r="D187" t="str">
            <v>REALCE DE CAJA INSPECCION CIRCULAR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B188" t="str">
            <v>PAR_04</v>
          </cell>
          <cell r="C188">
            <v>0</v>
          </cell>
          <cell r="D188" t="str">
            <v>UNIDAD</v>
          </cell>
          <cell r="E188" t="str">
            <v>UNIDAD</v>
          </cell>
          <cell r="F188" t="str">
            <v>CANTIDAD</v>
          </cell>
          <cell r="G188">
            <v>9</v>
          </cell>
          <cell r="H188" t="str">
            <v>V. UNITARIO:</v>
          </cell>
          <cell r="I188">
            <v>410779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 t="str">
            <v>Tarifa/Hora</v>
          </cell>
          <cell r="G190" t="str">
            <v>Rendimiento</v>
          </cell>
          <cell r="H190" t="str">
            <v>Valor-Unit.</v>
          </cell>
          <cell r="I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 t="str">
            <v>Sub-Total</v>
          </cell>
          <cell r="G192" t="str">
            <v>2.4</v>
          </cell>
          <cell r="H192" t="str">
            <v>EQUI-2.4</v>
          </cell>
          <cell r="I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 t="str">
            <v>UNIDAD</v>
          </cell>
          <cell r="F194" t="str">
            <v>V.UNIT</v>
          </cell>
          <cell r="G194" t="str">
            <v>CANT</v>
          </cell>
          <cell r="H194" t="str">
            <v>V.TOTAL</v>
          </cell>
          <cell r="I194">
            <v>0</v>
          </cell>
        </row>
        <row r="195">
          <cell r="B195" t="str">
            <v>M018</v>
          </cell>
          <cell r="C195" t="str">
            <v>HERRAJE PARA CAMARA DE INSPECCION TIPO MH</v>
          </cell>
          <cell r="D195">
            <v>0</v>
          </cell>
          <cell r="E195" t="str">
            <v>Unidad</v>
          </cell>
          <cell r="F195">
            <v>350000</v>
          </cell>
          <cell r="G195">
            <v>1</v>
          </cell>
          <cell r="H195">
            <v>350000</v>
          </cell>
          <cell r="I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 t="str">
            <v>Sub-Total</v>
          </cell>
          <cell r="G196" t="str">
            <v>2.4</v>
          </cell>
          <cell r="H196" t="str">
            <v>MAT-2.4</v>
          </cell>
          <cell r="I196">
            <v>350000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B198">
            <v>0</v>
          </cell>
          <cell r="C198">
            <v>0</v>
          </cell>
          <cell r="D198" t="str">
            <v xml:space="preserve">CAN </v>
          </cell>
          <cell r="E198" t="str">
            <v>DISTANCIA</v>
          </cell>
          <cell r="F198" t="str">
            <v>M3-Km / UN-KM</v>
          </cell>
          <cell r="G198" t="str">
            <v>TARIFA</v>
          </cell>
          <cell r="H198" t="str">
            <v>Valor-Unit.</v>
          </cell>
          <cell r="I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 t="str">
            <v>Sub-Total</v>
          </cell>
          <cell r="G200" t="str">
            <v>2.4</v>
          </cell>
          <cell r="H200" t="str">
            <v>TRAN-2.4</v>
          </cell>
          <cell r="I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B202">
            <v>0</v>
          </cell>
          <cell r="C202">
            <v>0</v>
          </cell>
          <cell r="D202" t="str">
            <v>JORNAL-HORA</v>
          </cell>
          <cell r="E202" t="str">
            <v>PRES</v>
          </cell>
          <cell r="F202" t="str">
            <v>Jornal Total</v>
          </cell>
          <cell r="G202" t="str">
            <v>Rendimiento</v>
          </cell>
          <cell r="H202" t="str">
            <v>Valor-Unit.</v>
          </cell>
          <cell r="I202">
            <v>0</v>
          </cell>
        </row>
        <row r="203">
          <cell r="B203" t="str">
            <v>MO004</v>
          </cell>
          <cell r="C203" t="str">
            <v>OFICIAL ENTUBADOR</v>
          </cell>
          <cell r="D203">
            <v>10290.430207916666</v>
          </cell>
          <cell r="E203">
            <v>0</v>
          </cell>
          <cell r="F203">
            <v>10290.430207916666</v>
          </cell>
          <cell r="G203">
            <v>2</v>
          </cell>
          <cell r="H203">
            <v>20580.860415833333</v>
          </cell>
          <cell r="I203">
            <v>0</v>
          </cell>
        </row>
        <row r="204">
          <cell r="B204" t="str">
            <v>MO005</v>
          </cell>
          <cell r="C204" t="str">
            <v>AYUDANTE ENTENDIDO PAV</v>
          </cell>
          <cell r="D204">
            <v>9090.4302079166664</v>
          </cell>
          <cell r="E204">
            <v>0</v>
          </cell>
          <cell r="F204">
            <v>9090.4302079166664</v>
          </cell>
          <cell r="G204">
            <v>2</v>
          </cell>
          <cell r="H204">
            <v>18180.860415833333</v>
          </cell>
          <cell r="I204">
            <v>0</v>
          </cell>
        </row>
        <row r="205">
          <cell r="B205" t="str">
            <v>MO006</v>
          </cell>
          <cell r="C205" t="str">
            <v>AYUDANTE ENTUBADOR</v>
          </cell>
          <cell r="D205">
            <v>8290.4302079166664</v>
          </cell>
          <cell r="E205">
            <v>0</v>
          </cell>
          <cell r="F205">
            <v>8290.4302079166664</v>
          </cell>
          <cell r="G205">
            <v>2</v>
          </cell>
          <cell r="H205">
            <v>16580.860415833333</v>
          </cell>
          <cell r="I205">
            <v>0</v>
          </cell>
        </row>
        <row r="206">
          <cell r="B206" t="str">
            <v>MO007</v>
          </cell>
          <cell r="C206" t="str">
            <v>CONTRAMAESTRO</v>
          </cell>
          <cell r="D206">
            <v>12710.935458055557</v>
          </cell>
          <cell r="E206">
            <v>0</v>
          </cell>
          <cell r="F206">
            <v>12710.935458055557</v>
          </cell>
          <cell r="G206">
            <v>0.2</v>
          </cell>
          <cell r="H206">
            <v>2542.1870916111116</v>
          </cell>
          <cell r="I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 t="str">
            <v>Sub-Total</v>
          </cell>
          <cell r="G208" t="str">
            <v>2.4</v>
          </cell>
          <cell r="H208" t="str">
            <v>MDEO-2.4</v>
          </cell>
          <cell r="I208">
            <v>57884.768339111113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2894.2384169555557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 t="str">
            <v>Total Costo Directo</v>
          </cell>
          <cell r="G210">
            <v>0</v>
          </cell>
          <cell r="H210">
            <v>0</v>
          </cell>
          <cell r="I210">
            <v>410779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 t="str">
            <v>REVISA</v>
          </cell>
          <cell r="G212">
            <v>0</v>
          </cell>
          <cell r="H212">
            <v>0</v>
          </cell>
          <cell r="I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 t="str">
            <v>FIRMA:</v>
          </cell>
          <cell r="G213">
            <v>0</v>
          </cell>
          <cell r="H213">
            <v>0</v>
          </cell>
          <cell r="I213">
            <v>0</v>
          </cell>
        </row>
        <row r="214">
          <cell r="B214" t="str">
            <v xml:space="preserve">ING MARIA LEONOR BLU DIAS </v>
          </cell>
          <cell r="C214">
            <v>0</v>
          </cell>
          <cell r="D214">
            <v>0</v>
          </cell>
          <cell r="E214">
            <v>0</v>
          </cell>
          <cell r="F214" t="str">
            <v>NOMBRE</v>
          </cell>
          <cell r="G214">
            <v>0</v>
          </cell>
          <cell r="H214">
            <v>0</v>
          </cell>
          <cell r="I214">
            <v>0</v>
          </cell>
        </row>
        <row r="215">
          <cell r="B215" t="str">
            <v>MP: 222202-301269 COR</v>
          </cell>
          <cell r="C215">
            <v>0</v>
          </cell>
          <cell r="D215">
            <v>0</v>
          </cell>
          <cell r="E215">
            <v>0</v>
          </cell>
          <cell r="F215" t="str">
            <v>MAT:</v>
          </cell>
          <cell r="G215">
            <v>0</v>
          </cell>
          <cell r="H215">
            <v>0</v>
          </cell>
          <cell r="I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B221" t="str">
            <v>2.5</v>
          </cell>
          <cell r="C221" t="str">
            <v>DESCRIPCION:</v>
          </cell>
          <cell r="D221" t="str">
            <v>REALCE DE CAJAS DOMICILIARIAS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 t="str">
            <v>PAR_05</v>
          </cell>
          <cell r="C222">
            <v>0</v>
          </cell>
          <cell r="D222" t="str">
            <v>UNIDAD</v>
          </cell>
          <cell r="E222" t="str">
            <v>UNIDAD</v>
          </cell>
          <cell r="F222" t="str">
            <v>CANTIDAD</v>
          </cell>
          <cell r="G222">
            <v>185</v>
          </cell>
          <cell r="H222" t="str">
            <v>V. UNITARIO:</v>
          </cell>
          <cell r="I222">
            <v>289064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 t="str">
            <v>Tarifa/Hora</v>
          </cell>
          <cell r="G224" t="str">
            <v>Rendimiento</v>
          </cell>
          <cell r="H224" t="str">
            <v>Valor-Unit.</v>
          </cell>
          <cell r="I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 t="str">
            <v>Sub-Total</v>
          </cell>
          <cell r="G226" t="str">
            <v>2.5</v>
          </cell>
          <cell r="H226" t="str">
            <v>EQUI-2.5</v>
          </cell>
          <cell r="I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 t="str">
            <v>UNIDAD</v>
          </cell>
          <cell r="F228" t="str">
            <v>V.UNIT</v>
          </cell>
          <cell r="G228" t="str">
            <v>CANT</v>
          </cell>
          <cell r="H228" t="str">
            <v>V.TOTAL</v>
          </cell>
          <cell r="I228">
            <v>0</v>
          </cell>
        </row>
        <row r="229">
          <cell r="B229" t="str">
            <v>M006</v>
          </cell>
          <cell r="C229" t="str">
            <v>CONCRETO 2500 PSI</v>
          </cell>
          <cell r="D229">
            <v>0</v>
          </cell>
          <cell r="E229" t="str">
            <v>M3</v>
          </cell>
          <cell r="F229">
            <v>310000</v>
          </cell>
          <cell r="G229">
            <v>0.10799999999999998</v>
          </cell>
          <cell r="H229">
            <v>33479.999999999993</v>
          </cell>
          <cell r="I229">
            <v>0</v>
          </cell>
        </row>
        <row r="230">
          <cell r="B230" t="str">
            <v>M017</v>
          </cell>
          <cell r="C230" t="str">
            <v>HERRAJE PARA CAJA DOMICILIARIA INC REF</v>
          </cell>
          <cell r="D230">
            <v>0</v>
          </cell>
          <cell r="E230" t="str">
            <v>UN</v>
          </cell>
          <cell r="F230">
            <v>210000</v>
          </cell>
          <cell r="G230">
            <v>1</v>
          </cell>
          <cell r="H230">
            <v>210000</v>
          </cell>
          <cell r="I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 t="str">
            <v>Sub-Total</v>
          </cell>
          <cell r="G231" t="str">
            <v>2.5</v>
          </cell>
          <cell r="H231" t="str">
            <v>MAT-2.5</v>
          </cell>
          <cell r="I231">
            <v>243480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B233">
            <v>0</v>
          </cell>
          <cell r="C233">
            <v>0</v>
          </cell>
          <cell r="D233" t="str">
            <v xml:space="preserve">CAN </v>
          </cell>
          <cell r="E233" t="str">
            <v>DISTANCIA</v>
          </cell>
          <cell r="F233" t="str">
            <v>M3-Km / UN-KM</v>
          </cell>
          <cell r="G233" t="str">
            <v>TARIFA</v>
          </cell>
          <cell r="H233" t="str">
            <v>Valor-Unit.</v>
          </cell>
          <cell r="I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 t="str">
            <v>Sub-Total</v>
          </cell>
          <cell r="G235" t="str">
            <v>2.5</v>
          </cell>
          <cell r="H235" t="str">
            <v>TRAN-2.5</v>
          </cell>
          <cell r="I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B237">
            <v>0</v>
          </cell>
          <cell r="C237">
            <v>0</v>
          </cell>
          <cell r="D237" t="str">
            <v>JORNAL-HORA</v>
          </cell>
          <cell r="E237" t="str">
            <v>PRES</v>
          </cell>
          <cell r="F237" t="str">
            <v>Jornal Total</v>
          </cell>
          <cell r="G237" t="str">
            <v>Rendimiento</v>
          </cell>
          <cell r="H237" t="str">
            <v>Valor-Unit.</v>
          </cell>
          <cell r="I237">
            <v>0</v>
          </cell>
        </row>
        <row r="238">
          <cell r="B238" t="str">
            <v>MO004</v>
          </cell>
          <cell r="C238" t="str">
            <v>OFICIAL ENTUBADOR</v>
          </cell>
          <cell r="D238">
            <v>10290.430207916666</v>
          </cell>
          <cell r="E238">
            <v>0</v>
          </cell>
          <cell r="F238">
            <v>10290.430207916666</v>
          </cell>
          <cell r="G238">
            <v>1.5</v>
          </cell>
          <cell r="H238">
            <v>15435.645311875</v>
          </cell>
          <cell r="I238">
            <v>0</v>
          </cell>
        </row>
        <row r="239">
          <cell r="B239" t="str">
            <v>MO005</v>
          </cell>
          <cell r="C239" t="str">
            <v>AYUDANTE ENTENDIDO PAV</v>
          </cell>
          <cell r="D239">
            <v>9090.4302079166664</v>
          </cell>
          <cell r="E239">
            <v>0</v>
          </cell>
          <cell r="F239">
            <v>9090.4302079166664</v>
          </cell>
          <cell r="G239">
            <v>1.5</v>
          </cell>
          <cell r="H239">
            <v>13635.645311875</v>
          </cell>
          <cell r="I239">
            <v>0</v>
          </cell>
        </row>
        <row r="240">
          <cell r="B240" t="str">
            <v>MO006</v>
          </cell>
          <cell r="C240" t="str">
            <v>AYUDANTE ENTUBADOR</v>
          </cell>
          <cell r="D240">
            <v>8290.4302079166664</v>
          </cell>
          <cell r="E240">
            <v>0</v>
          </cell>
          <cell r="F240">
            <v>8290.4302079166664</v>
          </cell>
          <cell r="G240">
            <v>1.5</v>
          </cell>
          <cell r="H240">
            <v>12435.645311875</v>
          </cell>
          <cell r="I240">
            <v>0</v>
          </cell>
        </row>
        <row r="241">
          <cell r="B241" t="str">
            <v>MO007</v>
          </cell>
          <cell r="C241" t="str">
            <v>CONTRAMAESTRO</v>
          </cell>
          <cell r="D241">
            <v>12710.935458055557</v>
          </cell>
          <cell r="E241">
            <v>0</v>
          </cell>
          <cell r="F241">
            <v>12710.935458055557</v>
          </cell>
          <cell r="G241">
            <v>0.15000000000000002</v>
          </cell>
          <cell r="H241">
            <v>1906.6403187083338</v>
          </cell>
          <cell r="I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 t="str">
            <v>Sub-Total</v>
          </cell>
          <cell r="G243" t="str">
            <v>2.5</v>
          </cell>
          <cell r="H243" t="str">
            <v>MDEO-2.5</v>
          </cell>
          <cell r="I243">
            <v>43413.576254333333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2170.6788127166669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 t="str">
            <v>Total Costo Directo</v>
          </cell>
          <cell r="G245">
            <v>0</v>
          </cell>
          <cell r="H245">
            <v>0</v>
          </cell>
          <cell r="I245">
            <v>289064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 t="str">
            <v>REVISA</v>
          </cell>
          <cell r="G247">
            <v>0</v>
          </cell>
          <cell r="H247">
            <v>0</v>
          </cell>
          <cell r="I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 t="str">
            <v>FIRMA:</v>
          </cell>
          <cell r="G248">
            <v>0</v>
          </cell>
          <cell r="H248">
            <v>0</v>
          </cell>
          <cell r="I248">
            <v>0</v>
          </cell>
        </row>
        <row r="249">
          <cell r="B249" t="str">
            <v xml:space="preserve">ING MARIA LEONOR BLU DIAS </v>
          </cell>
          <cell r="C249">
            <v>0</v>
          </cell>
          <cell r="D249">
            <v>0</v>
          </cell>
          <cell r="E249">
            <v>0</v>
          </cell>
          <cell r="F249" t="str">
            <v>NOMBRE</v>
          </cell>
          <cell r="G249">
            <v>0</v>
          </cell>
          <cell r="H249">
            <v>0</v>
          </cell>
          <cell r="I249">
            <v>0</v>
          </cell>
        </row>
        <row r="250">
          <cell r="B250" t="str">
            <v>MP: 222202-301269 COR</v>
          </cell>
          <cell r="C250">
            <v>0</v>
          </cell>
          <cell r="D250">
            <v>0</v>
          </cell>
          <cell r="E250">
            <v>0</v>
          </cell>
          <cell r="F250" t="str">
            <v>MAT:</v>
          </cell>
          <cell r="G250">
            <v>0</v>
          </cell>
          <cell r="H250">
            <v>0</v>
          </cell>
          <cell r="I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B256" t="str">
            <v>2.6</v>
          </cell>
          <cell r="C256" t="str">
            <v>DESCRIPCION:</v>
          </cell>
          <cell r="D256" t="str">
            <v>REALCE DE CAJAS DOMICILIARIAS MEDIDOR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B257" t="str">
            <v>812-EPM</v>
          </cell>
          <cell r="C257">
            <v>0</v>
          </cell>
          <cell r="D257" t="str">
            <v>UNIDAD</v>
          </cell>
          <cell r="E257" t="str">
            <v>UNIDAD</v>
          </cell>
          <cell r="F257" t="str">
            <v>CANTIDAD</v>
          </cell>
          <cell r="G257">
            <v>185</v>
          </cell>
          <cell r="H257" t="str">
            <v>V. UNITARIO:</v>
          </cell>
          <cell r="I257">
            <v>45584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 t="str">
            <v>Tarifa/Hora</v>
          </cell>
          <cell r="G259" t="str">
            <v>Rendimiento</v>
          </cell>
          <cell r="H259" t="str">
            <v>Valor-Unit.</v>
          </cell>
          <cell r="I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 t="str">
            <v>Sub-Total</v>
          </cell>
          <cell r="G261" t="str">
            <v>2.6</v>
          </cell>
          <cell r="H261" t="str">
            <v>EQUI-2.6</v>
          </cell>
          <cell r="I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 t="str">
            <v>UNIDAD</v>
          </cell>
          <cell r="F263" t="str">
            <v>V.UNIT</v>
          </cell>
          <cell r="G263" t="str">
            <v>CANT</v>
          </cell>
          <cell r="H263" t="str">
            <v>V.TOTAL</v>
          </cell>
          <cell r="I263">
            <v>0</v>
          </cell>
        </row>
        <row r="264">
          <cell r="B264" t="str">
            <v>M006</v>
          </cell>
          <cell r="C264" t="str">
            <v>CONCRETO 2500 PSI</v>
          </cell>
          <cell r="D264">
            <v>0</v>
          </cell>
          <cell r="E264" t="str">
            <v>M3</v>
          </cell>
          <cell r="F264">
            <v>310000</v>
          </cell>
          <cell r="G264">
            <v>0.10799999999999998</v>
          </cell>
          <cell r="H264">
            <v>0</v>
          </cell>
          <cell r="I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 t="str">
            <v>Sub-Total</v>
          </cell>
          <cell r="G265" t="str">
            <v>2.6</v>
          </cell>
          <cell r="H265" t="str">
            <v>MAT-2.6</v>
          </cell>
          <cell r="I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B267">
            <v>0</v>
          </cell>
          <cell r="C267">
            <v>0</v>
          </cell>
          <cell r="D267" t="str">
            <v xml:space="preserve">CAN </v>
          </cell>
          <cell r="E267" t="str">
            <v>DISTANCIA</v>
          </cell>
          <cell r="F267" t="str">
            <v>M3-Km / UN-KM</v>
          </cell>
          <cell r="G267" t="str">
            <v>TARIFA</v>
          </cell>
          <cell r="H267" t="str">
            <v>Valor-Unit.</v>
          </cell>
          <cell r="I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 t="str">
            <v>Sub-Total</v>
          </cell>
          <cell r="G269" t="str">
            <v>2.6</v>
          </cell>
          <cell r="H269" t="str">
            <v>TRAN-2.6</v>
          </cell>
          <cell r="I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B271">
            <v>0</v>
          </cell>
          <cell r="C271">
            <v>0</v>
          </cell>
          <cell r="D271" t="str">
            <v>JORNAL-HORA</v>
          </cell>
          <cell r="E271" t="str">
            <v>PRES</v>
          </cell>
          <cell r="F271" t="str">
            <v>Jornal Total</v>
          </cell>
          <cell r="G271" t="str">
            <v>Rendimiento</v>
          </cell>
          <cell r="H271" t="str">
            <v>Valor-Unit.</v>
          </cell>
          <cell r="I271">
            <v>0</v>
          </cell>
        </row>
        <row r="272">
          <cell r="B272" t="str">
            <v>MO004</v>
          </cell>
          <cell r="C272" t="str">
            <v>OFICIAL ENTUBADOR</v>
          </cell>
          <cell r="D272">
            <v>10290.430207916666</v>
          </cell>
          <cell r="E272">
            <v>0</v>
          </cell>
          <cell r="F272">
            <v>10290.430207916666</v>
          </cell>
          <cell r="G272">
            <v>1.5</v>
          </cell>
          <cell r="H272">
            <v>15435.645311875</v>
          </cell>
          <cell r="I272">
            <v>0</v>
          </cell>
        </row>
        <row r="273">
          <cell r="B273" t="str">
            <v>MO005</v>
          </cell>
          <cell r="C273" t="str">
            <v>AYUDANTE ENTENDIDO PAV</v>
          </cell>
          <cell r="D273">
            <v>9090.4302079166664</v>
          </cell>
          <cell r="E273">
            <v>0</v>
          </cell>
          <cell r="F273">
            <v>9090.4302079166664</v>
          </cell>
          <cell r="G273">
            <v>1.5</v>
          </cell>
          <cell r="H273">
            <v>13635.645311875</v>
          </cell>
          <cell r="I273">
            <v>0</v>
          </cell>
        </row>
        <row r="274">
          <cell r="B274" t="str">
            <v>MO006</v>
          </cell>
          <cell r="C274" t="str">
            <v>AYUDANTE ENTUBADOR</v>
          </cell>
          <cell r="D274">
            <v>8290.4302079166664</v>
          </cell>
          <cell r="E274">
            <v>0</v>
          </cell>
          <cell r="F274">
            <v>8290.4302079166664</v>
          </cell>
          <cell r="G274">
            <v>1.5</v>
          </cell>
          <cell r="H274">
            <v>12435.645311875</v>
          </cell>
          <cell r="I274">
            <v>0</v>
          </cell>
        </row>
        <row r="275">
          <cell r="B275" t="str">
            <v>MO007</v>
          </cell>
          <cell r="C275" t="str">
            <v>CONTRAMAESTRO</v>
          </cell>
          <cell r="D275">
            <v>12710.935458055557</v>
          </cell>
          <cell r="E275">
            <v>0</v>
          </cell>
          <cell r="F275">
            <v>12710.935458055557</v>
          </cell>
          <cell r="G275">
            <v>0.15000000000000002</v>
          </cell>
          <cell r="H275">
            <v>1906.6403187083338</v>
          </cell>
          <cell r="I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 t="str">
            <v>Sub-Total</v>
          </cell>
          <cell r="G277" t="str">
            <v>2.6</v>
          </cell>
          <cell r="H277" t="str">
            <v>MDEO-2.6</v>
          </cell>
          <cell r="I277">
            <v>43413.576254333333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2170.6788127166669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 t="str">
            <v>Total Costo Directo</v>
          </cell>
          <cell r="G279">
            <v>0</v>
          </cell>
          <cell r="H279">
            <v>0</v>
          </cell>
          <cell r="I279">
            <v>45584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 t="str">
            <v>REVISA</v>
          </cell>
          <cell r="G281">
            <v>0</v>
          </cell>
          <cell r="H281">
            <v>0</v>
          </cell>
          <cell r="I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 t="str">
            <v>FIRMA:</v>
          </cell>
          <cell r="G282">
            <v>0</v>
          </cell>
          <cell r="H282">
            <v>0</v>
          </cell>
          <cell r="I282">
            <v>0</v>
          </cell>
        </row>
        <row r="283">
          <cell r="B283" t="str">
            <v xml:space="preserve">ING MARIA LEONOR BLU DIAS </v>
          </cell>
          <cell r="C283">
            <v>0</v>
          </cell>
          <cell r="D283">
            <v>0</v>
          </cell>
          <cell r="E283">
            <v>0</v>
          </cell>
          <cell r="F283" t="str">
            <v>NOMBRE</v>
          </cell>
          <cell r="G283">
            <v>0</v>
          </cell>
          <cell r="H283">
            <v>0</v>
          </cell>
          <cell r="I283">
            <v>0</v>
          </cell>
        </row>
        <row r="284">
          <cell r="B284" t="str">
            <v>MP: 222202-301269 COR</v>
          </cell>
          <cell r="C284">
            <v>0</v>
          </cell>
          <cell r="D284">
            <v>0</v>
          </cell>
          <cell r="E284">
            <v>0</v>
          </cell>
          <cell r="F284" t="str">
            <v>MAT:</v>
          </cell>
          <cell r="G284">
            <v>0</v>
          </cell>
          <cell r="H284">
            <v>0</v>
          </cell>
          <cell r="I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B290" t="str">
            <v>2.7</v>
          </cell>
          <cell r="C290" t="str">
            <v>DESCRIPCION:</v>
          </cell>
          <cell r="D290" t="str">
            <v>TUBERIA NOVAFORT 300MM  PARA SUMIDEROS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B291" t="str">
            <v>803A-EPM</v>
          </cell>
          <cell r="C291">
            <v>0</v>
          </cell>
          <cell r="D291" t="str">
            <v>UNIDAD</v>
          </cell>
          <cell r="E291" t="str">
            <v>ML</v>
          </cell>
          <cell r="F291" t="str">
            <v>CANTIDAD</v>
          </cell>
          <cell r="G291">
            <v>1950</v>
          </cell>
          <cell r="H291" t="str">
            <v>V. UNITARIO:</v>
          </cell>
          <cell r="I291">
            <v>33428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 t="str">
            <v>Tarifa/Hora</v>
          </cell>
          <cell r="G293" t="str">
            <v>Rendimiento</v>
          </cell>
          <cell r="H293" t="str">
            <v>Valor-Unit.</v>
          </cell>
          <cell r="I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 t="str">
            <v>Sub-Total</v>
          </cell>
          <cell r="G295" t="str">
            <v>2.7</v>
          </cell>
          <cell r="H295" t="str">
            <v>EQUI-2.7</v>
          </cell>
          <cell r="I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 t="str">
            <v>UNIDAD</v>
          </cell>
          <cell r="F297" t="str">
            <v>V.UNIT</v>
          </cell>
          <cell r="G297" t="str">
            <v>CANT</v>
          </cell>
          <cell r="H297" t="str">
            <v>V.TOTAL</v>
          </cell>
          <cell r="I297">
            <v>0</v>
          </cell>
        </row>
        <row r="298">
          <cell r="B298" t="str">
            <v>M018</v>
          </cell>
          <cell r="C298" t="str">
            <v>TUBERIA NOVAFORT 12"</v>
          </cell>
          <cell r="D298">
            <v>0</v>
          </cell>
          <cell r="E298" t="str">
            <v>ML</v>
          </cell>
          <cell r="F298">
            <v>102263.16666666667</v>
          </cell>
          <cell r="G298">
            <v>1</v>
          </cell>
          <cell r="H298">
            <v>0</v>
          </cell>
          <cell r="I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 t="str">
            <v>Sub-Total</v>
          </cell>
          <cell r="G299" t="str">
            <v>2.7</v>
          </cell>
          <cell r="H299" t="str">
            <v>MAT-2.7</v>
          </cell>
          <cell r="I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B301">
            <v>0</v>
          </cell>
          <cell r="C301">
            <v>0</v>
          </cell>
          <cell r="D301" t="str">
            <v xml:space="preserve">CAN </v>
          </cell>
          <cell r="E301" t="str">
            <v>DISTANCIA</v>
          </cell>
          <cell r="F301" t="str">
            <v>M3-Km / UN-KM</v>
          </cell>
          <cell r="G301" t="str">
            <v>TARIFA</v>
          </cell>
          <cell r="H301" t="str">
            <v>Valor-Unit.</v>
          </cell>
          <cell r="I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 t="str">
            <v>Sub-Total</v>
          </cell>
          <cell r="G303" t="str">
            <v>2.7</v>
          </cell>
          <cell r="H303" t="str">
            <v>TRAN-2.7</v>
          </cell>
          <cell r="I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B305">
            <v>0</v>
          </cell>
          <cell r="C305">
            <v>0</v>
          </cell>
          <cell r="D305" t="str">
            <v>JORNAL-HORA</v>
          </cell>
          <cell r="E305" t="str">
            <v>PRES</v>
          </cell>
          <cell r="F305" t="str">
            <v>Jornal Total</v>
          </cell>
          <cell r="G305" t="str">
            <v>Rendimiento</v>
          </cell>
          <cell r="H305" t="str">
            <v>Valor-Unit.</v>
          </cell>
          <cell r="I305">
            <v>0</v>
          </cell>
        </row>
        <row r="306">
          <cell r="B306" t="str">
            <v>MO004</v>
          </cell>
          <cell r="C306" t="str">
            <v>OFICIAL ENTUBADOR</v>
          </cell>
          <cell r="D306">
            <v>10290.430207916666</v>
          </cell>
          <cell r="E306">
            <v>0</v>
          </cell>
          <cell r="F306">
            <v>10290.430207916666</v>
          </cell>
          <cell r="G306">
            <v>1.1000000000000001</v>
          </cell>
          <cell r="H306">
            <v>11319.473228708333</v>
          </cell>
          <cell r="I306">
            <v>0</v>
          </cell>
        </row>
        <row r="307">
          <cell r="B307" t="str">
            <v>MO005</v>
          </cell>
          <cell r="C307" t="str">
            <v>AYUDANTE ENTENDIDO PAV</v>
          </cell>
          <cell r="D307">
            <v>9090.4302079166664</v>
          </cell>
          <cell r="E307">
            <v>0</v>
          </cell>
          <cell r="F307">
            <v>9090.4302079166664</v>
          </cell>
          <cell r="G307">
            <v>1.1000000000000001</v>
          </cell>
          <cell r="H307">
            <v>9999.4732287083334</v>
          </cell>
          <cell r="I307">
            <v>0</v>
          </cell>
        </row>
        <row r="308">
          <cell r="B308" t="str">
            <v>MO006</v>
          </cell>
          <cell r="C308" t="str">
            <v>AYUDANTE ENTUBADOR</v>
          </cell>
          <cell r="D308">
            <v>8290.4302079166664</v>
          </cell>
          <cell r="E308">
            <v>0</v>
          </cell>
          <cell r="F308">
            <v>8290.4302079166664</v>
          </cell>
          <cell r="G308">
            <v>1.1000000000000001</v>
          </cell>
          <cell r="H308">
            <v>9119.4732287083334</v>
          </cell>
          <cell r="I308">
            <v>0</v>
          </cell>
        </row>
        <row r="309">
          <cell r="B309" t="str">
            <v>MO007</v>
          </cell>
          <cell r="C309" t="str">
            <v>CONTRAMAESTRO</v>
          </cell>
          <cell r="D309">
            <v>12710.935458055557</v>
          </cell>
          <cell r="E309">
            <v>0</v>
          </cell>
          <cell r="F309">
            <v>12710.935458055557</v>
          </cell>
          <cell r="G309">
            <v>0.11000000000000001</v>
          </cell>
          <cell r="H309">
            <v>1398.2029003861114</v>
          </cell>
          <cell r="I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 t="str">
            <v>Sub-Total</v>
          </cell>
          <cell r="G311" t="str">
            <v>2.7</v>
          </cell>
          <cell r="H311" t="str">
            <v>MDEO-2.7</v>
          </cell>
          <cell r="I311">
            <v>31836.622586511112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1591.8311293255556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 t="str">
            <v>Total Costo Directo</v>
          </cell>
          <cell r="G313">
            <v>0</v>
          </cell>
          <cell r="H313">
            <v>0</v>
          </cell>
          <cell r="I313">
            <v>33428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 t="str">
            <v>REVISA</v>
          </cell>
          <cell r="G315">
            <v>0</v>
          </cell>
          <cell r="H315">
            <v>0</v>
          </cell>
          <cell r="I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 t="str">
            <v>FIRMA:</v>
          </cell>
          <cell r="G316">
            <v>0</v>
          </cell>
          <cell r="H316">
            <v>0</v>
          </cell>
          <cell r="I316">
            <v>0</v>
          </cell>
        </row>
        <row r="317">
          <cell r="B317" t="str">
            <v xml:space="preserve">ING MARIA LEONOR BLU DIAS </v>
          </cell>
          <cell r="C317">
            <v>0</v>
          </cell>
          <cell r="D317">
            <v>0</v>
          </cell>
          <cell r="E317">
            <v>0</v>
          </cell>
          <cell r="F317" t="str">
            <v>NOMBRE</v>
          </cell>
          <cell r="G317">
            <v>0</v>
          </cell>
          <cell r="H317">
            <v>0</v>
          </cell>
          <cell r="I317">
            <v>0</v>
          </cell>
        </row>
        <row r="318">
          <cell r="B318" t="str">
            <v>MP: 222202-301269 COR</v>
          </cell>
          <cell r="C318">
            <v>0</v>
          </cell>
          <cell r="D318">
            <v>0</v>
          </cell>
          <cell r="E318">
            <v>0</v>
          </cell>
          <cell r="F318" t="str">
            <v>MAT:</v>
          </cell>
          <cell r="G318">
            <v>0</v>
          </cell>
          <cell r="H318">
            <v>0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B325" t="str">
            <v>2.8</v>
          </cell>
          <cell r="C325" t="str">
            <v>DESCRIPCION:</v>
          </cell>
          <cell r="D325" t="str">
            <v>TUBERIA NOVAFORT 400MM  PARA RED AGUAS LLUVIAS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B326" t="str">
            <v>803B-EPM</v>
          </cell>
          <cell r="C326">
            <v>0</v>
          </cell>
          <cell r="D326" t="str">
            <v>UNIDAD</v>
          </cell>
          <cell r="E326" t="str">
            <v>ML</v>
          </cell>
          <cell r="F326" t="str">
            <v>CANTIDAD</v>
          </cell>
          <cell r="G326">
            <v>1428.02</v>
          </cell>
          <cell r="H326" t="str">
            <v>V. UNITARIO:</v>
          </cell>
          <cell r="I326">
            <v>36467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 t="str">
            <v>Tarifa/Hora</v>
          </cell>
          <cell r="G328" t="str">
            <v>Rendimiento</v>
          </cell>
          <cell r="H328" t="str">
            <v>Valor-Unit.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 t="str">
            <v>Sub-Total</v>
          </cell>
          <cell r="G330" t="str">
            <v>2.8</v>
          </cell>
          <cell r="H330" t="str">
            <v>EQUI-2.8</v>
          </cell>
          <cell r="I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 t="str">
            <v>UNIDAD</v>
          </cell>
          <cell r="F332" t="str">
            <v>V.UNIT</v>
          </cell>
          <cell r="G332" t="str">
            <v>CANT</v>
          </cell>
          <cell r="H332" t="str">
            <v>V.TOTAL</v>
          </cell>
          <cell r="I332">
            <v>0</v>
          </cell>
        </row>
        <row r="333">
          <cell r="B333" t="str">
            <v>M020</v>
          </cell>
          <cell r="C333" t="str">
            <v>TUBERIA NOVAFORT 16"</v>
          </cell>
          <cell r="D333">
            <v>0</v>
          </cell>
          <cell r="E333" t="str">
            <v>ML</v>
          </cell>
          <cell r="F333">
            <v>187447.5</v>
          </cell>
          <cell r="G333">
            <v>1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 t="str">
            <v>Sub-Total</v>
          </cell>
          <cell r="G334" t="str">
            <v>2.8</v>
          </cell>
          <cell r="H334" t="str">
            <v>MAT-2.8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 t="str">
            <v xml:space="preserve">CAN </v>
          </cell>
          <cell r="E336" t="str">
            <v>DISTANCIA</v>
          </cell>
          <cell r="F336" t="str">
            <v>M3-Km / UN-KM</v>
          </cell>
          <cell r="G336" t="str">
            <v>TARIFA</v>
          </cell>
          <cell r="H336" t="str">
            <v>Valor-Unit.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 t="str">
            <v>Sub-Total</v>
          </cell>
          <cell r="G338" t="str">
            <v>2.8</v>
          </cell>
          <cell r="H338" t="str">
            <v>TRAN-2.8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 t="str">
            <v>JORNAL-HORA</v>
          </cell>
          <cell r="E340" t="str">
            <v>PRES</v>
          </cell>
          <cell r="F340" t="str">
            <v>Jornal Total</v>
          </cell>
          <cell r="G340" t="str">
            <v>Rendimiento</v>
          </cell>
          <cell r="H340" t="str">
            <v>Valor-Unit.</v>
          </cell>
          <cell r="I340">
            <v>0</v>
          </cell>
        </row>
        <row r="341">
          <cell r="B341" t="str">
            <v>MO004</v>
          </cell>
          <cell r="C341" t="str">
            <v>OFICIAL ENTUBADOR</v>
          </cell>
          <cell r="D341">
            <v>10290.430207916666</v>
          </cell>
          <cell r="E341">
            <v>0</v>
          </cell>
          <cell r="F341">
            <v>10290.430207916666</v>
          </cell>
          <cell r="G341">
            <v>1.2</v>
          </cell>
          <cell r="H341">
            <v>12348.516249499999</v>
          </cell>
          <cell r="I341">
            <v>0</v>
          </cell>
        </row>
        <row r="342">
          <cell r="B342" t="str">
            <v>MO005</v>
          </cell>
          <cell r="C342" t="str">
            <v>AYUDANTE ENTENDIDO PAV</v>
          </cell>
          <cell r="D342">
            <v>9090.4302079166664</v>
          </cell>
          <cell r="E342">
            <v>0</v>
          </cell>
          <cell r="F342">
            <v>9090.4302079166664</v>
          </cell>
          <cell r="G342">
            <v>1.2</v>
          </cell>
          <cell r="H342">
            <v>10908.516249499999</v>
          </cell>
          <cell r="I342">
            <v>0</v>
          </cell>
        </row>
        <row r="343">
          <cell r="B343" t="str">
            <v>MO006</v>
          </cell>
          <cell r="C343" t="str">
            <v>AYUDANTE ENTUBADOR</v>
          </cell>
          <cell r="D343">
            <v>8290.4302079166664</v>
          </cell>
          <cell r="E343">
            <v>0</v>
          </cell>
          <cell r="F343">
            <v>8290.4302079166664</v>
          </cell>
          <cell r="G343">
            <v>1.2</v>
          </cell>
          <cell r="H343">
            <v>9948.5162494999986</v>
          </cell>
          <cell r="I343">
            <v>0</v>
          </cell>
        </row>
        <row r="344">
          <cell r="B344" t="str">
            <v>MO007</v>
          </cell>
          <cell r="C344" t="str">
            <v>CONTRAMAESTRO</v>
          </cell>
          <cell r="D344">
            <v>12710.935458055557</v>
          </cell>
          <cell r="E344">
            <v>0</v>
          </cell>
          <cell r="F344">
            <v>12710.935458055557</v>
          </cell>
          <cell r="G344">
            <v>0.12</v>
          </cell>
          <cell r="H344">
            <v>1525.3122549666668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 t="str">
            <v>Sub-Total</v>
          </cell>
          <cell r="G345" t="str">
            <v>2.8</v>
          </cell>
          <cell r="H345" t="str">
            <v>MDEO-2.8</v>
          </cell>
          <cell r="I345">
            <v>34730.861003466664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1736.5430501733333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 t="str">
            <v>Total Costo Directo</v>
          </cell>
          <cell r="G347">
            <v>0</v>
          </cell>
          <cell r="H347">
            <v>0</v>
          </cell>
          <cell r="I347">
            <v>36467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 t="str">
            <v>REVISA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 t="str">
            <v>FIRMA:</v>
          </cell>
          <cell r="G350">
            <v>0</v>
          </cell>
          <cell r="H350">
            <v>0</v>
          </cell>
          <cell r="I350">
            <v>0</v>
          </cell>
        </row>
        <row r="351">
          <cell r="B351" t="str">
            <v xml:space="preserve">ING MARIA LEONOR BLU DIAS </v>
          </cell>
          <cell r="C351">
            <v>0</v>
          </cell>
          <cell r="D351">
            <v>0</v>
          </cell>
          <cell r="E351">
            <v>0</v>
          </cell>
          <cell r="F351" t="str">
            <v>NOMBRE</v>
          </cell>
          <cell r="G351">
            <v>0</v>
          </cell>
          <cell r="H351">
            <v>0</v>
          </cell>
          <cell r="I351">
            <v>0</v>
          </cell>
        </row>
        <row r="352">
          <cell r="B352" t="str">
            <v>MP: 222202-301269 COR</v>
          </cell>
          <cell r="C352">
            <v>0</v>
          </cell>
          <cell r="D352">
            <v>0</v>
          </cell>
          <cell r="E352">
            <v>0</v>
          </cell>
          <cell r="F352" t="str">
            <v>MAT: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 t="str">
            <v>2.9</v>
          </cell>
          <cell r="C358" t="str">
            <v>DESCRIPCION:</v>
          </cell>
          <cell r="D358" t="str">
            <v>TUBERIA NOVAFORT 450MM  PARA RED AGUAS LLUVIAS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 t="str">
            <v>804C-EPM</v>
          </cell>
          <cell r="C359">
            <v>0</v>
          </cell>
          <cell r="D359" t="str">
            <v>UNIDAD</v>
          </cell>
          <cell r="E359" t="str">
            <v>ML</v>
          </cell>
          <cell r="F359" t="str">
            <v>CANTIDAD</v>
          </cell>
          <cell r="G359">
            <v>1228.6500000000001</v>
          </cell>
          <cell r="H359" t="str">
            <v>V. UNITARIO:</v>
          </cell>
          <cell r="I359">
            <v>39506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 t="str">
            <v>Tarifa/Hora</v>
          </cell>
          <cell r="G361" t="str">
            <v>Rendimiento</v>
          </cell>
          <cell r="H361" t="str">
            <v>Valor-Unit.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 t="str">
            <v>Sub-Total</v>
          </cell>
          <cell r="G363" t="str">
            <v>2.9</v>
          </cell>
          <cell r="H363" t="str">
            <v>EQUI-2.9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 t="str">
            <v>UNIDAD</v>
          </cell>
          <cell r="F365" t="str">
            <v>V.UNIT</v>
          </cell>
          <cell r="G365" t="str">
            <v>CANT</v>
          </cell>
          <cell r="H365" t="str">
            <v>V.TOTAL</v>
          </cell>
          <cell r="I365">
            <v>0</v>
          </cell>
        </row>
        <row r="366">
          <cell r="B366" t="str">
            <v>M021</v>
          </cell>
          <cell r="C366" t="str">
            <v>TUBERIA NOVAFORT 18"</v>
          </cell>
          <cell r="D366">
            <v>0</v>
          </cell>
          <cell r="E366" t="str">
            <v>ML</v>
          </cell>
          <cell r="F366">
            <v>242088.5</v>
          </cell>
          <cell r="G366">
            <v>1</v>
          </cell>
          <cell r="H366">
            <v>0</v>
          </cell>
          <cell r="I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 t="str">
            <v>Sub-Total</v>
          </cell>
          <cell r="G367" t="str">
            <v>2.9</v>
          </cell>
          <cell r="H367" t="str">
            <v>MAT-2.9</v>
          </cell>
          <cell r="I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B369">
            <v>0</v>
          </cell>
          <cell r="C369">
            <v>0</v>
          </cell>
          <cell r="D369" t="str">
            <v xml:space="preserve">CAN </v>
          </cell>
          <cell r="E369" t="str">
            <v>DISTANCIA</v>
          </cell>
          <cell r="F369" t="str">
            <v>M3-Km / UN-KM</v>
          </cell>
          <cell r="G369" t="str">
            <v>TARIFA</v>
          </cell>
          <cell r="H369" t="str">
            <v>Valor-Unit.</v>
          </cell>
          <cell r="I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 t="str">
            <v>Sub-Total</v>
          </cell>
          <cell r="G371" t="str">
            <v>2.9</v>
          </cell>
          <cell r="H371" t="str">
            <v>TRAN-2.9</v>
          </cell>
          <cell r="I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B373">
            <v>0</v>
          </cell>
          <cell r="C373">
            <v>0</v>
          </cell>
          <cell r="D373" t="str">
            <v>JORNAL-HORA</v>
          </cell>
          <cell r="E373" t="str">
            <v>PRES</v>
          </cell>
          <cell r="F373" t="str">
            <v>Jornal Total</v>
          </cell>
          <cell r="G373" t="str">
            <v>Rendimiento</v>
          </cell>
          <cell r="H373" t="str">
            <v>Valor-Unit.</v>
          </cell>
          <cell r="I373">
            <v>0</v>
          </cell>
        </row>
        <row r="374">
          <cell r="B374" t="str">
            <v>MO004</v>
          </cell>
          <cell r="C374" t="str">
            <v>OFICIAL ENTUBADOR</v>
          </cell>
          <cell r="D374">
            <v>10290.430207916666</v>
          </cell>
          <cell r="E374">
            <v>0</v>
          </cell>
          <cell r="F374">
            <v>10290.430207916666</v>
          </cell>
          <cell r="G374">
            <v>1.3</v>
          </cell>
          <cell r="H374">
            <v>13377.559270291667</v>
          </cell>
          <cell r="I374">
            <v>0</v>
          </cell>
        </row>
        <row r="375">
          <cell r="B375" t="str">
            <v>MO005</v>
          </cell>
          <cell r="C375" t="str">
            <v>AYUDANTE ENTENDIDO PAV</v>
          </cell>
          <cell r="D375">
            <v>9090.4302079166664</v>
          </cell>
          <cell r="E375">
            <v>0</v>
          </cell>
          <cell r="F375">
            <v>9090.4302079166664</v>
          </cell>
          <cell r="G375">
            <v>1.3</v>
          </cell>
          <cell r="H375">
            <v>11817.559270291667</v>
          </cell>
          <cell r="I375">
            <v>0</v>
          </cell>
        </row>
        <row r="376">
          <cell r="B376" t="str">
            <v>MO006</v>
          </cell>
          <cell r="C376" t="str">
            <v>AYUDANTE ENTUBADOR</v>
          </cell>
          <cell r="D376">
            <v>8290.4302079166664</v>
          </cell>
          <cell r="E376">
            <v>0</v>
          </cell>
          <cell r="F376">
            <v>8290.4302079166664</v>
          </cell>
          <cell r="G376">
            <v>1.3</v>
          </cell>
          <cell r="H376">
            <v>10777.559270291667</v>
          </cell>
          <cell r="I376">
            <v>0</v>
          </cell>
        </row>
        <row r="377">
          <cell r="B377" t="str">
            <v>MO007</v>
          </cell>
          <cell r="C377" t="str">
            <v>CONTRAMAESTRO</v>
          </cell>
          <cell r="D377">
            <v>12710.935458055557</v>
          </cell>
          <cell r="E377">
            <v>0</v>
          </cell>
          <cell r="F377">
            <v>12710.935458055557</v>
          </cell>
          <cell r="G377">
            <v>0.13</v>
          </cell>
          <cell r="H377">
            <v>1652.4216095472225</v>
          </cell>
          <cell r="I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 t="str">
            <v>Sub-Total</v>
          </cell>
          <cell r="G378" t="str">
            <v>2.9</v>
          </cell>
          <cell r="H378" t="str">
            <v>MDEO-2.9</v>
          </cell>
          <cell r="I378">
            <v>37625.099420422222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1881.2549710211113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 t="str">
            <v>Total Costo Directo</v>
          </cell>
          <cell r="G380">
            <v>0</v>
          </cell>
          <cell r="H380">
            <v>0</v>
          </cell>
          <cell r="I380">
            <v>39506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 t="str">
            <v>REVISA</v>
          </cell>
          <cell r="G381">
            <v>0</v>
          </cell>
          <cell r="H381">
            <v>0</v>
          </cell>
          <cell r="I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 t="str">
            <v>FIRMA:</v>
          </cell>
          <cell r="G382">
            <v>0</v>
          </cell>
          <cell r="H382">
            <v>0</v>
          </cell>
          <cell r="I382">
            <v>0</v>
          </cell>
        </row>
        <row r="383">
          <cell r="B383" t="str">
            <v xml:space="preserve">ING MARIA LEONOR BLU DIAS </v>
          </cell>
          <cell r="C383">
            <v>0</v>
          </cell>
          <cell r="D383">
            <v>0</v>
          </cell>
          <cell r="E383">
            <v>0</v>
          </cell>
          <cell r="F383" t="str">
            <v>NOMBRE</v>
          </cell>
          <cell r="G383">
            <v>0</v>
          </cell>
          <cell r="H383">
            <v>0</v>
          </cell>
          <cell r="I383">
            <v>0</v>
          </cell>
        </row>
        <row r="384">
          <cell r="B384" t="str">
            <v>MP: 222202-301269 COR</v>
          </cell>
          <cell r="C384">
            <v>0</v>
          </cell>
          <cell r="D384">
            <v>0</v>
          </cell>
          <cell r="E384">
            <v>0</v>
          </cell>
          <cell r="F384" t="str">
            <v>MAT:</v>
          </cell>
          <cell r="G384">
            <v>0</v>
          </cell>
          <cell r="H384">
            <v>0</v>
          </cell>
          <cell r="I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B391" t="str">
            <v>2.10</v>
          </cell>
          <cell r="C391" t="str">
            <v>DESCRIPCION:</v>
          </cell>
          <cell r="D391" t="str">
            <v>TUBERIA NOVAFORT 600MM  PARA RED AGUAS LLUVIAS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B392" t="str">
            <v>803D-EPM</v>
          </cell>
          <cell r="C392">
            <v>0</v>
          </cell>
          <cell r="D392" t="str">
            <v>UNIDAD</v>
          </cell>
          <cell r="E392" t="str">
            <v>ML</v>
          </cell>
          <cell r="F392" t="str">
            <v>CANTIDAD</v>
          </cell>
          <cell r="G392">
            <v>560</v>
          </cell>
          <cell r="H392" t="str">
            <v>V. UNITARIO:</v>
          </cell>
          <cell r="I392">
            <v>42545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 t="str">
            <v>Tarifa/Hora</v>
          </cell>
          <cell r="G394" t="str">
            <v>Rendimiento</v>
          </cell>
          <cell r="H394" t="str">
            <v>Valor-Unit.</v>
          </cell>
          <cell r="I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 t="str">
            <v>Sub-Total</v>
          </cell>
          <cell r="G396" t="str">
            <v>2.10</v>
          </cell>
          <cell r="H396" t="str">
            <v>EQUI-2.10</v>
          </cell>
          <cell r="I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 t="str">
            <v>UNIDAD</v>
          </cell>
          <cell r="F398" t="str">
            <v>V.UNIT</v>
          </cell>
          <cell r="G398" t="str">
            <v>CANT</v>
          </cell>
          <cell r="H398" t="str">
            <v>V.TOTAL</v>
          </cell>
          <cell r="I398">
            <v>0</v>
          </cell>
        </row>
        <row r="399">
          <cell r="B399" t="str">
            <v>M022</v>
          </cell>
          <cell r="C399" t="str">
            <v>TUBERIA NOVAFORT 24"</v>
          </cell>
          <cell r="D399">
            <v>0</v>
          </cell>
          <cell r="E399" t="str">
            <v>ML</v>
          </cell>
          <cell r="F399">
            <v>448153.84615384613</v>
          </cell>
          <cell r="G399">
            <v>1</v>
          </cell>
          <cell r="H399">
            <v>0</v>
          </cell>
          <cell r="I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 t="str">
            <v>Sub-Total</v>
          </cell>
          <cell r="G400" t="str">
            <v>2.10</v>
          </cell>
          <cell r="H400" t="str">
            <v>MAT-2.10</v>
          </cell>
          <cell r="I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B402">
            <v>0</v>
          </cell>
          <cell r="C402">
            <v>0</v>
          </cell>
          <cell r="D402" t="str">
            <v xml:space="preserve">CAN </v>
          </cell>
          <cell r="E402" t="str">
            <v>DISTANCIA</v>
          </cell>
          <cell r="F402" t="str">
            <v>M3-Km / UN-KM</v>
          </cell>
          <cell r="G402" t="str">
            <v>TARIFA</v>
          </cell>
          <cell r="H402" t="str">
            <v>Valor-Unit.</v>
          </cell>
          <cell r="I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 t="str">
            <v>Sub-Total</v>
          </cell>
          <cell r="G404" t="str">
            <v>2.10</v>
          </cell>
          <cell r="H404" t="str">
            <v>TRAN-2.10</v>
          </cell>
          <cell r="I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B406">
            <v>0</v>
          </cell>
          <cell r="C406">
            <v>0</v>
          </cell>
          <cell r="D406" t="str">
            <v>JORNAL-HORA</v>
          </cell>
          <cell r="E406" t="str">
            <v>PRES</v>
          </cell>
          <cell r="F406" t="str">
            <v>Jornal Total</v>
          </cell>
          <cell r="G406" t="str">
            <v>Rendimiento</v>
          </cell>
          <cell r="H406" t="str">
            <v>Valor-Unit.</v>
          </cell>
          <cell r="I406">
            <v>0</v>
          </cell>
        </row>
        <row r="407">
          <cell r="B407" t="str">
            <v>MO004</v>
          </cell>
          <cell r="C407" t="str">
            <v>OFICIAL ENTUBADOR</v>
          </cell>
          <cell r="D407">
            <v>10290.430207916666</v>
          </cell>
          <cell r="E407">
            <v>0</v>
          </cell>
          <cell r="F407">
            <v>10290.430207916666</v>
          </cell>
          <cell r="G407">
            <v>1.4</v>
          </cell>
          <cell r="H407">
            <v>14406.602291083333</v>
          </cell>
          <cell r="I407">
            <v>0</v>
          </cell>
        </row>
        <row r="408">
          <cell r="B408" t="str">
            <v>MO005</v>
          </cell>
          <cell r="C408" t="str">
            <v>AYUDANTE ENTENDIDO PAV</v>
          </cell>
          <cell r="D408">
            <v>9090.4302079166664</v>
          </cell>
          <cell r="E408">
            <v>0</v>
          </cell>
          <cell r="F408">
            <v>9090.4302079166664</v>
          </cell>
          <cell r="G408">
            <v>1.4</v>
          </cell>
          <cell r="H408">
            <v>12726.602291083333</v>
          </cell>
          <cell r="I408">
            <v>0</v>
          </cell>
        </row>
        <row r="409">
          <cell r="B409" t="str">
            <v>MO006</v>
          </cell>
          <cell r="C409" t="str">
            <v>AYUDANTE ENTUBADOR</v>
          </cell>
          <cell r="D409">
            <v>8290.4302079166664</v>
          </cell>
          <cell r="E409">
            <v>0</v>
          </cell>
          <cell r="F409">
            <v>8290.4302079166664</v>
          </cell>
          <cell r="G409">
            <v>1.4</v>
          </cell>
          <cell r="H409">
            <v>11606.602291083333</v>
          </cell>
          <cell r="I409">
            <v>0</v>
          </cell>
        </row>
        <row r="410">
          <cell r="B410" t="str">
            <v>MO007</v>
          </cell>
          <cell r="C410" t="str">
            <v>CONTRAMAESTRO</v>
          </cell>
          <cell r="D410">
            <v>12710.935458055557</v>
          </cell>
          <cell r="E410">
            <v>0</v>
          </cell>
          <cell r="F410">
            <v>12710.935458055557</v>
          </cell>
          <cell r="G410">
            <v>0.13999999999999999</v>
          </cell>
          <cell r="H410">
            <v>1779.5309641277779</v>
          </cell>
          <cell r="I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 t="str">
            <v>Sub-Total</v>
          </cell>
          <cell r="G411" t="str">
            <v>2.10</v>
          </cell>
          <cell r="H411" t="str">
            <v>MDEO-2.10</v>
          </cell>
          <cell r="I411">
            <v>40519.337837377774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2025.9668918688888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 t="str">
            <v>Total Costo Directo</v>
          </cell>
          <cell r="G413">
            <v>0</v>
          </cell>
          <cell r="H413">
            <v>0</v>
          </cell>
          <cell r="I413">
            <v>42545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 t="str">
            <v>REVISA</v>
          </cell>
          <cell r="G415">
            <v>0</v>
          </cell>
          <cell r="H415">
            <v>0</v>
          </cell>
          <cell r="I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 t="str">
            <v>FIRMA:</v>
          </cell>
          <cell r="G416">
            <v>0</v>
          </cell>
          <cell r="H416">
            <v>0</v>
          </cell>
          <cell r="I416">
            <v>0</v>
          </cell>
        </row>
        <row r="417">
          <cell r="B417" t="str">
            <v xml:space="preserve">ING MARIA LEONOR BLU DIAS </v>
          </cell>
          <cell r="C417">
            <v>0</v>
          </cell>
          <cell r="D417">
            <v>0</v>
          </cell>
          <cell r="E417">
            <v>0</v>
          </cell>
          <cell r="F417" t="str">
            <v>NOMBRE</v>
          </cell>
          <cell r="G417">
            <v>0</v>
          </cell>
          <cell r="H417">
            <v>0</v>
          </cell>
          <cell r="I417">
            <v>0</v>
          </cell>
        </row>
        <row r="418">
          <cell r="B418" t="str">
            <v>MP: 222202-301269 COR</v>
          </cell>
          <cell r="C418">
            <v>0</v>
          </cell>
          <cell r="D418">
            <v>0</v>
          </cell>
          <cell r="E418">
            <v>0</v>
          </cell>
          <cell r="F418" t="str">
            <v>MAT:</v>
          </cell>
          <cell r="G418">
            <v>0</v>
          </cell>
          <cell r="H418">
            <v>0</v>
          </cell>
          <cell r="I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</row>
        <row r="425">
          <cell r="B425" t="str">
            <v>2.11</v>
          </cell>
          <cell r="C425" t="str">
            <v>DESCRIPCION:</v>
          </cell>
          <cell r="D425" t="str">
            <v>CAJA DE INSPECCION RECTANGULAR 1*1 H=1.2M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B426" t="str">
            <v>PAR-19</v>
          </cell>
          <cell r="C426">
            <v>0</v>
          </cell>
          <cell r="D426" t="str">
            <v>UNIDAD</v>
          </cell>
          <cell r="E426" t="str">
            <v>UNIDAD</v>
          </cell>
          <cell r="F426" t="str">
            <v>CANTIDAD</v>
          </cell>
          <cell r="G426">
            <v>622</v>
          </cell>
          <cell r="H426" t="str">
            <v>V. UNITARIO:</v>
          </cell>
          <cell r="I426">
            <v>869442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 t="str">
            <v>Tarifa/Hora</v>
          </cell>
          <cell r="G428" t="str">
            <v>Rendimiento</v>
          </cell>
          <cell r="H428" t="str">
            <v>Valor-Unit.</v>
          </cell>
          <cell r="I428">
            <v>0</v>
          </cell>
        </row>
        <row r="429">
          <cell r="B429" t="str">
            <v>E016</v>
          </cell>
          <cell r="C429" t="str">
            <v>FORMALETA PARA CAJA INT 60*60</v>
          </cell>
          <cell r="D429">
            <v>0</v>
          </cell>
          <cell r="E429" t="str">
            <v>HORA</v>
          </cell>
          <cell r="F429">
            <v>7500</v>
          </cell>
          <cell r="G429">
            <v>1</v>
          </cell>
          <cell r="H429">
            <v>7500</v>
          </cell>
          <cell r="I429">
            <v>0</v>
          </cell>
        </row>
        <row r="430">
          <cell r="B430" t="str">
            <v>E017</v>
          </cell>
          <cell r="C430" t="str">
            <v>FORMALETA PARA TAPA</v>
          </cell>
          <cell r="D430">
            <v>0</v>
          </cell>
          <cell r="E430" t="str">
            <v>HORA</v>
          </cell>
          <cell r="F430">
            <v>7500</v>
          </cell>
          <cell r="G430">
            <v>1</v>
          </cell>
          <cell r="H430">
            <v>7500</v>
          </cell>
          <cell r="I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 t="str">
            <v>Sub-Total</v>
          </cell>
          <cell r="G431" t="str">
            <v>2.11</v>
          </cell>
          <cell r="H431" t="str">
            <v>EQUI-2.11</v>
          </cell>
          <cell r="I431">
            <v>15000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 t="str">
            <v>UNIDAD</v>
          </cell>
          <cell r="F433" t="str">
            <v>V.UNIT</v>
          </cell>
          <cell r="G433" t="str">
            <v>CANT</v>
          </cell>
          <cell r="H433" t="str">
            <v>V.TOTAL</v>
          </cell>
          <cell r="I433">
            <v>0</v>
          </cell>
        </row>
        <row r="434">
          <cell r="B434" t="str">
            <v>M007</v>
          </cell>
          <cell r="C434" t="str">
            <v>CONCRETO 3000PSI EN OBRA</v>
          </cell>
          <cell r="D434">
            <v>0</v>
          </cell>
          <cell r="E434" t="str">
            <v>M3</v>
          </cell>
          <cell r="F434">
            <v>350000</v>
          </cell>
          <cell r="G434">
            <v>0.6</v>
          </cell>
          <cell r="H434">
            <v>210000</v>
          </cell>
          <cell r="I434">
            <v>0</v>
          </cell>
        </row>
        <row r="435">
          <cell r="B435" t="str">
            <v>M016</v>
          </cell>
          <cell r="C435" t="str">
            <v>HERRAJE PARA CAJ REG 1X1 CON TAPA</v>
          </cell>
          <cell r="D435">
            <v>0</v>
          </cell>
          <cell r="E435" t="str">
            <v>UND</v>
          </cell>
          <cell r="F435">
            <v>290000</v>
          </cell>
          <cell r="G435">
            <v>1</v>
          </cell>
          <cell r="H435">
            <v>290000</v>
          </cell>
          <cell r="I435">
            <v>0</v>
          </cell>
        </row>
        <row r="436">
          <cell r="B436" t="str">
            <v>M002</v>
          </cell>
          <cell r="C436" t="str">
            <v>ACERO  60000 PSI</v>
          </cell>
          <cell r="D436">
            <v>0</v>
          </cell>
          <cell r="E436" t="str">
            <v>KG</v>
          </cell>
          <cell r="F436">
            <v>5400</v>
          </cell>
          <cell r="G436">
            <v>14.4</v>
          </cell>
          <cell r="H436">
            <v>0</v>
          </cell>
          <cell r="I436">
            <v>0</v>
          </cell>
        </row>
        <row r="437">
          <cell r="B437" t="str">
            <v>M001</v>
          </cell>
          <cell r="C437" t="str">
            <v>ALAMBRE QUEMADO</v>
          </cell>
          <cell r="D437">
            <v>0</v>
          </cell>
          <cell r="E437" t="str">
            <v>KG</v>
          </cell>
          <cell r="F437">
            <v>4500</v>
          </cell>
          <cell r="G437">
            <v>0.57600000000000007</v>
          </cell>
          <cell r="H437">
            <v>2592.0000000000005</v>
          </cell>
          <cell r="I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 t="str">
            <v>Sub-Total</v>
          </cell>
          <cell r="G438" t="str">
            <v>2.11</v>
          </cell>
          <cell r="H438" t="str">
            <v>MAT-2.11</v>
          </cell>
          <cell r="I438">
            <v>502592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B440">
            <v>0</v>
          </cell>
          <cell r="C440">
            <v>0</v>
          </cell>
          <cell r="D440" t="str">
            <v xml:space="preserve">CAN </v>
          </cell>
          <cell r="E440" t="str">
            <v>DISTANCIA</v>
          </cell>
          <cell r="F440" t="str">
            <v>M3-Km / UN-KM</v>
          </cell>
          <cell r="G440" t="str">
            <v>TARIFA</v>
          </cell>
          <cell r="H440" t="str">
            <v>Valor-Unit.</v>
          </cell>
          <cell r="I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 t="str">
            <v>Sub-Total</v>
          </cell>
          <cell r="G442" t="str">
            <v>2.11</v>
          </cell>
          <cell r="H442" t="str">
            <v>TRAN-2.11</v>
          </cell>
          <cell r="I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B444">
            <v>0</v>
          </cell>
          <cell r="C444">
            <v>0</v>
          </cell>
          <cell r="D444" t="str">
            <v>JORNAL-HORA</v>
          </cell>
          <cell r="E444" t="str">
            <v>PRES</v>
          </cell>
          <cell r="F444" t="str">
            <v>Jornal Total</v>
          </cell>
          <cell r="G444" t="str">
            <v>Rendimiento</v>
          </cell>
          <cell r="H444" t="str">
            <v>Valor-Unit.</v>
          </cell>
          <cell r="I444">
            <v>0</v>
          </cell>
        </row>
        <row r="445">
          <cell r="B445" t="str">
            <v>MO004</v>
          </cell>
          <cell r="C445" t="str">
            <v>OFICIAL ENTUBADOR</v>
          </cell>
          <cell r="D445">
            <v>10290.430207916666</v>
          </cell>
          <cell r="E445">
            <v>0</v>
          </cell>
          <cell r="F445">
            <v>10290.430207916666</v>
          </cell>
          <cell r="G445">
            <v>9</v>
          </cell>
          <cell r="H445">
            <v>92613.871871249998</v>
          </cell>
          <cell r="I445">
            <v>0</v>
          </cell>
        </row>
        <row r="446">
          <cell r="B446" t="str">
            <v>MO005</v>
          </cell>
          <cell r="C446" t="str">
            <v>AYUDANTE ENTENDIDO PAV</v>
          </cell>
          <cell r="D446">
            <v>9090.4302079166664</v>
          </cell>
          <cell r="E446">
            <v>0</v>
          </cell>
          <cell r="F446">
            <v>9090.4302079166664</v>
          </cell>
          <cell r="G446">
            <v>9</v>
          </cell>
          <cell r="H446">
            <v>81813.871871249998</v>
          </cell>
          <cell r="I446">
            <v>0</v>
          </cell>
        </row>
        <row r="447">
          <cell r="B447" t="str">
            <v>MO006</v>
          </cell>
          <cell r="C447" t="str">
            <v>AYUDANTE ENTUBADOR</v>
          </cell>
          <cell r="D447">
            <v>8290.4302079166664</v>
          </cell>
          <cell r="E447">
            <v>0</v>
          </cell>
          <cell r="F447">
            <v>8290.4302079166664</v>
          </cell>
          <cell r="G447">
            <v>18</v>
          </cell>
          <cell r="H447">
            <v>149227.7437425</v>
          </cell>
          <cell r="I447">
            <v>0</v>
          </cell>
        </row>
        <row r="448">
          <cell r="B448" t="str">
            <v>MO007</v>
          </cell>
          <cell r="C448" t="str">
            <v>CONTRAMAESTRO</v>
          </cell>
          <cell r="D448">
            <v>12710.935458055557</v>
          </cell>
          <cell r="E448">
            <v>0</v>
          </cell>
          <cell r="F448">
            <v>12710.935458055557</v>
          </cell>
          <cell r="G448">
            <v>0.9</v>
          </cell>
          <cell r="H448">
            <v>11439.841912250002</v>
          </cell>
          <cell r="I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 t="str">
            <v>Sub-Total</v>
          </cell>
          <cell r="G449" t="str">
            <v>2.11</v>
          </cell>
          <cell r="H449" t="str">
            <v>MDEO-2.11</v>
          </cell>
          <cell r="I449">
            <v>335095.32939724997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16754.766469862498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 t="str">
            <v>Total Costo Directo</v>
          </cell>
          <cell r="G451">
            <v>0</v>
          </cell>
          <cell r="H451">
            <v>0</v>
          </cell>
          <cell r="I451">
            <v>869442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 t="str">
            <v>REVISA</v>
          </cell>
          <cell r="G452">
            <v>0</v>
          </cell>
          <cell r="H452">
            <v>0</v>
          </cell>
          <cell r="I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 t="str">
            <v>FIRMA:</v>
          </cell>
          <cell r="G453">
            <v>0</v>
          </cell>
          <cell r="H453">
            <v>0</v>
          </cell>
          <cell r="I453">
            <v>0</v>
          </cell>
        </row>
        <row r="454">
          <cell r="B454" t="str">
            <v xml:space="preserve">ING MARIA LEONOR BLU DIAS </v>
          </cell>
          <cell r="C454">
            <v>0</v>
          </cell>
          <cell r="D454">
            <v>0</v>
          </cell>
          <cell r="E454">
            <v>0</v>
          </cell>
          <cell r="F454" t="str">
            <v>NOMBRE</v>
          </cell>
          <cell r="G454">
            <v>0</v>
          </cell>
          <cell r="H454">
            <v>0</v>
          </cell>
          <cell r="I454">
            <v>0</v>
          </cell>
        </row>
        <row r="455">
          <cell r="B455" t="str">
            <v>MP: 222202-301269 COR</v>
          </cell>
          <cell r="C455">
            <v>0</v>
          </cell>
          <cell r="D455">
            <v>0</v>
          </cell>
          <cell r="E455">
            <v>0</v>
          </cell>
          <cell r="F455" t="str">
            <v>MAT:</v>
          </cell>
          <cell r="G455">
            <v>0</v>
          </cell>
          <cell r="H455">
            <v>0</v>
          </cell>
          <cell r="I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</row>
        <row r="462">
          <cell r="B462" t="str">
            <v>2.12</v>
          </cell>
          <cell r="C462" t="str">
            <v>DESCRIPCION:</v>
          </cell>
          <cell r="D462" t="str">
            <v>LLENO DE MATERIAL GRANULAR RIO PARA CIMIENTO DE LA TUBERIA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</row>
        <row r="463">
          <cell r="B463" t="str">
            <v>803C-EPM</v>
          </cell>
          <cell r="C463">
            <v>0</v>
          </cell>
          <cell r="D463" t="str">
            <v>UNIDAD</v>
          </cell>
          <cell r="E463" t="str">
            <v>M3</v>
          </cell>
          <cell r="F463" t="str">
            <v>CANTIDAD</v>
          </cell>
          <cell r="G463">
            <v>1936</v>
          </cell>
          <cell r="H463" t="str">
            <v>V. UNITARIO:</v>
          </cell>
          <cell r="I463">
            <v>85220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 t="str">
            <v>Tarifa/Hora</v>
          </cell>
          <cell r="G465" t="str">
            <v>Rendimiento</v>
          </cell>
          <cell r="H465" t="str">
            <v>Valor-Unit.</v>
          </cell>
          <cell r="I465">
            <v>0</v>
          </cell>
        </row>
        <row r="466">
          <cell r="B466" t="str">
            <v>E001</v>
          </cell>
          <cell r="C466" t="str">
            <v>COMPACTADOR TIPO CANGURO</v>
          </cell>
          <cell r="D466">
            <v>0</v>
          </cell>
          <cell r="E466">
            <v>0</v>
          </cell>
          <cell r="F466">
            <v>7500</v>
          </cell>
          <cell r="G466">
            <v>0.5</v>
          </cell>
          <cell r="H466">
            <v>3750</v>
          </cell>
          <cell r="I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 t="str">
            <v>Sub-Total</v>
          </cell>
          <cell r="G467" t="str">
            <v>2.12</v>
          </cell>
          <cell r="H467" t="str">
            <v>EQUI-2.12</v>
          </cell>
          <cell r="I467">
            <v>3750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 t="str">
            <v>UNIDAD</v>
          </cell>
          <cell r="F469" t="str">
            <v>V.UNIT</v>
          </cell>
          <cell r="G469" t="str">
            <v>CANT</v>
          </cell>
          <cell r="H469" t="str">
            <v>V.TOTAL</v>
          </cell>
          <cell r="I469">
            <v>0</v>
          </cell>
        </row>
        <row r="470">
          <cell r="B470" t="str">
            <v>M010</v>
          </cell>
          <cell r="C470" t="str">
            <v>MATERIAL GRANULAR DE PRESTAMO</v>
          </cell>
          <cell r="D470">
            <v>0</v>
          </cell>
          <cell r="E470" t="str">
            <v>M3</v>
          </cell>
          <cell r="F470">
            <v>29500</v>
          </cell>
          <cell r="G470">
            <v>1.25</v>
          </cell>
          <cell r="H470">
            <v>36875</v>
          </cell>
          <cell r="I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 t="str">
            <v>Sub-Total</v>
          </cell>
          <cell r="G471" t="str">
            <v>2.12</v>
          </cell>
          <cell r="H471" t="str">
            <v>MAT-2.12</v>
          </cell>
          <cell r="I471">
            <v>36875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</row>
        <row r="473">
          <cell r="B473">
            <v>0</v>
          </cell>
          <cell r="C473">
            <v>0</v>
          </cell>
          <cell r="D473" t="str">
            <v xml:space="preserve">CAN </v>
          </cell>
          <cell r="E473" t="str">
            <v>DISTANCIA</v>
          </cell>
          <cell r="F473" t="str">
            <v>M3-Km / UN-KM</v>
          </cell>
          <cell r="G473" t="str">
            <v>TARIFA</v>
          </cell>
          <cell r="H473" t="str">
            <v>Valor-Unit.</v>
          </cell>
          <cell r="I473">
            <v>0</v>
          </cell>
        </row>
        <row r="474">
          <cell r="B474" t="str">
            <v>T008</v>
          </cell>
          <cell r="C474" t="str">
            <v>TRANS MATERIAL &gt; 10 KM</v>
          </cell>
          <cell r="D474">
            <v>1.25</v>
          </cell>
          <cell r="E474">
            <v>24</v>
          </cell>
          <cell r="F474">
            <v>30</v>
          </cell>
          <cell r="G474">
            <v>980</v>
          </cell>
          <cell r="H474">
            <v>29400</v>
          </cell>
          <cell r="I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 t="str">
            <v>Sub-Total</v>
          </cell>
          <cell r="G475" t="str">
            <v>2.12</v>
          </cell>
          <cell r="H475" t="str">
            <v>TRAN-2.12</v>
          </cell>
          <cell r="I475">
            <v>29400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</row>
        <row r="477">
          <cell r="B477">
            <v>0</v>
          </cell>
          <cell r="C477">
            <v>0</v>
          </cell>
          <cell r="D477" t="str">
            <v>JORNAL-HORA</v>
          </cell>
          <cell r="E477" t="str">
            <v>PRES</v>
          </cell>
          <cell r="F477" t="str">
            <v>Jornal Total</v>
          </cell>
          <cell r="G477" t="str">
            <v>Rendimiento</v>
          </cell>
          <cell r="H477" t="str">
            <v>Valor-Unit.</v>
          </cell>
          <cell r="I477">
            <v>0</v>
          </cell>
        </row>
        <row r="478">
          <cell r="B478" t="str">
            <v>MO004</v>
          </cell>
          <cell r="C478" t="str">
            <v>OFICIAL ENTUBADOR</v>
          </cell>
          <cell r="D478">
            <v>10290.430207916666</v>
          </cell>
          <cell r="E478">
            <v>0</v>
          </cell>
          <cell r="F478">
            <v>10290.430207916666</v>
          </cell>
          <cell r="G478">
            <v>0.5</v>
          </cell>
          <cell r="H478">
            <v>5145.2151039583332</v>
          </cell>
          <cell r="I478">
            <v>0</v>
          </cell>
        </row>
        <row r="479">
          <cell r="B479" t="str">
            <v>MO005</v>
          </cell>
          <cell r="C479" t="str">
            <v>AYUDANTE ENTENDIDO PAV</v>
          </cell>
          <cell r="D479">
            <v>9090.4302079166664</v>
          </cell>
          <cell r="E479">
            <v>0</v>
          </cell>
          <cell r="F479">
            <v>9090.4302079166664</v>
          </cell>
          <cell r="G479">
            <v>0.5</v>
          </cell>
          <cell r="H479">
            <v>4545.2151039583332</v>
          </cell>
          <cell r="I479">
            <v>0</v>
          </cell>
        </row>
        <row r="480">
          <cell r="B480" t="str">
            <v>MO006</v>
          </cell>
          <cell r="C480" t="str">
            <v>AYUDANTE ENTUBADOR</v>
          </cell>
          <cell r="D480">
            <v>8290.4302079166664</v>
          </cell>
          <cell r="E480">
            <v>0</v>
          </cell>
          <cell r="F480">
            <v>8290.4302079166664</v>
          </cell>
          <cell r="G480">
            <v>0.5</v>
          </cell>
          <cell r="H480">
            <v>4145.2151039583332</v>
          </cell>
          <cell r="I480">
            <v>0</v>
          </cell>
        </row>
        <row r="481">
          <cell r="B481" t="str">
            <v>MO007</v>
          </cell>
          <cell r="C481" t="str">
            <v>CONTRAMAESTRO</v>
          </cell>
          <cell r="D481">
            <v>12710.935458055557</v>
          </cell>
          <cell r="E481">
            <v>0</v>
          </cell>
          <cell r="F481">
            <v>12710.935458055557</v>
          </cell>
          <cell r="G481">
            <v>0.05</v>
          </cell>
          <cell r="H481">
            <v>635.54677290277789</v>
          </cell>
          <cell r="I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 t="str">
            <v>Sub-Total</v>
          </cell>
          <cell r="G483" t="str">
            <v>2.12</v>
          </cell>
          <cell r="H483" t="str">
            <v>MDEO-2.12</v>
          </cell>
          <cell r="I483">
            <v>14471.192084777778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723.55960423888894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 t="str">
            <v>Total Costo Directo</v>
          </cell>
          <cell r="G485">
            <v>0</v>
          </cell>
          <cell r="H485">
            <v>0</v>
          </cell>
          <cell r="I485">
            <v>85220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 t="str">
            <v>REVISA</v>
          </cell>
          <cell r="G487">
            <v>0</v>
          </cell>
          <cell r="H487">
            <v>0</v>
          </cell>
          <cell r="I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 t="str">
            <v>FIRMA:</v>
          </cell>
          <cell r="G488">
            <v>0</v>
          </cell>
          <cell r="H488">
            <v>0</v>
          </cell>
          <cell r="I488">
            <v>0</v>
          </cell>
        </row>
        <row r="489">
          <cell r="B489" t="str">
            <v xml:space="preserve">ING MARIA LEONOR BLU DIAS </v>
          </cell>
          <cell r="C489">
            <v>0</v>
          </cell>
          <cell r="D489">
            <v>0</v>
          </cell>
          <cell r="E489">
            <v>0</v>
          </cell>
          <cell r="F489" t="str">
            <v>NOMBRE</v>
          </cell>
          <cell r="G489">
            <v>0</v>
          </cell>
          <cell r="H489">
            <v>0</v>
          </cell>
          <cell r="I489">
            <v>0</v>
          </cell>
        </row>
        <row r="490">
          <cell r="B490" t="str">
            <v>MP: 222202-301269 COR</v>
          </cell>
          <cell r="C490">
            <v>0</v>
          </cell>
          <cell r="D490">
            <v>0</v>
          </cell>
          <cell r="E490">
            <v>0</v>
          </cell>
          <cell r="F490" t="str">
            <v>MAT:</v>
          </cell>
          <cell r="G490">
            <v>0</v>
          </cell>
          <cell r="H490">
            <v>0</v>
          </cell>
          <cell r="I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496">
          <cell r="B496" t="str">
            <v>2.13</v>
          </cell>
          <cell r="C496" t="str">
            <v>DESCRIPCION:</v>
          </cell>
          <cell r="D496" t="str">
            <v xml:space="preserve">LLENO CON MATERIAL DE PRESTAMO LIMO 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</row>
        <row r="497">
          <cell r="B497" t="str">
            <v>PAR-20</v>
          </cell>
          <cell r="C497">
            <v>0</v>
          </cell>
          <cell r="D497" t="str">
            <v>UNIDAD</v>
          </cell>
          <cell r="E497" t="str">
            <v>M3</v>
          </cell>
          <cell r="F497" t="str">
            <v>CANTIDAD</v>
          </cell>
          <cell r="G497">
            <v>6</v>
          </cell>
          <cell r="H497" t="str">
            <v>V. UNITARIO:</v>
          </cell>
          <cell r="I497">
            <v>51349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 t="str">
            <v>Tarifa/Hora</v>
          </cell>
          <cell r="G499" t="str">
            <v>Rendimiento</v>
          </cell>
          <cell r="H499" t="str">
            <v>Valor-Unit.</v>
          </cell>
          <cell r="I499">
            <v>0</v>
          </cell>
        </row>
        <row r="500">
          <cell r="B500" t="str">
            <v>E001</v>
          </cell>
          <cell r="C500" t="str">
            <v>COMPACTADOR TIPO CANGURO</v>
          </cell>
          <cell r="D500">
            <v>0</v>
          </cell>
          <cell r="E500" t="str">
            <v>HORA</v>
          </cell>
          <cell r="F500">
            <v>7500</v>
          </cell>
          <cell r="G500">
            <v>0.5</v>
          </cell>
          <cell r="H500">
            <v>3750</v>
          </cell>
          <cell r="I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 t="str">
            <v>Sub-Total</v>
          </cell>
          <cell r="G501" t="str">
            <v>2.13</v>
          </cell>
          <cell r="H501" t="str">
            <v>EQUI-2.13</v>
          </cell>
          <cell r="I501">
            <v>3750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 t="str">
            <v>UNIDAD</v>
          </cell>
          <cell r="F503" t="str">
            <v>V.UNIT</v>
          </cell>
          <cell r="G503" t="str">
            <v>CANT</v>
          </cell>
          <cell r="H503" t="str">
            <v>V.TOTAL</v>
          </cell>
          <cell r="I503">
            <v>0</v>
          </cell>
        </row>
        <row r="504">
          <cell r="B504" t="str">
            <v>M012</v>
          </cell>
          <cell r="C504" t="str">
            <v>MATERIAL TIPO LIMO DE PRESTAMO</v>
          </cell>
          <cell r="D504">
            <v>0</v>
          </cell>
          <cell r="E504" t="str">
            <v>M3</v>
          </cell>
          <cell r="F504">
            <v>22000</v>
          </cell>
          <cell r="G504">
            <v>1.1000000000000001</v>
          </cell>
          <cell r="H504">
            <v>24200.000000000004</v>
          </cell>
          <cell r="I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 t="str">
            <v>Sub-Total</v>
          </cell>
          <cell r="G505" t="str">
            <v>2.13</v>
          </cell>
          <cell r="H505" t="str">
            <v>MAT-2.13</v>
          </cell>
          <cell r="I505">
            <v>24200.000000000004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</row>
        <row r="507">
          <cell r="B507">
            <v>0</v>
          </cell>
          <cell r="C507">
            <v>0</v>
          </cell>
          <cell r="D507" t="str">
            <v xml:space="preserve">CAN </v>
          </cell>
          <cell r="E507" t="str">
            <v>DISTANCIA</v>
          </cell>
          <cell r="F507" t="str">
            <v>M3-Km / UN-KM</v>
          </cell>
          <cell r="G507" t="str">
            <v>TARIFA</v>
          </cell>
          <cell r="H507" t="str">
            <v>Valor-Unit.</v>
          </cell>
          <cell r="I507">
            <v>0</v>
          </cell>
        </row>
        <row r="508">
          <cell r="B508" t="str">
            <v>T008</v>
          </cell>
          <cell r="C508" t="str">
            <v>TRANS MATERIAL &gt; 10 KM</v>
          </cell>
          <cell r="D508">
            <v>1.1000000000000001</v>
          </cell>
          <cell r="E508">
            <v>8</v>
          </cell>
          <cell r="F508">
            <v>8.8000000000000007</v>
          </cell>
          <cell r="G508">
            <v>980</v>
          </cell>
          <cell r="H508">
            <v>8624</v>
          </cell>
          <cell r="I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 t="str">
            <v>Sub-Total</v>
          </cell>
          <cell r="G509" t="str">
            <v>2.13</v>
          </cell>
          <cell r="H509" t="str">
            <v>TRAN-2.13</v>
          </cell>
          <cell r="I509">
            <v>8624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</row>
        <row r="511">
          <cell r="B511">
            <v>0</v>
          </cell>
          <cell r="C511">
            <v>0</v>
          </cell>
          <cell r="D511" t="str">
            <v>JORNAL-HORA</v>
          </cell>
          <cell r="E511" t="str">
            <v>PRES</v>
          </cell>
          <cell r="F511" t="str">
            <v>Jornal Total</v>
          </cell>
          <cell r="G511" t="str">
            <v>Rendimiento</v>
          </cell>
          <cell r="H511" t="str">
            <v>Valor-Unit.</v>
          </cell>
          <cell r="I511">
            <v>0</v>
          </cell>
        </row>
        <row r="512">
          <cell r="B512" t="str">
            <v>MO004</v>
          </cell>
          <cell r="C512" t="str">
            <v>OFICIAL ENTUBADOR</v>
          </cell>
          <cell r="D512">
            <v>10290.430207916666</v>
          </cell>
          <cell r="E512">
            <v>0</v>
          </cell>
          <cell r="F512">
            <v>10290.430207916666</v>
          </cell>
          <cell r="G512">
            <v>0.5</v>
          </cell>
          <cell r="H512">
            <v>5145.2151039583332</v>
          </cell>
          <cell r="I512">
            <v>0</v>
          </cell>
        </row>
        <row r="513">
          <cell r="B513" t="str">
            <v>MO005</v>
          </cell>
          <cell r="C513" t="str">
            <v>AYUDANTE ENTENDIDO PAV</v>
          </cell>
          <cell r="D513">
            <v>9090.4302079166664</v>
          </cell>
          <cell r="E513">
            <v>0</v>
          </cell>
          <cell r="F513">
            <v>9090.4302079166664</v>
          </cell>
          <cell r="G513">
            <v>0</v>
          </cell>
          <cell r="H513">
            <v>0</v>
          </cell>
          <cell r="I513">
            <v>0</v>
          </cell>
        </row>
        <row r="514">
          <cell r="B514" t="str">
            <v>MO006</v>
          </cell>
          <cell r="C514" t="str">
            <v>AYUDANTE ENTUBADOR</v>
          </cell>
          <cell r="D514">
            <v>8290.4302079166664</v>
          </cell>
          <cell r="E514">
            <v>0</v>
          </cell>
          <cell r="F514">
            <v>8290.4302079166664</v>
          </cell>
          <cell r="G514">
            <v>1</v>
          </cell>
          <cell r="H514">
            <v>8290.4302079166664</v>
          </cell>
          <cell r="I514">
            <v>0</v>
          </cell>
        </row>
        <row r="515">
          <cell r="B515" t="str">
            <v>MO007</v>
          </cell>
          <cell r="C515" t="str">
            <v>CONTRAMAESTRO</v>
          </cell>
          <cell r="D515">
            <v>12710.935458055557</v>
          </cell>
          <cell r="E515">
            <v>0</v>
          </cell>
          <cell r="F515">
            <v>12710.935458055557</v>
          </cell>
          <cell r="G515">
            <v>0.05</v>
          </cell>
          <cell r="H515">
            <v>635.54677290277789</v>
          </cell>
          <cell r="I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 t="str">
            <v>Sub-Total</v>
          </cell>
          <cell r="G517" t="str">
            <v>2.13</v>
          </cell>
          <cell r="H517" t="str">
            <v>MDEO-2.13</v>
          </cell>
          <cell r="I517">
            <v>14071.192084777778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703.55960423888894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 t="str">
            <v>Total Costo Directo</v>
          </cell>
          <cell r="G519">
            <v>0</v>
          </cell>
          <cell r="H519">
            <v>0</v>
          </cell>
          <cell r="I519">
            <v>51349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 t="str">
            <v>REVISA</v>
          </cell>
          <cell r="G520">
            <v>0</v>
          </cell>
          <cell r="H520">
            <v>0</v>
          </cell>
          <cell r="I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 t="str">
            <v>FIRMA:</v>
          </cell>
          <cell r="G521">
            <v>0</v>
          </cell>
          <cell r="H521">
            <v>0</v>
          </cell>
          <cell r="I521">
            <v>0</v>
          </cell>
        </row>
        <row r="522">
          <cell r="B522" t="str">
            <v xml:space="preserve">ING MARIA LEONOR BLU DIAS </v>
          </cell>
          <cell r="C522">
            <v>0</v>
          </cell>
          <cell r="D522">
            <v>0</v>
          </cell>
          <cell r="E522">
            <v>0</v>
          </cell>
          <cell r="F522" t="str">
            <v>NOMBRE</v>
          </cell>
          <cell r="G522">
            <v>0</v>
          </cell>
          <cell r="H522">
            <v>0</v>
          </cell>
          <cell r="I522">
            <v>0</v>
          </cell>
        </row>
        <row r="523">
          <cell r="B523" t="str">
            <v>MP: 222202-301269 COR</v>
          </cell>
          <cell r="C523">
            <v>0</v>
          </cell>
          <cell r="D523">
            <v>0</v>
          </cell>
          <cell r="E523">
            <v>0</v>
          </cell>
          <cell r="F523" t="str">
            <v>MAT:</v>
          </cell>
          <cell r="G523">
            <v>0</v>
          </cell>
          <cell r="H523">
            <v>0</v>
          </cell>
          <cell r="I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</row>
        <row r="530">
          <cell r="B530" t="str">
            <v>2.14</v>
          </cell>
          <cell r="C530" t="str">
            <v>DESCRIPCION:</v>
          </cell>
          <cell r="D530" t="str">
            <v xml:space="preserve">CAJA TIPO SUMIDERO 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</row>
        <row r="531">
          <cell r="B531" t="str">
            <v>PAR-17</v>
          </cell>
          <cell r="C531">
            <v>0</v>
          </cell>
          <cell r="D531" t="str">
            <v>UNIDAD</v>
          </cell>
          <cell r="E531" t="str">
            <v>UNIDAD</v>
          </cell>
          <cell r="F531" t="str">
            <v>CANTIDAD</v>
          </cell>
          <cell r="G531">
            <v>464</v>
          </cell>
          <cell r="H531" t="str">
            <v>V. UNITARIO:</v>
          </cell>
          <cell r="I531">
            <v>1006690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 t="str">
            <v>Tarifa/Hora</v>
          </cell>
          <cell r="G533" t="str">
            <v>Rendimiento</v>
          </cell>
          <cell r="H533" t="str">
            <v>Valor-Unit.</v>
          </cell>
          <cell r="I533">
            <v>0</v>
          </cell>
        </row>
        <row r="534">
          <cell r="B534" t="str">
            <v>E016</v>
          </cell>
          <cell r="C534" t="str">
            <v>FORMALETA PARA CAJA</v>
          </cell>
          <cell r="D534">
            <v>0</v>
          </cell>
          <cell r="E534">
            <v>0</v>
          </cell>
          <cell r="F534">
            <v>7500</v>
          </cell>
          <cell r="G534">
            <v>2</v>
          </cell>
          <cell r="H534">
            <v>15000</v>
          </cell>
          <cell r="I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 t="str">
            <v>Sub-Total</v>
          </cell>
          <cell r="G535" t="str">
            <v>2.14</v>
          </cell>
          <cell r="H535" t="str">
            <v>EQUI-2.14</v>
          </cell>
          <cell r="I535">
            <v>15000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 t="str">
            <v>UNIDAD</v>
          </cell>
          <cell r="F537" t="str">
            <v>V.UNIT</v>
          </cell>
          <cell r="G537" t="str">
            <v>CANT</v>
          </cell>
          <cell r="H537" t="str">
            <v>V.TOTAL</v>
          </cell>
          <cell r="I537">
            <v>0</v>
          </cell>
        </row>
        <row r="538">
          <cell r="B538" t="str">
            <v>M028</v>
          </cell>
          <cell r="C538" t="str">
            <v>REJILLA TIPO SUMIDERO</v>
          </cell>
          <cell r="D538">
            <v>0</v>
          </cell>
          <cell r="E538" t="str">
            <v>Unidad</v>
          </cell>
          <cell r="F538">
            <v>480000</v>
          </cell>
          <cell r="G538">
            <v>1</v>
          </cell>
          <cell r="H538">
            <v>480000</v>
          </cell>
          <cell r="I538">
            <v>0</v>
          </cell>
        </row>
        <row r="539">
          <cell r="B539" t="str">
            <v>M007</v>
          </cell>
          <cell r="C539" t="str">
            <v>CONCRETO 3000PSI EN OBRA</v>
          </cell>
          <cell r="D539">
            <v>0</v>
          </cell>
          <cell r="E539" t="str">
            <v>M3</v>
          </cell>
          <cell r="F539">
            <v>350000</v>
          </cell>
          <cell r="G539">
            <v>0.5</v>
          </cell>
          <cell r="H539">
            <v>175000</v>
          </cell>
          <cell r="I539">
            <v>0</v>
          </cell>
        </row>
        <row r="540">
          <cell r="B540" t="str">
            <v>M002</v>
          </cell>
          <cell r="C540" t="str">
            <v>ACERO  60000 PSI</v>
          </cell>
          <cell r="D540">
            <v>0</v>
          </cell>
          <cell r="E540" t="str">
            <v>KG</v>
          </cell>
          <cell r="F540">
            <v>5400</v>
          </cell>
          <cell r="G540">
            <v>6</v>
          </cell>
          <cell r="H540">
            <v>0</v>
          </cell>
          <cell r="I540">
            <v>0</v>
          </cell>
        </row>
        <row r="541">
          <cell r="B541" t="str">
            <v>M001</v>
          </cell>
          <cell r="C541" t="str">
            <v>ALAMBRE QUEMADO</v>
          </cell>
          <cell r="D541">
            <v>0</v>
          </cell>
          <cell r="E541" t="str">
            <v>KG</v>
          </cell>
          <cell r="F541">
            <v>4500</v>
          </cell>
          <cell r="G541">
            <v>0.24</v>
          </cell>
          <cell r="H541">
            <v>1080</v>
          </cell>
          <cell r="I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 t="str">
            <v>Sub-Total</v>
          </cell>
          <cell r="G542" t="str">
            <v>2.14</v>
          </cell>
          <cell r="H542" t="str">
            <v>MAT-2.14</v>
          </cell>
          <cell r="I542">
            <v>656080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</row>
        <row r="544">
          <cell r="B544">
            <v>0</v>
          </cell>
          <cell r="C544">
            <v>0</v>
          </cell>
          <cell r="D544" t="str">
            <v xml:space="preserve">CAN </v>
          </cell>
          <cell r="E544" t="str">
            <v>DISTANCIA</v>
          </cell>
          <cell r="F544" t="str">
            <v>M3-Km / UN-KM</v>
          </cell>
          <cell r="G544" t="str">
            <v>TARIFA</v>
          </cell>
          <cell r="H544" t="str">
            <v>Valor-Unit.</v>
          </cell>
          <cell r="I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 t="str">
            <v>Sub-Total</v>
          </cell>
          <cell r="G546" t="str">
            <v>2.14</v>
          </cell>
          <cell r="H546" t="str">
            <v>TRAN-2.14</v>
          </cell>
          <cell r="I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</row>
        <row r="548">
          <cell r="B548">
            <v>0</v>
          </cell>
          <cell r="C548">
            <v>0</v>
          </cell>
          <cell r="D548" t="str">
            <v>JORNAL-HORA</v>
          </cell>
          <cell r="E548" t="str">
            <v>PRES</v>
          </cell>
          <cell r="F548" t="str">
            <v>JORNAL TOTAL</v>
          </cell>
          <cell r="G548" t="str">
            <v>RENDIEMIENTO</v>
          </cell>
          <cell r="H548" t="str">
            <v>VALOR-UNIT</v>
          </cell>
          <cell r="I548">
            <v>0</v>
          </cell>
        </row>
        <row r="549">
          <cell r="B549" t="str">
            <v>MO004</v>
          </cell>
          <cell r="C549" t="str">
            <v>OFICIAL ENTUBADOR</v>
          </cell>
          <cell r="D549">
            <v>10290.430207916666</v>
          </cell>
          <cell r="E549">
            <v>0</v>
          </cell>
          <cell r="F549">
            <v>10290.430207916666</v>
          </cell>
          <cell r="G549">
            <v>5</v>
          </cell>
          <cell r="H549">
            <v>51452.151039583332</v>
          </cell>
          <cell r="I549">
            <v>0</v>
          </cell>
        </row>
        <row r="550">
          <cell r="B550" t="str">
            <v>MO005</v>
          </cell>
          <cell r="C550" t="str">
            <v>AYUDANTE ENTENDIDO PAV</v>
          </cell>
          <cell r="D550">
            <v>9090.4302079166664</v>
          </cell>
          <cell r="E550">
            <v>0</v>
          </cell>
          <cell r="F550">
            <v>9090.4302079166664</v>
          </cell>
          <cell r="G550">
            <v>5</v>
          </cell>
          <cell r="H550">
            <v>45452.151039583332</v>
          </cell>
          <cell r="I550">
            <v>0</v>
          </cell>
        </row>
        <row r="551">
          <cell r="B551" t="str">
            <v>MO006</v>
          </cell>
          <cell r="C551" t="str">
            <v>AYUDANTE ENTUBADOR</v>
          </cell>
          <cell r="D551">
            <v>8290.4302079166664</v>
          </cell>
          <cell r="E551">
            <v>0</v>
          </cell>
          <cell r="F551">
            <v>8290.4302079166664</v>
          </cell>
          <cell r="G551">
            <v>10</v>
          </cell>
          <cell r="H551">
            <v>82904.302079166664</v>
          </cell>
          <cell r="I551">
            <v>0</v>
          </cell>
        </row>
        <row r="552">
          <cell r="B552" t="str">
            <v>MO007</v>
          </cell>
          <cell r="C552" t="str">
            <v>CONTRAMAESTRO</v>
          </cell>
          <cell r="D552">
            <v>12710.935458055557</v>
          </cell>
          <cell r="E552">
            <v>0</v>
          </cell>
          <cell r="F552">
            <v>12710.935458055557</v>
          </cell>
          <cell r="G552">
            <v>11</v>
          </cell>
          <cell r="H552">
            <v>139820.29003861113</v>
          </cell>
          <cell r="I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 t="str">
            <v>Sub-Total</v>
          </cell>
          <cell r="G553" t="str">
            <v>2.14</v>
          </cell>
          <cell r="H553" t="str">
            <v>MDEO-2.14</v>
          </cell>
          <cell r="I553">
            <v>319628.89419694443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15981.444709847223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 t="str">
            <v>Total Costo Directo</v>
          </cell>
          <cell r="G555">
            <v>0</v>
          </cell>
          <cell r="H555">
            <v>0</v>
          </cell>
          <cell r="I555">
            <v>1006690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 t="str">
            <v>REVISA</v>
          </cell>
          <cell r="G557">
            <v>0</v>
          </cell>
          <cell r="H557">
            <v>0</v>
          </cell>
          <cell r="I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 t="str">
            <v>FIRMA:</v>
          </cell>
          <cell r="G558">
            <v>0</v>
          </cell>
          <cell r="H558">
            <v>0</v>
          </cell>
          <cell r="I558">
            <v>0</v>
          </cell>
        </row>
        <row r="559">
          <cell r="B559" t="str">
            <v xml:space="preserve">ING MARIA LEONOR BLU DIAS </v>
          </cell>
          <cell r="C559">
            <v>0</v>
          </cell>
          <cell r="D559">
            <v>0</v>
          </cell>
          <cell r="E559">
            <v>0</v>
          </cell>
          <cell r="F559" t="str">
            <v>NOMBRE</v>
          </cell>
          <cell r="G559">
            <v>0</v>
          </cell>
          <cell r="H559">
            <v>0</v>
          </cell>
          <cell r="I559">
            <v>0</v>
          </cell>
        </row>
        <row r="560">
          <cell r="B560" t="str">
            <v>MP: 222202-301269 COR</v>
          </cell>
          <cell r="C560">
            <v>0</v>
          </cell>
          <cell r="D560">
            <v>0</v>
          </cell>
          <cell r="E560">
            <v>0</v>
          </cell>
          <cell r="F560" t="str">
            <v>MAT:</v>
          </cell>
          <cell r="G560">
            <v>0</v>
          </cell>
          <cell r="H560">
            <v>0</v>
          </cell>
          <cell r="I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</row>
        <row r="566">
          <cell r="B566" t="str">
            <v>3.1</v>
          </cell>
          <cell r="C566" t="str">
            <v>DESCRIPCION:</v>
          </cell>
          <cell r="D566" t="str">
            <v>EXCAVACION DE LA EXPLANEACION, CANALES Y PRESTAMOS, CAJEOS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</row>
        <row r="567">
          <cell r="B567" t="str">
            <v>210-13</v>
          </cell>
          <cell r="C567">
            <v>0</v>
          </cell>
          <cell r="D567" t="str">
            <v>UNIDAD</v>
          </cell>
          <cell r="E567" t="str">
            <v>M3</v>
          </cell>
          <cell r="F567" t="str">
            <v>CANTIDAD</v>
          </cell>
          <cell r="G567">
            <v>2433</v>
          </cell>
          <cell r="H567" t="str">
            <v>V. UNITARIO:</v>
          </cell>
          <cell r="I567">
            <v>33832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 t="str">
            <v>Tarifa/Hora/DIA</v>
          </cell>
          <cell r="G569" t="str">
            <v>Rendimiento</v>
          </cell>
          <cell r="H569" t="str">
            <v>Valor-Unit.</v>
          </cell>
          <cell r="I569">
            <v>0</v>
          </cell>
        </row>
        <row r="570">
          <cell r="B570" t="str">
            <v>E003</v>
          </cell>
          <cell r="C570" t="str">
            <v>RETROCARGADOR</v>
          </cell>
          <cell r="D570">
            <v>0</v>
          </cell>
          <cell r="E570">
            <v>0</v>
          </cell>
          <cell r="F570">
            <v>120000</v>
          </cell>
          <cell r="G570">
            <v>0.23668639053254434</v>
          </cell>
          <cell r="H570">
            <v>28402.366863905321</v>
          </cell>
          <cell r="I570">
            <v>0</v>
          </cell>
        </row>
        <row r="571">
          <cell r="B571" t="str">
            <v>E005</v>
          </cell>
          <cell r="C571" t="str">
            <v xml:space="preserve">NIVEL DE PRECISION </v>
          </cell>
          <cell r="D571">
            <v>0</v>
          </cell>
          <cell r="E571">
            <v>0</v>
          </cell>
          <cell r="F571">
            <v>25000</v>
          </cell>
          <cell r="G571">
            <v>2.9585798816568001E-2</v>
          </cell>
          <cell r="H571">
            <v>739.64497041419997</v>
          </cell>
          <cell r="I571">
            <v>0</v>
          </cell>
        </row>
        <row r="572">
          <cell r="B572" t="str">
            <v>E028</v>
          </cell>
          <cell r="C572" t="str">
            <v>VIBROCOMPACTADOR</v>
          </cell>
          <cell r="D572">
            <v>0</v>
          </cell>
          <cell r="E572">
            <v>0</v>
          </cell>
          <cell r="F572">
            <v>120000</v>
          </cell>
          <cell r="G572">
            <v>2.9585798816568001E-2</v>
          </cell>
          <cell r="H572">
            <v>3550.2958579881602</v>
          </cell>
          <cell r="I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 t="str">
            <v>Sub-Total</v>
          </cell>
          <cell r="G573" t="str">
            <v>3.1</v>
          </cell>
          <cell r="H573" t="str">
            <v>EQUI-3.1</v>
          </cell>
          <cell r="I573">
            <v>32692.307692307681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 t="str">
            <v>UNIDAD</v>
          </cell>
          <cell r="F575" t="str">
            <v>V.UNIT</v>
          </cell>
          <cell r="G575" t="str">
            <v>CANT</v>
          </cell>
          <cell r="H575" t="str">
            <v>V.TOTAL</v>
          </cell>
          <cell r="I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 t="str">
            <v>Sub-Total</v>
          </cell>
          <cell r="G577" t="str">
            <v>3.1</v>
          </cell>
          <cell r="H577" t="str">
            <v>MAT-3.1</v>
          </cell>
          <cell r="I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</row>
        <row r="579">
          <cell r="B579">
            <v>0</v>
          </cell>
          <cell r="C579">
            <v>0</v>
          </cell>
          <cell r="D579" t="str">
            <v xml:space="preserve">CAN </v>
          </cell>
          <cell r="E579" t="str">
            <v>DISTANCIA</v>
          </cell>
          <cell r="F579" t="str">
            <v>M3-Km / UN-KM</v>
          </cell>
          <cell r="G579" t="str">
            <v>TARIFA</v>
          </cell>
          <cell r="H579" t="str">
            <v>Valor-Unit.</v>
          </cell>
          <cell r="I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 t="str">
            <v>Sub-Total</v>
          </cell>
          <cell r="G581" t="str">
            <v>3.1</v>
          </cell>
          <cell r="H581" t="str">
            <v>TRAN-3.1</v>
          </cell>
          <cell r="I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</row>
        <row r="583">
          <cell r="B583">
            <v>0</v>
          </cell>
          <cell r="C583">
            <v>0</v>
          </cell>
          <cell r="D583" t="str">
            <v>JORNAL-HORA</v>
          </cell>
          <cell r="E583" t="str">
            <v>PRES</v>
          </cell>
          <cell r="F583" t="str">
            <v>Jornal Total</v>
          </cell>
          <cell r="G583" t="str">
            <v>Rendimiento</v>
          </cell>
          <cell r="H583" t="str">
            <v>Valor-Unit.</v>
          </cell>
          <cell r="I583">
            <v>0</v>
          </cell>
        </row>
        <row r="584">
          <cell r="B584" t="str">
            <v>MO004</v>
          </cell>
          <cell r="C584" t="str">
            <v>OFICIAL ENTUBADOR</v>
          </cell>
          <cell r="D584">
            <v>10290.430207916666</v>
          </cell>
          <cell r="E584">
            <v>0</v>
          </cell>
          <cell r="F584">
            <v>10290.430207916666</v>
          </cell>
          <cell r="G584">
            <v>0</v>
          </cell>
          <cell r="H584">
            <v>0</v>
          </cell>
          <cell r="I584">
            <v>0</v>
          </cell>
        </row>
        <row r="585">
          <cell r="B585" t="str">
            <v>MO007</v>
          </cell>
          <cell r="C585" t="str">
            <v>CONTRAMAESTRO</v>
          </cell>
          <cell r="D585">
            <v>12710.935458055557</v>
          </cell>
          <cell r="E585">
            <v>0</v>
          </cell>
          <cell r="F585">
            <v>12710.935458055557</v>
          </cell>
          <cell r="G585">
            <v>2.9585798816568003E-3</v>
          </cell>
          <cell r="H585">
            <v>37.606317923241235</v>
          </cell>
          <cell r="I585">
            <v>0</v>
          </cell>
        </row>
        <row r="586">
          <cell r="B586" t="str">
            <v>MO006</v>
          </cell>
          <cell r="C586" t="str">
            <v>AYUDANTE ENTUBADOR</v>
          </cell>
          <cell r="D586">
            <v>8290.4302079166664</v>
          </cell>
          <cell r="E586">
            <v>0</v>
          </cell>
          <cell r="F586">
            <v>8290.4302079166664</v>
          </cell>
          <cell r="G586">
            <v>2.9585798816568001E-2</v>
          </cell>
          <cell r="H586">
            <v>245.27900023422052</v>
          </cell>
          <cell r="I586">
            <v>0</v>
          </cell>
        </row>
        <row r="587">
          <cell r="B587" t="str">
            <v>MO002</v>
          </cell>
          <cell r="C587" t="str">
            <v>CADENERO 1</v>
          </cell>
          <cell r="D587">
            <v>12710.935458055557</v>
          </cell>
          <cell r="E587">
            <v>0</v>
          </cell>
          <cell r="F587">
            <v>12710.935458055557</v>
          </cell>
          <cell r="G587">
            <v>2.9585798816568001E-2</v>
          </cell>
          <cell r="H587">
            <v>376.06317923241232</v>
          </cell>
          <cell r="I587">
            <v>0</v>
          </cell>
        </row>
        <row r="588">
          <cell r="B588" t="str">
            <v>MO001</v>
          </cell>
          <cell r="C588" t="str">
            <v>TOPOGRAFO</v>
          </cell>
          <cell r="D588">
            <v>14408.036152500003</v>
          </cell>
          <cell r="E588">
            <v>0</v>
          </cell>
          <cell r="F588">
            <v>14408.036152500003</v>
          </cell>
          <cell r="G588">
            <v>2.9585798816568001E-2</v>
          </cell>
          <cell r="H588">
            <v>426.27325894970352</v>
          </cell>
          <cell r="I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 t="str">
            <v>Sub-Total</v>
          </cell>
          <cell r="G590" t="str">
            <v>3.1</v>
          </cell>
          <cell r="H590" t="str">
            <v>MDEO-3.1</v>
          </cell>
          <cell r="I590">
            <v>1085.2217563395775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54.261087816978879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 t="str">
            <v>Total Costo Directo</v>
          </cell>
          <cell r="G592">
            <v>0</v>
          </cell>
          <cell r="H592">
            <v>0</v>
          </cell>
          <cell r="I592">
            <v>33832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 t="str">
            <v>REVISA</v>
          </cell>
          <cell r="G594">
            <v>0</v>
          </cell>
          <cell r="H594">
            <v>0</v>
          </cell>
          <cell r="I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 t="str">
            <v>FIRMA:</v>
          </cell>
          <cell r="G595">
            <v>0</v>
          </cell>
          <cell r="H595">
            <v>0</v>
          </cell>
          <cell r="I595">
            <v>0</v>
          </cell>
        </row>
        <row r="596">
          <cell r="B596" t="str">
            <v xml:space="preserve">ING MARIA LEONOR BLU DIAS </v>
          </cell>
          <cell r="C596">
            <v>0</v>
          </cell>
          <cell r="D596">
            <v>0</v>
          </cell>
          <cell r="E596">
            <v>0</v>
          </cell>
          <cell r="F596" t="str">
            <v>NOMBRE</v>
          </cell>
          <cell r="G596">
            <v>0</v>
          </cell>
          <cell r="H596">
            <v>0</v>
          </cell>
          <cell r="I596">
            <v>0</v>
          </cell>
        </row>
        <row r="597">
          <cell r="B597" t="str">
            <v>MP: 222202-301269 COR</v>
          </cell>
          <cell r="C597">
            <v>0</v>
          </cell>
          <cell r="D597">
            <v>0</v>
          </cell>
          <cell r="E597">
            <v>0</v>
          </cell>
          <cell r="F597" t="str">
            <v>MAT:</v>
          </cell>
          <cell r="G597">
            <v>0</v>
          </cell>
          <cell r="H597">
            <v>0</v>
          </cell>
          <cell r="I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B603" t="str">
            <v>3.2</v>
          </cell>
          <cell r="C603" t="str">
            <v>DESCRIPCION:</v>
          </cell>
          <cell r="D603" t="str">
            <v>ESTABILIZACION DE LOS SUELOS DE SUBRASANTE  CON GEOTEXTIL TEJIDO 2400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</row>
        <row r="604">
          <cell r="B604" t="str">
            <v>232-13</v>
          </cell>
          <cell r="C604">
            <v>0</v>
          </cell>
          <cell r="D604" t="str">
            <v>UNIDAD</v>
          </cell>
          <cell r="E604" t="str">
            <v>M2</v>
          </cell>
          <cell r="F604" t="str">
            <v>CANTIDAD</v>
          </cell>
          <cell r="G604">
            <v>16220</v>
          </cell>
          <cell r="H604" t="str">
            <v>V. UNITARIO:</v>
          </cell>
          <cell r="I604">
            <v>9878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 t="str">
            <v>Tarifa/Hora</v>
          </cell>
          <cell r="G606" t="str">
            <v>Rendimiento</v>
          </cell>
          <cell r="H606" t="str">
            <v>Valor-Unit.</v>
          </cell>
          <cell r="I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 t="str">
            <v>Sub-Total</v>
          </cell>
          <cell r="G608" t="str">
            <v>3.2</v>
          </cell>
          <cell r="H608" t="str">
            <v>EQUI-3.2</v>
          </cell>
          <cell r="I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 t="str">
            <v>UNIDAD</v>
          </cell>
          <cell r="F610" t="str">
            <v>V.UNIT</v>
          </cell>
          <cell r="G610" t="str">
            <v>CANT</v>
          </cell>
          <cell r="H610" t="str">
            <v>V.TOTAL</v>
          </cell>
          <cell r="I610">
            <v>0</v>
          </cell>
        </row>
        <row r="611">
          <cell r="B611" t="str">
            <v>M015</v>
          </cell>
          <cell r="C611" t="str">
            <v>GEOTEXTIL TEJIDO 2400 T</v>
          </cell>
          <cell r="D611">
            <v>0</v>
          </cell>
          <cell r="E611" t="str">
            <v>M2</v>
          </cell>
          <cell r="F611">
            <v>8500</v>
          </cell>
          <cell r="G611">
            <v>1</v>
          </cell>
          <cell r="H611">
            <v>8500</v>
          </cell>
          <cell r="I611">
            <v>0</v>
          </cell>
        </row>
        <row r="612">
          <cell r="B612" t="str">
            <v>M019</v>
          </cell>
          <cell r="C612" t="str">
            <v>LISTON 2*2 MADERA TIPO CHOIVA</v>
          </cell>
          <cell r="D612">
            <v>0</v>
          </cell>
          <cell r="E612" t="str">
            <v>UNIDAD</v>
          </cell>
          <cell r="F612">
            <v>10000</v>
          </cell>
          <cell r="G612">
            <v>1E-3</v>
          </cell>
          <cell r="H612">
            <v>10</v>
          </cell>
          <cell r="I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 t="str">
            <v>Sub-Total</v>
          </cell>
          <cell r="G613" t="str">
            <v>3.2</v>
          </cell>
          <cell r="H613" t="str">
            <v>MAT-3.2</v>
          </cell>
          <cell r="I613">
            <v>8510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</row>
        <row r="615">
          <cell r="B615">
            <v>0</v>
          </cell>
          <cell r="C615">
            <v>0</v>
          </cell>
          <cell r="D615" t="str">
            <v xml:space="preserve">CAN </v>
          </cell>
          <cell r="E615" t="str">
            <v>DISTANCIA</v>
          </cell>
          <cell r="F615" t="str">
            <v>M3-Km / UN-KM</v>
          </cell>
          <cell r="G615" t="str">
            <v>TARIFA</v>
          </cell>
          <cell r="H615" t="str">
            <v>Valor-Unit.</v>
          </cell>
          <cell r="I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 t="str">
            <v>Sub-Total</v>
          </cell>
          <cell r="G617" t="str">
            <v>3.2</v>
          </cell>
          <cell r="H617" t="str">
            <v>TRAN-3.2</v>
          </cell>
          <cell r="I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</row>
        <row r="619">
          <cell r="B619">
            <v>0</v>
          </cell>
          <cell r="C619">
            <v>0</v>
          </cell>
          <cell r="D619" t="str">
            <v>JORNAL-HORA</v>
          </cell>
          <cell r="E619" t="str">
            <v>PRES</v>
          </cell>
          <cell r="F619" t="str">
            <v>JORNAL TOTAL</v>
          </cell>
          <cell r="G619" t="str">
            <v>RENDIEMIENTO</v>
          </cell>
          <cell r="H619" t="str">
            <v>VALOR-UNIT</v>
          </cell>
          <cell r="I619">
            <v>0</v>
          </cell>
        </row>
        <row r="620">
          <cell r="B620" t="str">
            <v>MO004</v>
          </cell>
          <cell r="C620" t="str">
            <v>OFICIAL ENTUBADOR</v>
          </cell>
          <cell r="D620">
            <v>10290.430207916666</v>
          </cell>
          <cell r="E620">
            <v>0</v>
          </cell>
          <cell r="F620">
            <v>10290.430207916666</v>
          </cell>
          <cell r="G620">
            <v>4.4999999999999998E-2</v>
          </cell>
          <cell r="H620">
            <v>463.06935935624995</v>
          </cell>
          <cell r="I620">
            <v>0</v>
          </cell>
        </row>
        <row r="621">
          <cell r="B621" t="str">
            <v>MO005</v>
          </cell>
          <cell r="C621" t="str">
            <v>AYUDANTE ENTENDIDO PAV</v>
          </cell>
          <cell r="D621">
            <v>9090.4302079166664</v>
          </cell>
          <cell r="E621">
            <v>0</v>
          </cell>
          <cell r="F621">
            <v>9090.4302079166664</v>
          </cell>
          <cell r="G621">
            <v>4.4999999999999998E-2</v>
          </cell>
          <cell r="H621">
            <v>409.06935935624995</v>
          </cell>
          <cell r="I621">
            <v>0</v>
          </cell>
        </row>
        <row r="622">
          <cell r="B622" t="str">
            <v>MO006</v>
          </cell>
          <cell r="C622" t="str">
            <v>AYUDANTE ENTUBADOR</v>
          </cell>
          <cell r="D622">
            <v>8290.4302079166664</v>
          </cell>
          <cell r="E622">
            <v>0</v>
          </cell>
          <cell r="F622">
            <v>8290.4302079166664</v>
          </cell>
          <cell r="G622">
            <v>4.4999999999999998E-2</v>
          </cell>
          <cell r="H622">
            <v>373.06935935624995</v>
          </cell>
          <cell r="I622">
            <v>0</v>
          </cell>
        </row>
        <row r="623">
          <cell r="B623" t="str">
            <v>MO007</v>
          </cell>
          <cell r="C623" t="str">
            <v>CONTRAMAESTRO</v>
          </cell>
          <cell r="D623">
            <v>12710.935458055557</v>
          </cell>
          <cell r="E623">
            <v>0</v>
          </cell>
          <cell r="F623">
            <v>12710.935458055557</v>
          </cell>
          <cell r="G623">
            <v>4.4999999999999997E-3</v>
          </cell>
          <cell r="H623">
            <v>57.199209561250001</v>
          </cell>
          <cell r="I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 t="str">
            <v>Sub-Total</v>
          </cell>
          <cell r="G625" t="str">
            <v>3.2</v>
          </cell>
          <cell r="H625" t="str">
            <v>MDEO-3.2</v>
          </cell>
          <cell r="I625">
            <v>1302.4072876299997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65.120364381499982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 t="str">
            <v>Total Costo Directo</v>
          </cell>
          <cell r="G627">
            <v>0</v>
          </cell>
          <cell r="H627">
            <v>0</v>
          </cell>
          <cell r="I627">
            <v>9878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 t="str">
            <v>REVISA</v>
          </cell>
          <cell r="G628">
            <v>0</v>
          </cell>
          <cell r="H628">
            <v>0</v>
          </cell>
          <cell r="I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 t="str">
            <v>FIRMA:</v>
          </cell>
          <cell r="G629">
            <v>0</v>
          </cell>
          <cell r="H629">
            <v>0</v>
          </cell>
          <cell r="I629">
            <v>0</v>
          </cell>
        </row>
        <row r="630">
          <cell r="B630" t="str">
            <v xml:space="preserve">ING MARIA LEONOR BLU DIAS </v>
          </cell>
          <cell r="C630">
            <v>0</v>
          </cell>
          <cell r="D630">
            <v>0</v>
          </cell>
          <cell r="E630">
            <v>0</v>
          </cell>
          <cell r="F630" t="str">
            <v>NOMBRE</v>
          </cell>
          <cell r="G630">
            <v>0</v>
          </cell>
          <cell r="H630">
            <v>0</v>
          </cell>
          <cell r="I630">
            <v>0</v>
          </cell>
        </row>
        <row r="631">
          <cell r="B631" t="str">
            <v>MP: 222202-301269 COR</v>
          </cell>
          <cell r="C631">
            <v>0</v>
          </cell>
          <cell r="D631">
            <v>0</v>
          </cell>
          <cell r="E631">
            <v>0</v>
          </cell>
          <cell r="F631" t="str">
            <v>MAT:</v>
          </cell>
          <cell r="G631">
            <v>0</v>
          </cell>
          <cell r="H631">
            <v>0</v>
          </cell>
          <cell r="I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</row>
        <row r="637">
          <cell r="B637" t="str">
            <v>3.3</v>
          </cell>
          <cell r="C637" t="str">
            <v>DESCRIPCION:</v>
          </cell>
          <cell r="D637" t="str">
            <v xml:space="preserve">MEJORAMIENTO DE LA SUBRASANTE CON ADICION DE MATEIRALES GRANULAR DE PRESTAMO PARA REMPLAZO 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</row>
        <row r="638">
          <cell r="B638" t="str">
            <v>230-13</v>
          </cell>
          <cell r="C638">
            <v>0</v>
          </cell>
          <cell r="D638" t="str">
            <v>UNIDAD</v>
          </cell>
          <cell r="E638" t="str">
            <v>M3</v>
          </cell>
          <cell r="F638" t="str">
            <v>CANTIDAD</v>
          </cell>
          <cell r="G638">
            <v>2433</v>
          </cell>
          <cell r="H638" t="str">
            <v>V. UNITARIO:</v>
          </cell>
          <cell r="I638">
            <v>115869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 t="str">
            <v>Tarifa/Hora</v>
          </cell>
          <cell r="G640" t="str">
            <v>Rendimiento</v>
          </cell>
          <cell r="H640" t="str">
            <v>Valor-Unit.</v>
          </cell>
          <cell r="I640">
            <v>0</v>
          </cell>
        </row>
        <row r="641">
          <cell r="B641" t="str">
            <v>E019</v>
          </cell>
          <cell r="C641" t="str">
            <v>MOTONIVELADORA</v>
          </cell>
          <cell r="D641">
            <v>0</v>
          </cell>
          <cell r="E641">
            <v>0</v>
          </cell>
          <cell r="F641">
            <v>130000</v>
          </cell>
          <cell r="G641">
            <v>0.05</v>
          </cell>
          <cell r="H641">
            <v>6500</v>
          </cell>
          <cell r="I641">
            <v>0</v>
          </cell>
        </row>
        <row r="642">
          <cell r="B642" t="str">
            <v>E028</v>
          </cell>
          <cell r="C642" t="str">
            <v>VIBROCOMPACTADOR</v>
          </cell>
          <cell r="D642">
            <v>0</v>
          </cell>
          <cell r="E642">
            <v>0</v>
          </cell>
          <cell r="F642">
            <v>120000</v>
          </cell>
          <cell r="G642">
            <v>0.05</v>
          </cell>
          <cell r="H642">
            <v>6000</v>
          </cell>
          <cell r="I642">
            <v>0</v>
          </cell>
        </row>
        <row r="643">
          <cell r="B643" t="str">
            <v>E026</v>
          </cell>
          <cell r="C643" t="str">
            <v>TANQUE DE ALMACENAMIENTO DE AGUA</v>
          </cell>
          <cell r="D643">
            <v>0</v>
          </cell>
          <cell r="E643">
            <v>0</v>
          </cell>
          <cell r="F643">
            <v>1000</v>
          </cell>
          <cell r="G643">
            <v>0.04</v>
          </cell>
          <cell r="H643">
            <v>40</v>
          </cell>
          <cell r="I643">
            <v>0</v>
          </cell>
        </row>
        <row r="644">
          <cell r="B644" t="str">
            <v>E005</v>
          </cell>
          <cell r="C644" t="str">
            <v xml:space="preserve">NIVEL DE PRECISION </v>
          </cell>
          <cell r="D644">
            <v>0</v>
          </cell>
          <cell r="E644">
            <v>0</v>
          </cell>
          <cell r="F644">
            <v>25000</v>
          </cell>
          <cell r="G644">
            <v>0.04</v>
          </cell>
          <cell r="H644">
            <v>1000</v>
          </cell>
          <cell r="I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 t="str">
            <v>Sub-Total</v>
          </cell>
          <cell r="G645" t="str">
            <v>3.3</v>
          </cell>
          <cell r="H645" t="str">
            <v>EQUI-3.3</v>
          </cell>
          <cell r="I645">
            <v>13540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 t="str">
            <v>UNIDAD</v>
          </cell>
          <cell r="F647" t="str">
            <v>V.UNIT</v>
          </cell>
          <cell r="G647" t="str">
            <v>CANT</v>
          </cell>
          <cell r="H647" t="str">
            <v>V.TOTAL</v>
          </cell>
          <cell r="I647">
            <v>0</v>
          </cell>
        </row>
        <row r="648">
          <cell r="B648" t="str">
            <v>M002</v>
          </cell>
          <cell r="C648" t="str">
            <v>AGUA</v>
          </cell>
          <cell r="D648">
            <v>0</v>
          </cell>
          <cell r="E648" t="str">
            <v>M3</v>
          </cell>
          <cell r="F648">
            <v>2750</v>
          </cell>
          <cell r="G648">
            <v>0.2</v>
          </cell>
          <cell r="H648">
            <v>550</v>
          </cell>
          <cell r="I648">
            <v>0</v>
          </cell>
        </row>
        <row r="649">
          <cell r="B649" t="str">
            <v>M010</v>
          </cell>
          <cell r="C649" t="str">
            <v>MATERIAL GRANULAR DE PRESTAMO</v>
          </cell>
          <cell r="D649">
            <v>0</v>
          </cell>
          <cell r="E649" t="str">
            <v>M3</v>
          </cell>
          <cell r="F649">
            <v>29500</v>
          </cell>
          <cell r="G649">
            <v>0.78</v>
          </cell>
          <cell r="H649">
            <v>23010</v>
          </cell>
          <cell r="I649">
            <v>0</v>
          </cell>
        </row>
        <row r="650">
          <cell r="B650" t="str">
            <v>M011</v>
          </cell>
          <cell r="C650" t="str">
            <v>MATERIAL GRANULAR PIEDRA &gt;3"</v>
          </cell>
          <cell r="D650">
            <v>0</v>
          </cell>
          <cell r="E650" t="str">
            <v>M3</v>
          </cell>
          <cell r="F650">
            <v>44000</v>
          </cell>
          <cell r="G650">
            <v>0.52</v>
          </cell>
          <cell r="H650">
            <v>22880</v>
          </cell>
          <cell r="I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 t="str">
            <v>Sub-Total</v>
          </cell>
          <cell r="G651" t="str">
            <v>3.3</v>
          </cell>
          <cell r="H651" t="str">
            <v>MAT-3.3</v>
          </cell>
          <cell r="I651">
            <v>46440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</row>
        <row r="653">
          <cell r="B653">
            <v>0</v>
          </cell>
          <cell r="C653">
            <v>0</v>
          </cell>
          <cell r="D653" t="str">
            <v xml:space="preserve">CAN </v>
          </cell>
          <cell r="E653" t="str">
            <v>DISTANCIA</v>
          </cell>
          <cell r="F653" t="str">
            <v>M3-Km / UN-KM</v>
          </cell>
          <cell r="G653" t="str">
            <v>TARIFA</v>
          </cell>
          <cell r="H653" t="str">
            <v>Valor-Unit.</v>
          </cell>
          <cell r="I653">
            <v>0</v>
          </cell>
        </row>
        <row r="654">
          <cell r="B654" t="str">
            <v>T003</v>
          </cell>
          <cell r="C654" t="str">
            <v>TRANS AGUA 0-5KM</v>
          </cell>
          <cell r="D654">
            <v>0.2</v>
          </cell>
          <cell r="E654">
            <v>5</v>
          </cell>
          <cell r="F654">
            <v>1</v>
          </cell>
          <cell r="G654">
            <v>1095</v>
          </cell>
          <cell r="H654">
            <v>1095</v>
          </cell>
          <cell r="I654">
            <v>0</v>
          </cell>
        </row>
        <row r="655">
          <cell r="B655" t="str">
            <v>T012</v>
          </cell>
          <cell r="C655" t="str">
            <v>TRANS MATERIAL NECOCLI &gt; 10 KM</v>
          </cell>
          <cell r="D655">
            <v>0.78</v>
          </cell>
          <cell r="E655">
            <v>50</v>
          </cell>
          <cell r="F655">
            <v>39</v>
          </cell>
          <cell r="G655">
            <v>650</v>
          </cell>
          <cell r="H655">
            <v>25350</v>
          </cell>
          <cell r="I655">
            <v>0</v>
          </cell>
        </row>
        <row r="656">
          <cell r="B656" t="str">
            <v>T008</v>
          </cell>
          <cell r="C656" t="str">
            <v>TRANS MATERIAL &gt; 10 KM</v>
          </cell>
          <cell r="D656">
            <v>0.52</v>
          </cell>
          <cell r="E656">
            <v>55</v>
          </cell>
          <cell r="F656">
            <v>28.6</v>
          </cell>
          <cell r="G656">
            <v>980</v>
          </cell>
          <cell r="H656">
            <v>28028</v>
          </cell>
          <cell r="I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 t="str">
            <v>Sub-Total</v>
          </cell>
          <cell r="G657" t="str">
            <v>3.3</v>
          </cell>
          <cell r="H657" t="str">
            <v>TRAN-3.3</v>
          </cell>
          <cell r="I657">
            <v>54473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</row>
        <row r="659">
          <cell r="B659">
            <v>0</v>
          </cell>
          <cell r="C659">
            <v>0</v>
          </cell>
          <cell r="D659" t="str">
            <v>JORNAL-HORA</v>
          </cell>
          <cell r="E659" t="str">
            <v>PRES</v>
          </cell>
          <cell r="F659" t="str">
            <v>JORNAL TOTAL</v>
          </cell>
          <cell r="G659" t="str">
            <v>RENDIEMIENTO</v>
          </cell>
          <cell r="H659" t="str">
            <v>VALOR-UNIT</v>
          </cell>
          <cell r="I659">
            <v>0</v>
          </cell>
        </row>
        <row r="660">
          <cell r="B660" t="str">
            <v>MO004</v>
          </cell>
          <cell r="C660" t="str">
            <v>OFICIAL ENTUBADOR</v>
          </cell>
          <cell r="D660">
            <v>10290.430207916666</v>
          </cell>
          <cell r="E660">
            <v>0</v>
          </cell>
          <cell r="F660">
            <v>10290.430207916666</v>
          </cell>
          <cell r="G660">
            <v>0</v>
          </cell>
          <cell r="H660">
            <v>0</v>
          </cell>
          <cell r="I660">
            <v>0</v>
          </cell>
        </row>
        <row r="661">
          <cell r="B661" t="str">
            <v>MO005</v>
          </cell>
          <cell r="C661" t="str">
            <v>AYUDANTE ENTENDIDO PAV</v>
          </cell>
          <cell r="D661">
            <v>9090.4302079166664</v>
          </cell>
          <cell r="E661">
            <v>0</v>
          </cell>
          <cell r="F661">
            <v>9090.4302079166664</v>
          </cell>
          <cell r="G661">
            <v>0</v>
          </cell>
          <cell r="H661">
            <v>0</v>
          </cell>
          <cell r="I661">
            <v>0</v>
          </cell>
        </row>
        <row r="662">
          <cell r="B662" t="str">
            <v>MO006</v>
          </cell>
          <cell r="C662" t="str">
            <v>AYUDANTE ENTUBADOR</v>
          </cell>
          <cell r="D662">
            <v>8290.4302079166664</v>
          </cell>
          <cell r="E662">
            <v>0</v>
          </cell>
          <cell r="F662">
            <v>8290.4302079166664</v>
          </cell>
          <cell r="G662">
            <v>0.04</v>
          </cell>
          <cell r="H662">
            <v>331.61720831666668</v>
          </cell>
          <cell r="I662">
            <v>0</v>
          </cell>
        </row>
        <row r="663">
          <cell r="B663" t="str">
            <v>MO007</v>
          </cell>
          <cell r="C663" t="str">
            <v>CONTRAMAESTRO</v>
          </cell>
          <cell r="D663">
            <v>12710.935458055557</v>
          </cell>
          <cell r="E663">
            <v>0</v>
          </cell>
          <cell r="F663">
            <v>12710.935458055557</v>
          </cell>
          <cell r="G663">
            <v>0.04</v>
          </cell>
          <cell r="H663">
            <v>508.4374183222223</v>
          </cell>
          <cell r="I663">
            <v>0</v>
          </cell>
        </row>
        <row r="664">
          <cell r="B664" t="str">
            <v>MO002</v>
          </cell>
          <cell r="C664" t="str">
            <v>CADENERO 1</v>
          </cell>
          <cell r="D664">
            <v>12710.935458055557</v>
          </cell>
          <cell r="E664">
            <v>0</v>
          </cell>
          <cell r="F664">
            <v>12710.935458055557</v>
          </cell>
          <cell r="G664">
            <v>0.04</v>
          </cell>
          <cell r="H664">
            <v>508.4374183222223</v>
          </cell>
          <cell r="I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 t="str">
            <v>Sub-Total</v>
          </cell>
          <cell r="G666" t="str">
            <v>3.3</v>
          </cell>
          <cell r="H666" t="str">
            <v>MDEO-3.3</v>
          </cell>
          <cell r="I666">
            <v>1348.4920449611113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67.424602248055564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 t="str">
            <v>Total Costo Directo</v>
          </cell>
          <cell r="G668">
            <v>0</v>
          </cell>
          <cell r="H668">
            <v>0</v>
          </cell>
          <cell r="I668">
            <v>115869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 t="str">
            <v>REVISA</v>
          </cell>
          <cell r="G670">
            <v>0</v>
          </cell>
          <cell r="H670">
            <v>0</v>
          </cell>
          <cell r="I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 t="str">
            <v>FIRMA:</v>
          </cell>
          <cell r="G671">
            <v>0</v>
          </cell>
          <cell r="H671">
            <v>0</v>
          </cell>
          <cell r="I671">
            <v>0</v>
          </cell>
        </row>
        <row r="672">
          <cell r="B672" t="str">
            <v xml:space="preserve">ING MARIA LEONOR BLU DIAS </v>
          </cell>
          <cell r="C672">
            <v>0</v>
          </cell>
          <cell r="D672">
            <v>0</v>
          </cell>
          <cell r="E672">
            <v>0</v>
          </cell>
          <cell r="F672" t="str">
            <v>NOMBRE</v>
          </cell>
          <cell r="G672">
            <v>0</v>
          </cell>
          <cell r="H672">
            <v>0</v>
          </cell>
          <cell r="I672">
            <v>0</v>
          </cell>
        </row>
        <row r="673">
          <cell r="B673" t="str">
            <v>MP: 222202-301269 COR</v>
          </cell>
          <cell r="C673">
            <v>0</v>
          </cell>
          <cell r="D673">
            <v>0</v>
          </cell>
          <cell r="E673">
            <v>0</v>
          </cell>
          <cell r="F673" t="str">
            <v>MAT:</v>
          </cell>
          <cell r="G673">
            <v>0</v>
          </cell>
          <cell r="H673">
            <v>0</v>
          </cell>
          <cell r="I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</row>
        <row r="679">
          <cell r="B679" t="str">
            <v>3.4</v>
          </cell>
          <cell r="C679" t="str">
            <v>DESCRIPCION:</v>
          </cell>
          <cell r="D679" t="str">
            <v>MEJORAMIENTO CON CEMENTO SUB BASE GRANUALAR MATERIAL GRANULAR EXISTENTE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</row>
        <row r="680">
          <cell r="B680" t="str">
            <v>330-1</v>
          </cell>
          <cell r="C680">
            <v>0</v>
          </cell>
          <cell r="D680" t="str">
            <v>UNIDAD</v>
          </cell>
          <cell r="E680" t="str">
            <v>M3</v>
          </cell>
          <cell r="F680" t="str">
            <v>CANTIDAD</v>
          </cell>
          <cell r="G680">
            <v>7715</v>
          </cell>
          <cell r="H680" t="str">
            <v>V. UNITARIO:</v>
          </cell>
          <cell r="I680">
            <v>93617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 t="str">
            <v>Tarifa/Hora</v>
          </cell>
          <cell r="G682" t="str">
            <v>Rendimiento</v>
          </cell>
          <cell r="H682" t="str">
            <v>Valor-Unit.</v>
          </cell>
          <cell r="I682">
            <v>0</v>
          </cell>
        </row>
        <row r="683">
          <cell r="B683" t="str">
            <v>E019</v>
          </cell>
          <cell r="C683" t="str">
            <v>MOTONIVELADORA</v>
          </cell>
          <cell r="D683">
            <v>0</v>
          </cell>
          <cell r="E683">
            <v>0</v>
          </cell>
          <cell r="F683">
            <v>130000</v>
          </cell>
          <cell r="G683">
            <v>0.05</v>
          </cell>
          <cell r="H683">
            <v>6500</v>
          </cell>
          <cell r="I683">
            <v>0</v>
          </cell>
        </row>
        <row r="684">
          <cell r="B684" t="str">
            <v>E034</v>
          </cell>
          <cell r="C684" t="str">
            <v>VIBROCOMPACTADOR  (15 TON)</v>
          </cell>
          <cell r="D684">
            <v>0</v>
          </cell>
          <cell r="E684">
            <v>0</v>
          </cell>
          <cell r="F684">
            <v>127302</v>
          </cell>
          <cell r="G684">
            <v>0.05</v>
          </cell>
          <cell r="H684">
            <v>6365.1</v>
          </cell>
          <cell r="I684">
            <v>0</v>
          </cell>
        </row>
        <row r="685">
          <cell r="B685" t="str">
            <v>E036</v>
          </cell>
          <cell r="C685" t="str">
            <v>CARROTANQUE DE AGUA 10000 LITROS</v>
          </cell>
          <cell r="D685">
            <v>0</v>
          </cell>
          <cell r="E685">
            <v>0</v>
          </cell>
          <cell r="F685">
            <v>90000</v>
          </cell>
          <cell r="G685">
            <v>0.05</v>
          </cell>
          <cell r="H685">
            <v>4500</v>
          </cell>
          <cell r="I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 t="str">
            <v>Sub-Total</v>
          </cell>
          <cell r="G686" t="str">
            <v>3.4</v>
          </cell>
          <cell r="H686" t="str">
            <v>EQUI-3.4</v>
          </cell>
          <cell r="I686">
            <v>17365.099999999999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 t="str">
            <v>UNIDAD</v>
          </cell>
          <cell r="F688" t="str">
            <v>V.UNIT</v>
          </cell>
          <cell r="G688" t="str">
            <v>CANT</v>
          </cell>
          <cell r="H688" t="str">
            <v>V.TOTAL</v>
          </cell>
          <cell r="I688">
            <v>0</v>
          </cell>
        </row>
        <row r="689">
          <cell r="B689" t="str">
            <v>M002</v>
          </cell>
          <cell r="C689" t="str">
            <v>AGUA</v>
          </cell>
          <cell r="D689">
            <v>0</v>
          </cell>
          <cell r="E689" t="str">
            <v>M3</v>
          </cell>
          <cell r="F689">
            <v>2750</v>
          </cell>
          <cell r="G689">
            <v>0.2</v>
          </cell>
          <cell r="H689">
            <v>550</v>
          </cell>
          <cell r="I689">
            <v>0</v>
          </cell>
        </row>
        <row r="690">
          <cell r="B690" t="str">
            <v>M014</v>
          </cell>
          <cell r="C690" t="str">
            <v xml:space="preserve">SUBBASE GRANULAR </v>
          </cell>
          <cell r="D690">
            <v>0</v>
          </cell>
          <cell r="E690" t="str">
            <v>M3</v>
          </cell>
          <cell r="F690">
            <v>39000</v>
          </cell>
          <cell r="G690">
            <v>0.75</v>
          </cell>
          <cell r="H690">
            <v>29250</v>
          </cell>
          <cell r="I690">
            <v>0</v>
          </cell>
        </row>
        <row r="691">
          <cell r="B691" t="str">
            <v>M005</v>
          </cell>
          <cell r="C691" t="str">
            <v>CEMENTO GRIS</v>
          </cell>
          <cell r="D691">
            <v>0</v>
          </cell>
          <cell r="E691" t="str">
            <v>SACO</v>
          </cell>
          <cell r="F691">
            <v>23192.362200000003</v>
          </cell>
          <cell r="G691">
            <v>1</v>
          </cell>
          <cell r="H691">
            <v>0</v>
          </cell>
          <cell r="I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 t="str">
            <v>Sub-Total</v>
          </cell>
          <cell r="G692" t="str">
            <v>3.4</v>
          </cell>
          <cell r="H692" t="str">
            <v>MAT-3.4</v>
          </cell>
          <cell r="I692">
            <v>29800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</row>
        <row r="694">
          <cell r="B694">
            <v>0</v>
          </cell>
          <cell r="C694">
            <v>0</v>
          </cell>
          <cell r="D694" t="str">
            <v xml:space="preserve">CAN </v>
          </cell>
          <cell r="E694" t="str">
            <v>DISTANCIA</v>
          </cell>
          <cell r="F694" t="str">
            <v>M3-Km / UN-KM</v>
          </cell>
          <cell r="G694" t="str">
            <v>TARIFA</v>
          </cell>
          <cell r="H694" t="str">
            <v>Valor-Unit.</v>
          </cell>
          <cell r="I694">
            <v>0</v>
          </cell>
        </row>
        <row r="695">
          <cell r="B695" t="str">
            <v>T008</v>
          </cell>
          <cell r="C695" t="str">
            <v>TRANS MATERIAL &gt; 10 KM</v>
          </cell>
          <cell r="D695">
            <v>0.75</v>
          </cell>
          <cell r="E695">
            <v>55</v>
          </cell>
          <cell r="F695">
            <v>41.25</v>
          </cell>
          <cell r="G695">
            <v>980</v>
          </cell>
          <cell r="H695">
            <v>40425</v>
          </cell>
          <cell r="I695">
            <v>0</v>
          </cell>
        </row>
        <row r="696">
          <cell r="B696" t="str">
            <v>T003</v>
          </cell>
          <cell r="C696" t="str">
            <v>TRANS AGUA 0-5KM</v>
          </cell>
          <cell r="D696">
            <v>0.2</v>
          </cell>
          <cell r="E696">
            <v>5</v>
          </cell>
          <cell r="F696">
            <v>1</v>
          </cell>
          <cell r="G696">
            <v>1095</v>
          </cell>
          <cell r="H696">
            <v>1095</v>
          </cell>
          <cell r="I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 t="str">
            <v>Sub-Total</v>
          </cell>
          <cell r="G697" t="str">
            <v>3.4</v>
          </cell>
          <cell r="H697" t="str">
            <v>TRAN-3.4</v>
          </cell>
          <cell r="I697">
            <v>41520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</row>
        <row r="699">
          <cell r="B699">
            <v>0</v>
          </cell>
          <cell r="C699">
            <v>0</v>
          </cell>
          <cell r="D699" t="str">
            <v>JORNAL-HORA</v>
          </cell>
          <cell r="E699" t="str">
            <v>PRES</v>
          </cell>
          <cell r="F699" t="str">
            <v>JORNAL TOTAL</v>
          </cell>
          <cell r="G699" t="str">
            <v>RENDIEMIENTO</v>
          </cell>
          <cell r="H699" t="str">
            <v>VALOR-UNIT</v>
          </cell>
          <cell r="I699">
            <v>0</v>
          </cell>
        </row>
        <row r="700">
          <cell r="B700" t="str">
            <v>MO004</v>
          </cell>
          <cell r="C700" t="str">
            <v>OFICIAL ENTUBADOR</v>
          </cell>
          <cell r="D700">
            <v>10290.430207916666</v>
          </cell>
          <cell r="E700">
            <v>0</v>
          </cell>
          <cell r="F700">
            <v>10290.430207916666</v>
          </cell>
          <cell r="G700">
            <v>0.1</v>
          </cell>
          <cell r="H700">
            <v>1029.0430207916668</v>
          </cell>
          <cell r="I700">
            <v>0</v>
          </cell>
        </row>
        <row r="701">
          <cell r="B701" t="str">
            <v>MO007</v>
          </cell>
          <cell r="C701" t="str">
            <v>CONTRAMAESTRO</v>
          </cell>
          <cell r="D701">
            <v>12710.935458055557</v>
          </cell>
          <cell r="E701">
            <v>0</v>
          </cell>
          <cell r="F701">
            <v>12710.935458055557</v>
          </cell>
          <cell r="G701">
            <v>1.0000000000000002E-2</v>
          </cell>
          <cell r="H701">
            <v>127.1093545805556</v>
          </cell>
          <cell r="I701">
            <v>0</v>
          </cell>
        </row>
        <row r="702">
          <cell r="B702" t="str">
            <v>MO006</v>
          </cell>
          <cell r="C702" t="str">
            <v>AYUDANTE ENTUBADOR</v>
          </cell>
          <cell r="D702">
            <v>8290.4302079166664</v>
          </cell>
          <cell r="E702">
            <v>0</v>
          </cell>
          <cell r="F702">
            <v>8290.4302079166664</v>
          </cell>
          <cell r="G702">
            <v>0.1</v>
          </cell>
          <cell r="H702">
            <v>829.04302079166666</v>
          </cell>
          <cell r="I702">
            <v>0</v>
          </cell>
        </row>
        <row r="703">
          <cell r="B703" t="str">
            <v>MO001</v>
          </cell>
          <cell r="C703" t="str">
            <v>TOPOGRAFO</v>
          </cell>
          <cell r="D703">
            <v>14408.036152500003</v>
          </cell>
          <cell r="E703">
            <v>0</v>
          </cell>
          <cell r="F703">
            <v>14408.036152500003</v>
          </cell>
          <cell r="G703">
            <v>0.1</v>
          </cell>
          <cell r="H703">
            <v>1440.8036152500003</v>
          </cell>
          <cell r="I703">
            <v>0</v>
          </cell>
        </row>
        <row r="704">
          <cell r="B704" t="str">
            <v>MO002</v>
          </cell>
          <cell r="C704" t="str">
            <v>CADENERO 1</v>
          </cell>
          <cell r="D704">
            <v>12710.935458055557</v>
          </cell>
          <cell r="E704">
            <v>0</v>
          </cell>
          <cell r="F704">
            <v>12710.935458055557</v>
          </cell>
          <cell r="G704">
            <v>0.1</v>
          </cell>
          <cell r="H704">
            <v>1271.0935458055558</v>
          </cell>
          <cell r="I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 t="str">
            <v>Sub-Total</v>
          </cell>
          <cell r="G705" t="str">
            <v>3.4</v>
          </cell>
          <cell r="H705" t="str">
            <v>MDEO-3.4</v>
          </cell>
          <cell r="I705">
            <v>4697.0925572194456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234.8546278609723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 t="str">
            <v>Total Costo Directo</v>
          </cell>
          <cell r="G707">
            <v>0</v>
          </cell>
          <cell r="H707">
            <v>0</v>
          </cell>
          <cell r="I707">
            <v>93617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 t="str">
            <v>REVISA</v>
          </cell>
          <cell r="G709">
            <v>0</v>
          </cell>
          <cell r="H709">
            <v>0</v>
          </cell>
          <cell r="I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 t="str">
            <v>FIRMA:</v>
          </cell>
          <cell r="G710">
            <v>0</v>
          </cell>
          <cell r="H710">
            <v>0</v>
          </cell>
          <cell r="I710">
            <v>0</v>
          </cell>
        </row>
        <row r="711">
          <cell r="B711" t="str">
            <v xml:space="preserve">ING MARIA LEONOR BLU DIAS </v>
          </cell>
          <cell r="C711">
            <v>0</v>
          </cell>
          <cell r="D711">
            <v>0</v>
          </cell>
          <cell r="E711">
            <v>0</v>
          </cell>
          <cell r="F711" t="str">
            <v>NOMBRE</v>
          </cell>
          <cell r="G711">
            <v>0</v>
          </cell>
          <cell r="H711">
            <v>0</v>
          </cell>
          <cell r="I711">
            <v>0</v>
          </cell>
        </row>
        <row r="712">
          <cell r="B712" t="str">
            <v>MP: 222202-301269 COR</v>
          </cell>
          <cell r="C712">
            <v>0</v>
          </cell>
          <cell r="D712">
            <v>0</v>
          </cell>
          <cell r="E712">
            <v>0</v>
          </cell>
          <cell r="F712" t="str">
            <v>MAT:</v>
          </cell>
          <cell r="G712">
            <v>0</v>
          </cell>
          <cell r="H712">
            <v>0</v>
          </cell>
          <cell r="I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</row>
        <row r="718">
          <cell r="B718" t="str">
            <v>3.5</v>
          </cell>
          <cell r="C718" t="str">
            <v>DESCRIPCION:</v>
          </cell>
          <cell r="D718" t="str">
            <v>PAVIMENTO EN CONCRETO HIDRAULICO MR 39 Mpa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</row>
        <row r="719">
          <cell r="B719" t="str">
            <v>500-13</v>
          </cell>
          <cell r="C719">
            <v>0</v>
          </cell>
          <cell r="D719" t="str">
            <v>UNIDAD</v>
          </cell>
          <cell r="E719" t="str">
            <v>M3</v>
          </cell>
          <cell r="F719" t="str">
            <v>CANTIDAD</v>
          </cell>
          <cell r="G719">
            <v>10024</v>
          </cell>
          <cell r="H719" t="str">
            <v>V. UNITARIO:</v>
          </cell>
          <cell r="I719">
            <v>209861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 t="str">
            <v>Tarifa/Hora/DIA</v>
          </cell>
          <cell r="G721" t="str">
            <v>Rendimiento</v>
          </cell>
          <cell r="H721" t="str">
            <v>Valor-Unit.</v>
          </cell>
          <cell r="I721">
            <v>0</v>
          </cell>
        </row>
        <row r="722">
          <cell r="B722" t="str">
            <v>E026</v>
          </cell>
          <cell r="C722" t="str">
            <v>TANQUE DE ALMACENAMIENTO DE AGUA</v>
          </cell>
          <cell r="D722">
            <v>0</v>
          </cell>
          <cell r="E722">
            <v>0</v>
          </cell>
          <cell r="F722">
            <v>1000</v>
          </cell>
          <cell r="G722">
            <v>0.5</v>
          </cell>
          <cell r="H722">
            <v>500</v>
          </cell>
          <cell r="I722">
            <v>0</v>
          </cell>
        </row>
        <row r="723">
          <cell r="B723" t="str">
            <v>E005</v>
          </cell>
          <cell r="C723" t="str">
            <v xml:space="preserve">NIVEL DE PRECISION </v>
          </cell>
          <cell r="D723">
            <v>0</v>
          </cell>
          <cell r="E723">
            <v>0</v>
          </cell>
          <cell r="F723">
            <v>25000</v>
          </cell>
          <cell r="G723">
            <v>0.05</v>
          </cell>
          <cell r="H723">
            <v>1250</v>
          </cell>
          <cell r="I723">
            <v>0</v>
          </cell>
        </row>
        <row r="724">
          <cell r="B724" t="str">
            <v>E006</v>
          </cell>
          <cell r="C724" t="str">
            <v>EQUIPO DE PAVIMENTO (FLOTA Y RASTRILLO)</v>
          </cell>
          <cell r="D724">
            <v>0</v>
          </cell>
          <cell r="E724">
            <v>0</v>
          </cell>
          <cell r="F724">
            <v>1500</v>
          </cell>
          <cell r="G724">
            <v>0.8</v>
          </cell>
          <cell r="H724">
            <v>1200</v>
          </cell>
          <cell r="I724">
            <v>0</v>
          </cell>
        </row>
        <row r="725">
          <cell r="B725" t="str">
            <v>E027</v>
          </cell>
          <cell r="C725" t="str">
            <v>VIBRADOR DE AGUJA</v>
          </cell>
          <cell r="D725">
            <v>0</v>
          </cell>
          <cell r="E725">
            <v>0</v>
          </cell>
          <cell r="F725">
            <v>4375</v>
          </cell>
          <cell r="G725">
            <v>0.4</v>
          </cell>
          <cell r="H725">
            <v>1750</v>
          </cell>
          <cell r="I725">
            <v>0</v>
          </cell>
        </row>
        <row r="726">
          <cell r="B726" t="str">
            <v>E014</v>
          </cell>
          <cell r="C726" t="str">
            <v>FORMALETA METALICA PARA PAVIMETNO</v>
          </cell>
          <cell r="D726">
            <v>0</v>
          </cell>
          <cell r="E726">
            <v>0</v>
          </cell>
          <cell r="F726">
            <v>1100</v>
          </cell>
          <cell r="G726">
            <v>0.4</v>
          </cell>
          <cell r="H726">
            <v>440</v>
          </cell>
          <cell r="I726">
            <v>0</v>
          </cell>
        </row>
        <row r="727">
          <cell r="B727" t="str">
            <v>E021</v>
          </cell>
          <cell r="C727" t="str">
            <v>REGLA VIBRATORIA</v>
          </cell>
          <cell r="D727">
            <v>0</v>
          </cell>
          <cell r="E727">
            <v>0</v>
          </cell>
          <cell r="F727">
            <v>2500</v>
          </cell>
          <cell r="G727">
            <v>0.4</v>
          </cell>
          <cell r="H727">
            <v>1000</v>
          </cell>
          <cell r="I727">
            <v>0</v>
          </cell>
        </row>
        <row r="728">
          <cell r="B728" t="str">
            <v>E004</v>
          </cell>
          <cell r="C728" t="str">
            <v>CORTADORA DE PAVIMENTO</v>
          </cell>
          <cell r="D728">
            <v>0</v>
          </cell>
          <cell r="E728">
            <v>0</v>
          </cell>
          <cell r="F728">
            <v>7500</v>
          </cell>
          <cell r="G728">
            <v>0.2</v>
          </cell>
          <cell r="H728">
            <v>1500</v>
          </cell>
          <cell r="I728">
            <v>0</v>
          </cell>
        </row>
        <row r="729">
          <cell r="B729" t="str">
            <v>E008</v>
          </cell>
          <cell r="C729" t="str">
            <v>EQUIPO DEMOLEDOR TIPO COMPRESOR</v>
          </cell>
          <cell r="D729">
            <v>0</v>
          </cell>
          <cell r="E729">
            <v>0</v>
          </cell>
          <cell r="F729">
            <v>65000</v>
          </cell>
          <cell r="G729">
            <v>0.25</v>
          </cell>
          <cell r="H729">
            <v>16250</v>
          </cell>
          <cell r="I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 t="str">
            <v>Sub-Total</v>
          </cell>
          <cell r="G730" t="str">
            <v>3.5</v>
          </cell>
          <cell r="H730" t="str">
            <v>EQUI-3.5</v>
          </cell>
          <cell r="I730">
            <v>23890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  <cell r="E732" t="str">
            <v>UNIDAD</v>
          </cell>
          <cell r="F732" t="str">
            <v>V.UNIT</v>
          </cell>
          <cell r="G732" t="str">
            <v>CANT</v>
          </cell>
          <cell r="H732" t="str">
            <v>V.TOTAL</v>
          </cell>
          <cell r="I732">
            <v>0</v>
          </cell>
        </row>
        <row r="733">
          <cell r="B733" t="str">
            <v>M008</v>
          </cell>
          <cell r="C733" t="str">
            <v>CONCRETO PREMEZCLADO MR 3,9 Mpa</v>
          </cell>
          <cell r="D733">
            <v>0</v>
          </cell>
          <cell r="E733" t="str">
            <v>M3</v>
          </cell>
          <cell r="F733">
            <v>474413.73</v>
          </cell>
          <cell r="G733">
            <v>1</v>
          </cell>
          <cell r="H733">
            <v>0</v>
          </cell>
          <cell r="I733">
            <v>0</v>
          </cell>
        </row>
        <row r="734">
          <cell r="B734" t="str">
            <v>M009</v>
          </cell>
          <cell r="C734" t="str">
            <v>CURADOR TIPO ANTISOL</v>
          </cell>
          <cell r="D734">
            <v>0</v>
          </cell>
          <cell r="E734" t="str">
            <v>KG</v>
          </cell>
          <cell r="F734">
            <v>7500</v>
          </cell>
          <cell r="G734">
            <v>1.1111111111111112</v>
          </cell>
          <cell r="H734">
            <v>8333.3333333333339</v>
          </cell>
          <cell r="I734">
            <v>0</v>
          </cell>
        </row>
        <row r="735">
          <cell r="B735" t="str">
            <v>M030</v>
          </cell>
          <cell r="C735" t="str">
            <v>SIKAFLEX</v>
          </cell>
          <cell r="D735">
            <v>0</v>
          </cell>
          <cell r="E735" t="str">
            <v>CC</v>
          </cell>
          <cell r="F735">
            <v>31400</v>
          </cell>
          <cell r="G735">
            <v>2.7777777777777776E-2</v>
          </cell>
          <cell r="H735">
            <v>872.22222222222217</v>
          </cell>
          <cell r="I735">
            <v>0</v>
          </cell>
        </row>
        <row r="736">
          <cell r="B736" t="str">
            <v>M031</v>
          </cell>
          <cell r="C736" t="str">
            <v>SIKAROD</v>
          </cell>
          <cell r="D736">
            <v>0</v>
          </cell>
          <cell r="E736" t="str">
            <v>ML</v>
          </cell>
          <cell r="F736">
            <v>3800</v>
          </cell>
          <cell r="G736">
            <v>2.7777777777777777</v>
          </cell>
          <cell r="H736">
            <v>10555.555555555555</v>
          </cell>
          <cell r="I736">
            <v>0</v>
          </cell>
        </row>
        <row r="737">
          <cell r="B737" t="str">
            <v>M002</v>
          </cell>
          <cell r="C737" t="str">
            <v>ACERO  60000 PSI</v>
          </cell>
          <cell r="D737">
            <v>0</v>
          </cell>
          <cell r="E737" t="str">
            <v>KG</v>
          </cell>
          <cell r="F737">
            <v>5400</v>
          </cell>
          <cell r="G737">
            <v>8</v>
          </cell>
          <cell r="H737">
            <v>0</v>
          </cell>
          <cell r="I737">
            <v>0</v>
          </cell>
        </row>
        <row r="738">
          <cell r="B738" t="str">
            <v>M022</v>
          </cell>
          <cell r="C738" t="str">
            <v>PASAJUNTAS  1Ø3/4 @0,3l=,35 FABRICACION</v>
          </cell>
          <cell r="D738">
            <v>0</v>
          </cell>
          <cell r="E738" t="str">
            <v>UN</v>
          </cell>
          <cell r="F738">
            <v>17000</v>
          </cell>
          <cell r="G738">
            <v>1</v>
          </cell>
          <cell r="H738">
            <v>17000</v>
          </cell>
          <cell r="I738">
            <v>0</v>
          </cell>
        </row>
        <row r="739">
          <cell r="B739" t="str">
            <v>M010</v>
          </cell>
          <cell r="C739" t="str">
            <v>DISCO DIAMANTADO DE 14"</v>
          </cell>
          <cell r="D739">
            <v>0</v>
          </cell>
          <cell r="E739" t="str">
            <v>UN</v>
          </cell>
          <cell r="F739">
            <v>100000</v>
          </cell>
          <cell r="G739">
            <v>0.06</v>
          </cell>
          <cell r="H739">
            <v>6000</v>
          </cell>
          <cell r="I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 t="str">
            <v>Sub-Total</v>
          </cell>
          <cell r="G740" t="str">
            <v>3.5</v>
          </cell>
          <cell r="H740" t="str">
            <v>MAT-3.5</v>
          </cell>
          <cell r="I740">
            <v>42761.111111111109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B742">
            <v>0</v>
          </cell>
          <cell r="C742">
            <v>0</v>
          </cell>
          <cell r="D742" t="str">
            <v xml:space="preserve">CAN </v>
          </cell>
          <cell r="E742" t="str">
            <v>DISTANCIA</v>
          </cell>
          <cell r="F742" t="str">
            <v>M3-Km / UN-KM</v>
          </cell>
          <cell r="G742" t="str">
            <v>TARIFA</v>
          </cell>
          <cell r="H742" t="str">
            <v>Valor-Unit.</v>
          </cell>
          <cell r="I742">
            <v>0</v>
          </cell>
        </row>
        <row r="743">
          <cell r="B743" t="str">
            <v>T008</v>
          </cell>
          <cell r="C743" t="str">
            <v>TRANS MATERIAL &gt; 10 KM</v>
          </cell>
          <cell r="D743">
            <v>0</v>
          </cell>
          <cell r="E743">
            <v>55</v>
          </cell>
          <cell r="F743">
            <v>0</v>
          </cell>
          <cell r="G743">
            <v>980</v>
          </cell>
          <cell r="H743">
            <v>0</v>
          </cell>
          <cell r="I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 t="str">
            <v>Sub-Total</v>
          </cell>
          <cell r="G744" t="str">
            <v>3.5</v>
          </cell>
          <cell r="H744" t="str">
            <v>TRAN-3.5</v>
          </cell>
          <cell r="I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</row>
        <row r="746">
          <cell r="B746">
            <v>0</v>
          </cell>
          <cell r="C746">
            <v>0</v>
          </cell>
          <cell r="D746" t="str">
            <v>JORNAL-HORA</v>
          </cell>
          <cell r="E746" t="str">
            <v>PRES</v>
          </cell>
          <cell r="F746" t="str">
            <v>JORNAL TOTAL</v>
          </cell>
          <cell r="G746" t="str">
            <v>RENDIEMIENTO</v>
          </cell>
          <cell r="H746" t="str">
            <v>VALOR-UNIT</v>
          </cell>
          <cell r="I746">
            <v>0</v>
          </cell>
        </row>
        <row r="747">
          <cell r="B747" t="str">
            <v>MO004</v>
          </cell>
          <cell r="C747" t="str">
            <v>OFICIAL</v>
          </cell>
          <cell r="D747">
            <v>10290.430207916666</v>
          </cell>
          <cell r="E747">
            <v>0</v>
          </cell>
          <cell r="F747">
            <v>10290.430207916666</v>
          </cell>
          <cell r="G747">
            <v>1.7777777777777777</v>
          </cell>
          <cell r="H747">
            <v>18294.098147407407</v>
          </cell>
          <cell r="I747">
            <v>0</v>
          </cell>
        </row>
        <row r="748">
          <cell r="B748" t="str">
            <v>MO005</v>
          </cell>
          <cell r="C748" t="str">
            <v>AYUDANTE ENTENDIDO</v>
          </cell>
          <cell r="D748">
            <v>9090.4302079166664</v>
          </cell>
          <cell r="E748">
            <v>0</v>
          </cell>
          <cell r="F748">
            <v>9090.4302079166664</v>
          </cell>
          <cell r="G748">
            <v>2.6666666666666665</v>
          </cell>
          <cell r="H748">
            <v>24241.14722111111</v>
          </cell>
          <cell r="I748">
            <v>0</v>
          </cell>
        </row>
        <row r="749">
          <cell r="B749" t="str">
            <v>MO006</v>
          </cell>
          <cell r="C749" t="str">
            <v>AYUDANTE</v>
          </cell>
          <cell r="D749">
            <v>8290.4302079166664</v>
          </cell>
          <cell r="E749">
            <v>0</v>
          </cell>
          <cell r="F749">
            <v>8290.4302079166664</v>
          </cell>
          <cell r="G749">
            <v>10.666666666666666</v>
          </cell>
          <cell r="H749">
            <v>88431.255551111099</v>
          </cell>
          <cell r="I749">
            <v>0</v>
          </cell>
        </row>
        <row r="750">
          <cell r="B750" t="str">
            <v>MO001</v>
          </cell>
          <cell r="C750" t="str">
            <v>TOPOGRAFO</v>
          </cell>
          <cell r="D750">
            <v>14408.036152500003</v>
          </cell>
          <cell r="E750">
            <v>0</v>
          </cell>
          <cell r="F750">
            <v>14408.036152500003</v>
          </cell>
          <cell r="G750">
            <v>0.2</v>
          </cell>
          <cell r="H750">
            <v>2881.6072305000007</v>
          </cell>
          <cell r="I750">
            <v>0</v>
          </cell>
        </row>
        <row r="751">
          <cell r="B751" t="str">
            <v>MO002</v>
          </cell>
          <cell r="C751" t="str">
            <v>CADENERO 1</v>
          </cell>
          <cell r="D751">
            <v>12710.935458055557</v>
          </cell>
          <cell r="E751">
            <v>0</v>
          </cell>
          <cell r="F751">
            <v>12710.935458055557</v>
          </cell>
          <cell r="G751">
            <v>0.2</v>
          </cell>
          <cell r="H751">
            <v>2542.1870916111116</v>
          </cell>
          <cell r="I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 t="str">
            <v>Sub-Total</v>
          </cell>
          <cell r="G752" t="str">
            <v>3.5</v>
          </cell>
          <cell r="H752" t="str">
            <v>MDEO-3.5</v>
          </cell>
          <cell r="I752">
            <v>136390.29524174074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6819.5147620870375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 t="str">
            <v>Total Costo Directo</v>
          </cell>
          <cell r="G754">
            <v>0</v>
          </cell>
          <cell r="H754">
            <v>0</v>
          </cell>
          <cell r="I754">
            <v>209861</v>
          </cell>
        </row>
        <row r="755"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 t="str">
            <v>REVISA</v>
          </cell>
          <cell r="G756">
            <v>0</v>
          </cell>
          <cell r="H756">
            <v>0</v>
          </cell>
          <cell r="I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 t="str">
            <v>FIRMA:</v>
          </cell>
          <cell r="G757">
            <v>0</v>
          </cell>
          <cell r="H757">
            <v>0</v>
          </cell>
          <cell r="I757">
            <v>0</v>
          </cell>
        </row>
        <row r="758">
          <cell r="B758" t="str">
            <v xml:space="preserve">ING MARIA LEONOR BLU DIAS </v>
          </cell>
          <cell r="C758">
            <v>0</v>
          </cell>
          <cell r="D758">
            <v>0</v>
          </cell>
          <cell r="E758">
            <v>0</v>
          </cell>
          <cell r="F758" t="str">
            <v>NOMBRE</v>
          </cell>
          <cell r="G758">
            <v>0</v>
          </cell>
          <cell r="H758">
            <v>0</v>
          </cell>
          <cell r="I758">
            <v>0</v>
          </cell>
        </row>
        <row r="759">
          <cell r="B759" t="str">
            <v>MP: 222202-301269 COR</v>
          </cell>
          <cell r="C759">
            <v>0</v>
          </cell>
          <cell r="D759">
            <v>0</v>
          </cell>
          <cell r="E759">
            <v>0</v>
          </cell>
          <cell r="F759" t="str">
            <v>MAT:</v>
          </cell>
          <cell r="G759">
            <v>0</v>
          </cell>
          <cell r="H759">
            <v>0</v>
          </cell>
          <cell r="I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</row>
        <row r="765">
          <cell r="B765" t="str">
            <v>3.6</v>
          </cell>
          <cell r="C765" t="str">
            <v>DESCRIPCION:</v>
          </cell>
          <cell r="D765" t="str">
            <v>SUMINISTRO CORTE, FIGURACIÓN Y COLOCACIÓN DE ACERO 60000 PSI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</row>
        <row r="766">
          <cell r="B766" t="str">
            <v>641.1-13</v>
          </cell>
          <cell r="C766">
            <v>0</v>
          </cell>
          <cell r="D766" t="str">
            <v>UNIDAD</v>
          </cell>
          <cell r="E766" t="str">
            <v>KG</v>
          </cell>
          <cell r="F766" t="str">
            <v>CANTIDAD</v>
          </cell>
          <cell r="G766">
            <v>2160</v>
          </cell>
          <cell r="H766" t="str">
            <v>V. UNITARIO:</v>
          </cell>
          <cell r="I766">
            <v>3543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 t="str">
            <v>Tarifa/Hora</v>
          </cell>
          <cell r="G768" t="str">
            <v>Rendimiento</v>
          </cell>
          <cell r="H768" t="str">
            <v>Valor-Unit.</v>
          </cell>
          <cell r="I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 t="str">
            <v>Sub-Total</v>
          </cell>
          <cell r="G770" t="str">
            <v>3.6</v>
          </cell>
          <cell r="H770" t="str">
            <v>EQUI-3.6</v>
          </cell>
          <cell r="I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 t="str">
            <v>UNIDAD</v>
          </cell>
          <cell r="F772" t="str">
            <v>V.UNIT</v>
          </cell>
          <cell r="G772" t="str">
            <v>CANT</v>
          </cell>
          <cell r="H772" t="str">
            <v>V.TOTAL</v>
          </cell>
          <cell r="I772">
            <v>0</v>
          </cell>
        </row>
        <row r="773">
          <cell r="B773" t="str">
            <v>M002</v>
          </cell>
          <cell r="C773" t="str">
            <v>ACERO  60000 PSI</v>
          </cell>
          <cell r="D773">
            <v>0</v>
          </cell>
          <cell r="E773" t="str">
            <v>KG</v>
          </cell>
          <cell r="F773">
            <v>5400</v>
          </cell>
          <cell r="G773">
            <v>1</v>
          </cell>
          <cell r="H773">
            <v>0</v>
          </cell>
          <cell r="I773">
            <v>0</v>
          </cell>
        </row>
        <row r="774">
          <cell r="B774" t="str">
            <v>M001</v>
          </cell>
          <cell r="C774" t="str">
            <v>ALAMBRE QUEMADO</v>
          </cell>
          <cell r="D774">
            <v>0</v>
          </cell>
          <cell r="E774" t="str">
            <v>KG</v>
          </cell>
          <cell r="F774">
            <v>4500</v>
          </cell>
          <cell r="G774">
            <v>0.4</v>
          </cell>
          <cell r="H774">
            <v>1800</v>
          </cell>
          <cell r="I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 t="str">
            <v>Sub-Total</v>
          </cell>
          <cell r="G775" t="str">
            <v>3.6</v>
          </cell>
          <cell r="H775" t="str">
            <v>MAT-3.6</v>
          </cell>
          <cell r="I775">
            <v>1800</v>
          </cell>
        </row>
        <row r="776"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</row>
        <row r="777">
          <cell r="B777">
            <v>0</v>
          </cell>
          <cell r="C777">
            <v>0</v>
          </cell>
          <cell r="D777" t="str">
            <v xml:space="preserve">CAN </v>
          </cell>
          <cell r="E777" t="str">
            <v>DISTANCIA</v>
          </cell>
          <cell r="F777" t="str">
            <v>M3-Km / UN-KM</v>
          </cell>
          <cell r="G777" t="str">
            <v>TARIFA</v>
          </cell>
          <cell r="H777" t="str">
            <v>Valor-Unit.</v>
          </cell>
          <cell r="I777">
            <v>0</v>
          </cell>
        </row>
        <row r="778">
          <cell r="B778" t="str">
            <v>T003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B779" t="str">
            <v>T008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</row>
        <row r="780">
          <cell r="B780" t="str">
            <v>T001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 t="str">
            <v>Sub-Total</v>
          </cell>
          <cell r="G781" t="str">
            <v>3.6</v>
          </cell>
          <cell r="H781" t="str">
            <v>TRAN-3.6</v>
          </cell>
          <cell r="I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</row>
        <row r="783">
          <cell r="B783">
            <v>0</v>
          </cell>
          <cell r="C783">
            <v>0</v>
          </cell>
          <cell r="D783" t="str">
            <v>JORNAL-HORA</v>
          </cell>
          <cell r="E783" t="str">
            <v>PRES</v>
          </cell>
          <cell r="F783" t="str">
            <v>JORNAL TOTAL</v>
          </cell>
          <cell r="G783" t="str">
            <v>RENDIEMIENTO</v>
          </cell>
          <cell r="H783" t="str">
            <v>VALOR-UNIT</v>
          </cell>
          <cell r="I783">
            <v>0</v>
          </cell>
        </row>
        <row r="784">
          <cell r="B784" t="str">
            <v>MO004</v>
          </cell>
          <cell r="C784" t="str">
            <v>OFICIAL</v>
          </cell>
          <cell r="D784">
            <v>10290.430207916666</v>
          </cell>
          <cell r="E784">
            <v>0</v>
          </cell>
          <cell r="F784">
            <v>10290.430207916666</v>
          </cell>
          <cell r="G784">
            <v>0.06</v>
          </cell>
          <cell r="H784">
            <v>617.42581247499993</v>
          </cell>
          <cell r="I784">
            <v>0</v>
          </cell>
        </row>
        <row r="785">
          <cell r="B785" t="str">
            <v>MO005</v>
          </cell>
          <cell r="C785" t="str">
            <v>AYUDANTE ENTENDIDO</v>
          </cell>
          <cell r="D785">
            <v>9090.4302079166664</v>
          </cell>
          <cell r="E785">
            <v>0</v>
          </cell>
          <cell r="F785">
            <v>9090.4302079166664</v>
          </cell>
          <cell r="G785">
            <v>0.06</v>
          </cell>
          <cell r="H785">
            <v>545.42581247499993</v>
          </cell>
          <cell r="I785">
            <v>0</v>
          </cell>
        </row>
        <row r="786">
          <cell r="B786" t="str">
            <v>MO006</v>
          </cell>
          <cell r="C786" t="str">
            <v>AYUDANTE</v>
          </cell>
          <cell r="D786">
            <v>8290.4302079166664</v>
          </cell>
          <cell r="E786">
            <v>0</v>
          </cell>
          <cell r="F786">
            <v>8290.4302079166664</v>
          </cell>
          <cell r="G786">
            <v>0.06</v>
          </cell>
          <cell r="H786">
            <v>497.42581247499999</v>
          </cell>
          <cell r="I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 t="str">
            <v>Sub-Total</v>
          </cell>
          <cell r="G788" t="str">
            <v>3.6</v>
          </cell>
          <cell r="H788" t="str">
            <v>MDEO-3.6</v>
          </cell>
          <cell r="I788">
            <v>1660.2774374249998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83.013871871249989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 t="str">
            <v>Total Costo Directo</v>
          </cell>
          <cell r="G790">
            <v>0</v>
          </cell>
          <cell r="H790">
            <v>0</v>
          </cell>
          <cell r="I790">
            <v>3543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</row>
        <row r="794"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</row>
        <row r="797"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 t="str">
            <v>REVISA</v>
          </cell>
          <cell r="G798">
            <v>0</v>
          </cell>
          <cell r="H798">
            <v>0</v>
          </cell>
          <cell r="I798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 t="str">
            <v>FIRMA:</v>
          </cell>
          <cell r="G799">
            <v>0</v>
          </cell>
          <cell r="H799">
            <v>0</v>
          </cell>
          <cell r="I799">
            <v>0</v>
          </cell>
        </row>
        <row r="800">
          <cell r="B800" t="str">
            <v xml:space="preserve">ING MARIA LEONOR BLU DIAS </v>
          </cell>
          <cell r="C800">
            <v>0</v>
          </cell>
          <cell r="D800">
            <v>0</v>
          </cell>
          <cell r="E800">
            <v>0</v>
          </cell>
          <cell r="F800" t="str">
            <v>NOMBRE</v>
          </cell>
          <cell r="G800">
            <v>0</v>
          </cell>
          <cell r="H800">
            <v>0</v>
          </cell>
          <cell r="I800">
            <v>0</v>
          </cell>
        </row>
        <row r="801">
          <cell r="B801" t="str">
            <v>MP: 222202-301269 COR</v>
          </cell>
          <cell r="C801">
            <v>0</v>
          </cell>
          <cell r="D801">
            <v>0</v>
          </cell>
          <cell r="E801">
            <v>0</v>
          </cell>
          <cell r="F801" t="str">
            <v>MAT:</v>
          </cell>
          <cell r="G801">
            <v>0</v>
          </cell>
          <cell r="H801">
            <v>0</v>
          </cell>
          <cell r="I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</row>
        <row r="808">
          <cell r="B808" t="str">
            <v>4.1</v>
          </cell>
          <cell r="C808" t="str">
            <v>DESCRIPCION:</v>
          </cell>
          <cell r="D808" t="str">
            <v>BORDILLOS EN CONCRETO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</row>
        <row r="809">
          <cell r="B809" t="str">
            <v>672-13</v>
          </cell>
          <cell r="C809">
            <v>0</v>
          </cell>
          <cell r="D809" t="str">
            <v>UNIDAD</v>
          </cell>
          <cell r="E809" t="str">
            <v>ML</v>
          </cell>
          <cell r="F809" t="str">
            <v>CANTIDAD</v>
          </cell>
          <cell r="G809">
            <v>16647</v>
          </cell>
          <cell r="H809" t="str">
            <v>V. UNITARIO:</v>
          </cell>
          <cell r="I809">
            <v>40151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 t="str">
            <v>Tarifa/Hora</v>
          </cell>
          <cell r="G811" t="str">
            <v>Rendimiento</v>
          </cell>
          <cell r="H811" t="str">
            <v>Valor-Unit.</v>
          </cell>
          <cell r="I811">
            <v>0</v>
          </cell>
        </row>
        <row r="812">
          <cell r="B812" t="str">
            <v>E005</v>
          </cell>
          <cell r="C812" t="str">
            <v xml:space="preserve">NIVEL DE PRECISION </v>
          </cell>
          <cell r="D812">
            <v>0</v>
          </cell>
          <cell r="E812">
            <v>0</v>
          </cell>
          <cell r="F812">
            <v>25000</v>
          </cell>
          <cell r="G812">
            <v>0.02</v>
          </cell>
          <cell r="H812">
            <v>500</v>
          </cell>
          <cell r="I812">
            <v>0</v>
          </cell>
        </row>
        <row r="813">
          <cell r="B813" t="str">
            <v>E012</v>
          </cell>
          <cell r="C813" t="str">
            <v>FORMALETA PARA BORDILLO/CUNETA</v>
          </cell>
          <cell r="D813">
            <v>0</v>
          </cell>
          <cell r="E813">
            <v>0</v>
          </cell>
          <cell r="F813">
            <v>2150</v>
          </cell>
          <cell r="G813">
            <v>1</v>
          </cell>
          <cell r="H813">
            <v>2150</v>
          </cell>
          <cell r="I813">
            <v>0</v>
          </cell>
        </row>
        <row r="814">
          <cell r="B814" t="str">
            <v>E027</v>
          </cell>
          <cell r="C814" t="str">
            <v>VIBRADOR DE AGUJA</v>
          </cell>
          <cell r="D814">
            <v>0</v>
          </cell>
          <cell r="E814">
            <v>0</v>
          </cell>
          <cell r="F814">
            <v>4375</v>
          </cell>
          <cell r="G814">
            <v>0.3</v>
          </cell>
          <cell r="H814">
            <v>1312.5</v>
          </cell>
          <cell r="I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 t="str">
            <v>Sub-Total</v>
          </cell>
          <cell r="G815" t="str">
            <v>4.1</v>
          </cell>
          <cell r="H815" t="str">
            <v>EQUI-4.1</v>
          </cell>
          <cell r="I815">
            <v>3962.5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 t="str">
            <v>UNIDAD</v>
          </cell>
          <cell r="F817" t="str">
            <v>V.UNIT</v>
          </cell>
          <cell r="G817" t="str">
            <v>CANT</v>
          </cell>
          <cell r="H817" t="str">
            <v>V.TOTAL</v>
          </cell>
          <cell r="I817">
            <v>0</v>
          </cell>
        </row>
        <row r="818">
          <cell r="B818" t="str">
            <v>M006</v>
          </cell>
          <cell r="C818" t="str">
            <v>CONCRETO 2500 PSI</v>
          </cell>
          <cell r="D818">
            <v>0</v>
          </cell>
          <cell r="E818" t="str">
            <v>M3</v>
          </cell>
          <cell r="F818">
            <v>310000</v>
          </cell>
          <cell r="G818">
            <v>5.2499999999999998E-2</v>
          </cell>
          <cell r="H818">
            <v>16275</v>
          </cell>
          <cell r="I818">
            <v>0</v>
          </cell>
        </row>
        <row r="819">
          <cell r="B819" t="str">
            <v>M013</v>
          </cell>
          <cell r="C819" t="str">
            <v>MORTERO 1:6 PARA PEGA Y REVITADA</v>
          </cell>
          <cell r="D819">
            <v>0</v>
          </cell>
          <cell r="E819" t="str">
            <v>M3</v>
          </cell>
          <cell r="F819">
            <v>370000</v>
          </cell>
          <cell r="G819">
            <v>2E-3</v>
          </cell>
          <cell r="H819">
            <v>740</v>
          </cell>
          <cell r="I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 t="str">
            <v>Sub-Total</v>
          </cell>
          <cell r="G820" t="str">
            <v>4.1</v>
          </cell>
          <cell r="H820" t="str">
            <v>MAT-4.1</v>
          </cell>
          <cell r="I820">
            <v>17015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B822">
            <v>0</v>
          </cell>
          <cell r="C822">
            <v>0</v>
          </cell>
          <cell r="D822" t="str">
            <v xml:space="preserve">CAN </v>
          </cell>
          <cell r="E822" t="str">
            <v>DISTANCIA</v>
          </cell>
          <cell r="F822" t="str">
            <v>M3-Km / UN-KM</v>
          </cell>
          <cell r="G822" t="str">
            <v>TARIFA</v>
          </cell>
          <cell r="H822" t="str">
            <v>Valor-Unit.</v>
          </cell>
          <cell r="I822">
            <v>0</v>
          </cell>
        </row>
        <row r="823">
          <cell r="B823" t="str">
            <v>T005</v>
          </cell>
          <cell r="C823" t="str">
            <v>TRANS INT  BORDILLO UN</v>
          </cell>
          <cell r="D823">
            <v>1</v>
          </cell>
          <cell r="E823">
            <v>1</v>
          </cell>
          <cell r="F823">
            <v>1</v>
          </cell>
          <cell r="G823">
            <v>300</v>
          </cell>
          <cell r="H823">
            <v>300</v>
          </cell>
          <cell r="I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 t="str">
            <v>Sub-Total</v>
          </cell>
          <cell r="G824" t="str">
            <v>4.1</v>
          </cell>
          <cell r="H824" t="str">
            <v>TRAN-4.1</v>
          </cell>
          <cell r="I824">
            <v>300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</row>
        <row r="826">
          <cell r="B826">
            <v>0</v>
          </cell>
          <cell r="C826">
            <v>0</v>
          </cell>
          <cell r="D826" t="str">
            <v>JORNAL-HORA</v>
          </cell>
          <cell r="E826" t="str">
            <v>PRES</v>
          </cell>
          <cell r="F826" t="str">
            <v>JORNAL TOTAL</v>
          </cell>
          <cell r="G826" t="str">
            <v>RENDIEMIENTO</v>
          </cell>
          <cell r="H826" t="str">
            <v>VALOR-UNIT</v>
          </cell>
          <cell r="I826">
            <v>0</v>
          </cell>
        </row>
        <row r="827">
          <cell r="B827" t="str">
            <v>MO004</v>
          </cell>
          <cell r="C827" t="str">
            <v>OFICIAL ENTUBADOR</v>
          </cell>
          <cell r="D827">
            <v>10290.430207916666</v>
          </cell>
          <cell r="E827">
            <v>0</v>
          </cell>
          <cell r="F827">
            <v>10290.430207916666</v>
          </cell>
          <cell r="G827">
            <v>0.65</v>
          </cell>
          <cell r="H827">
            <v>6688.7796351458337</v>
          </cell>
          <cell r="I827">
            <v>0</v>
          </cell>
        </row>
        <row r="828">
          <cell r="B828" t="str">
            <v>MO006</v>
          </cell>
          <cell r="C828" t="str">
            <v>AYUDANTE ENTUBADOR</v>
          </cell>
          <cell r="D828">
            <v>8290.4302079166664</v>
          </cell>
          <cell r="E828">
            <v>0</v>
          </cell>
          <cell r="F828">
            <v>8290.4302079166664</v>
          </cell>
          <cell r="G828">
            <v>1.3</v>
          </cell>
          <cell r="H828">
            <v>10777.559270291667</v>
          </cell>
          <cell r="I828">
            <v>0</v>
          </cell>
        </row>
        <row r="829">
          <cell r="B829" t="str">
            <v>MO007</v>
          </cell>
          <cell r="C829" t="str">
            <v>CONTRAMAESTRO</v>
          </cell>
          <cell r="D829">
            <v>12710.935458055557</v>
          </cell>
          <cell r="E829">
            <v>0</v>
          </cell>
          <cell r="F829">
            <v>12710.935458055557</v>
          </cell>
          <cell r="G829">
            <v>0.02</v>
          </cell>
          <cell r="H829">
            <v>254.21870916111115</v>
          </cell>
          <cell r="I829">
            <v>0</v>
          </cell>
        </row>
        <row r="830">
          <cell r="B830" t="str">
            <v>MO002</v>
          </cell>
          <cell r="C830" t="str">
            <v>CADENERO 1</v>
          </cell>
          <cell r="D830">
            <v>12710.935458055557</v>
          </cell>
          <cell r="E830">
            <v>0</v>
          </cell>
          <cell r="F830">
            <v>12710.935458055557</v>
          </cell>
          <cell r="G830">
            <v>0.02</v>
          </cell>
          <cell r="H830">
            <v>254.21870916111115</v>
          </cell>
          <cell r="I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 t="str">
            <v>Sub-Total</v>
          </cell>
          <cell r="G831" t="str">
            <v>4.1</v>
          </cell>
          <cell r="H831" t="str">
            <v>MDEO-4.1</v>
          </cell>
          <cell r="I831">
            <v>17974.776323759725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898.73881618798623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 t="str">
            <v>Total Costo Directo</v>
          </cell>
          <cell r="G833">
            <v>0</v>
          </cell>
          <cell r="H833">
            <v>0</v>
          </cell>
          <cell r="I833">
            <v>40151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 t="str">
            <v>REVISA</v>
          </cell>
          <cell r="G835">
            <v>0</v>
          </cell>
          <cell r="H835">
            <v>0</v>
          </cell>
          <cell r="I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 t="str">
            <v>FIRMA:</v>
          </cell>
          <cell r="G836">
            <v>0</v>
          </cell>
          <cell r="H836">
            <v>0</v>
          </cell>
          <cell r="I836">
            <v>0</v>
          </cell>
        </row>
        <row r="837">
          <cell r="B837" t="str">
            <v xml:space="preserve">ING MARIA LEONOR BLU DIAS </v>
          </cell>
          <cell r="C837">
            <v>0</v>
          </cell>
          <cell r="D837">
            <v>0</v>
          </cell>
          <cell r="E837">
            <v>0</v>
          </cell>
          <cell r="F837" t="str">
            <v>NOMBRE</v>
          </cell>
          <cell r="G837">
            <v>0</v>
          </cell>
          <cell r="H837">
            <v>0</v>
          </cell>
          <cell r="I837">
            <v>0</v>
          </cell>
        </row>
        <row r="838">
          <cell r="B838" t="str">
            <v>MP: 222202-301269 COR</v>
          </cell>
          <cell r="C838">
            <v>0</v>
          </cell>
          <cell r="D838">
            <v>0</v>
          </cell>
          <cell r="E838">
            <v>0</v>
          </cell>
          <cell r="F838" t="str">
            <v>MAT:</v>
          </cell>
          <cell r="G838">
            <v>0</v>
          </cell>
          <cell r="H838">
            <v>0</v>
          </cell>
          <cell r="I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</row>
        <row r="844">
          <cell r="B844" t="str">
            <v>4.2</v>
          </cell>
          <cell r="C844" t="str">
            <v>DESCRIPCION:</v>
          </cell>
          <cell r="D844" t="str">
            <v>LLENO DE CONFINAMIENTO PARA BORDILLO CON MATERIAL GRANULAR DE EXCAVACIÓN NO CONTAMINADO AL 60% Y 40% SUBBASE GRANULAR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</row>
        <row r="845">
          <cell r="B845" t="str">
            <v>230.1-13</v>
          </cell>
          <cell r="C845">
            <v>0</v>
          </cell>
          <cell r="D845" t="str">
            <v>UNIDAD</v>
          </cell>
          <cell r="E845" t="str">
            <v>M3</v>
          </cell>
          <cell r="F845" t="str">
            <v>CANTIDAD</v>
          </cell>
          <cell r="G845">
            <v>4994</v>
          </cell>
          <cell r="H845" t="str">
            <v>V. UNITARIO:</v>
          </cell>
          <cell r="I845">
            <v>70452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 t="str">
            <v>Tarifa/Hora</v>
          </cell>
          <cell r="G847" t="str">
            <v>Rendimiento</v>
          </cell>
          <cell r="H847" t="str">
            <v>Valor-Unit.</v>
          </cell>
          <cell r="I847">
            <v>0</v>
          </cell>
        </row>
        <row r="848">
          <cell r="B848" t="str">
            <v>E026</v>
          </cell>
          <cell r="C848" t="str">
            <v>TANQUE DE ALMACENAMIENTO DE AGUA</v>
          </cell>
          <cell r="D848">
            <v>0</v>
          </cell>
          <cell r="E848">
            <v>0</v>
          </cell>
          <cell r="F848">
            <v>1000</v>
          </cell>
          <cell r="G848">
            <v>0.2</v>
          </cell>
          <cell r="H848">
            <v>200</v>
          </cell>
          <cell r="I848">
            <v>0</v>
          </cell>
        </row>
        <row r="849">
          <cell r="B849" t="str">
            <v>E005</v>
          </cell>
          <cell r="C849" t="str">
            <v xml:space="preserve">NIVEL DE PRECISION </v>
          </cell>
          <cell r="D849">
            <v>0</v>
          </cell>
          <cell r="E849">
            <v>0</v>
          </cell>
          <cell r="F849">
            <v>25000</v>
          </cell>
          <cell r="G849">
            <v>0.02</v>
          </cell>
          <cell r="H849">
            <v>500</v>
          </cell>
          <cell r="I849">
            <v>0</v>
          </cell>
        </row>
        <row r="850">
          <cell r="B850" t="str">
            <v>E002</v>
          </cell>
          <cell r="C850" t="str">
            <v>COMPACTADOR TIPO RANA</v>
          </cell>
          <cell r="D850">
            <v>0</v>
          </cell>
          <cell r="E850">
            <v>0</v>
          </cell>
          <cell r="F850">
            <v>5000</v>
          </cell>
          <cell r="G850">
            <v>1</v>
          </cell>
          <cell r="H850">
            <v>5000</v>
          </cell>
          <cell r="I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 t="str">
            <v>Sub-Total</v>
          </cell>
          <cell r="G851" t="str">
            <v>4.2</v>
          </cell>
          <cell r="H851" t="str">
            <v>EQUI-4.2</v>
          </cell>
          <cell r="I851">
            <v>5700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 t="str">
            <v>UNIDAD</v>
          </cell>
          <cell r="F853" t="str">
            <v>V.UNIT</v>
          </cell>
          <cell r="G853" t="str">
            <v>CANT</v>
          </cell>
          <cell r="H853" t="str">
            <v>V.TOTAL</v>
          </cell>
          <cell r="I853">
            <v>0</v>
          </cell>
        </row>
        <row r="854">
          <cell r="B854" t="str">
            <v>M002</v>
          </cell>
          <cell r="C854" t="str">
            <v>AGUA</v>
          </cell>
          <cell r="D854">
            <v>0</v>
          </cell>
          <cell r="E854" t="str">
            <v>M3</v>
          </cell>
          <cell r="F854">
            <v>2750</v>
          </cell>
          <cell r="G854">
            <v>0.2</v>
          </cell>
          <cell r="H854">
            <v>550</v>
          </cell>
          <cell r="I854">
            <v>0</v>
          </cell>
        </row>
        <row r="855">
          <cell r="B855" t="str">
            <v>M014</v>
          </cell>
          <cell r="C855" t="str">
            <v xml:space="preserve">SUBBASE GRANULAR </v>
          </cell>
          <cell r="D855">
            <v>0</v>
          </cell>
          <cell r="E855" t="str">
            <v>M3</v>
          </cell>
          <cell r="F855">
            <v>39000</v>
          </cell>
          <cell r="G855">
            <v>0.52</v>
          </cell>
          <cell r="H855">
            <v>20280</v>
          </cell>
          <cell r="I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 t="str">
            <v>Sub-Total</v>
          </cell>
          <cell r="G856" t="str">
            <v>4.2</v>
          </cell>
          <cell r="H856" t="str">
            <v>MAT-4.2</v>
          </cell>
          <cell r="I856">
            <v>20830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</row>
        <row r="858">
          <cell r="B858">
            <v>0</v>
          </cell>
          <cell r="C858">
            <v>0</v>
          </cell>
          <cell r="D858" t="str">
            <v xml:space="preserve">CAN </v>
          </cell>
          <cell r="E858" t="str">
            <v>DISTANCIA</v>
          </cell>
          <cell r="F858" t="str">
            <v>M3-Km / UN-KM</v>
          </cell>
          <cell r="G858" t="str">
            <v>TARIFA</v>
          </cell>
          <cell r="H858" t="str">
            <v>Valor-Unit.</v>
          </cell>
          <cell r="I858">
            <v>0</v>
          </cell>
        </row>
        <row r="859">
          <cell r="B859" t="str">
            <v>T003</v>
          </cell>
          <cell r="C859" t="str">
            <v>TRANS AGUA 0-5KM</v>
          </cell>
          <cell r="D859">
            <v>0.2</v>
          </cell>
          <cell r="E859">
            <v>5</v>
          </cell>
          <cell r="F859">
            <v>1</v>
          </cell>
          <cell r="G859">
            <v>1095</v>
          </cell>
          <cell r="H859">
            <v>1095</v>
          </cell>
          <cell r="I859">
            <v>0</v>
          </cell>
        </row>
        <row r="860">
          <cell r="B860" t="str">
            <v>T012</v>
          </cell>
          <cell r="C860" t="str">
            <v>TRANS MATERIAL NECOCLI &gt; 10 KM</v>
          </cell>
          <cell r="D860">
            <v>0.52</v>
          </cell>
          <cell r="E860">
            <v>50</v>
          </cell>
          <cell r="F860">
            <v>26</v>
          </cell>
          <cell r="G860">
            <v>650</v>
          </cell>
          <cell r="H860">
            <v>16900</v>
          </cell>
          <cell r="I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 t="str">
            <v>Sub-Total</v>
          </cell>
          <cell r="G861" t="str">
            <v>4.2</v>
          </cell>
          <cell r="H861" t="str">
            <v>TRAN-4.2</v>
          </cell>
          <cell r="I861">
            <v>17995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B863">
            <v>0</v>
          </cell>
          <cell r="C863">
            <v>0</v>
          </cell>
          <cell r="D863" t="str">
            <v>JORNAL-HORA</v>
          </cell>
          <cell r="E863" t="str">
            <v>PRES</v>
          </cell>
          <cell r="F863" t="str">
            <v>JORNAL TOTAL</v>
          </cell>
          <cell r="G863" t="str">
            <v>RENDIEMIENTO</v>
          </cell>
          <cell r="H863" t="str">
            <v>VALOR-UNIT</v>
          </cell>
          <cell r="I863">
            <v>0</v>
          </cell>
        </row>
        <row r="864">
          <cell r="B864" t="str">
            <v>MO004</v>
          </cell>
          <cell r="C864" t="str">
            <v>OFICIAL ENTUBADOR</v>
          </cell>
          <cell r="D864">
            <v>10290.430207916666</v>
          </cell>
          <cell r="E864">
            <v>0</v>
          </cell>
          <cell r="F864">
            <v>10290.430207916666</v>
          </cell>
          <cell r="G864">
            <v>0.9</v>
          </cell>
          <cell r="H864">
            <v>9261.3871871249994</v>
          </cell>
          <cell r="I864">
            <v>0</v>
          </cell>
        </row>
        <row r="865">
          <cell r="B865" t="str">
            <v>MO006</v>
          </cell>
          <cell r="C865" t="str">
            <v>AYUDANTE ENTUBADOR</v>
          </cell>
          <cell r="D865">
            <v>8290.4302079166664</v>
          </cell>
          <cell r="E865">
            <v>0</v>
          </cell>
          <cell r="F865">
            <v>8290.4302079166664</v>
          </cell>
          <cell r="G865">
            <v>1.8</v>
          </cell>
          <cell r="H865">
            <v>14922.774374250001</v>
          </cell>
          <cell r="I865">
            <v>0</v>
          </cell>
        </row>
        <row r="866">
          <cell r="B866" t="str">
            <v>MO002</v>
          </cell>
          <cell r="C866" t="str">
            <v>CADENERO 1</v>
          </cell>
          <cell r="D866">
            <v>12710.935458055557</v>
          </cell>
          <cell r="E866">
            <v>0</v>
          </cell>
          <cell r="F866">
            <v>12710.935458055557</v>
          </cell>
          <cell r="G866">
            <v>0.02</v>
          </cell>
          <cell r="H866">
            <v>254.21870916111115</v>
          </cell>
          <cell r="I866">
            <v>0</v>
          </cell>
        </row>
        <row r="867">
          <cell r="B867" t="str">
            <v>MO007</v>
          </cell>
          <cell r="C867" t="str">
            <v>CONTRAMAESTRO</v>
          </cell>
          <cell r="D867">
            <v>12710.935458055557</v>
          </cell>
          <cell r="E867">
            <v>0</v>
          </cell>
          <cell r="F867">
            <v>12710.935458055557</v>
          </cell>
          <cell r="G867">
            <v>0.02</v>
          </cell>
          <cell r="H867">
            <v>254.21870916111115</v>
          </cell>
          <cell r="I867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 t="str">
            <v>Sub-Total</v>
          </cell>
          <cell r="G869" t="str">
            <v>4.2</v>
          </cell>
          <cell r="H869" t="str">
            <v>MDEO-4.2</v>
          </cell>
          <cell r="I869">
            <v>24692.598979697224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1234.6299489848614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 t="str">
            <v>Total Costo Directo</v>
          </cell>
          <cell r="G871">
            <v>0</v>
          </cell>
          <cell r="H871">
            <v>0</v>
          </cell>
          <cell r="I871">
            <v>70452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 t="str">
            <v>REVISA</v>
          </cell>
          <cell r="G873">
            <v>0</v>
          </cell>
          <cell r="H873">
            <v>0</v>
          </cell>
          <cell r="I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 t="str">
            <v>FIRMA:</v>
          </cell>
          <cell r="G874">
            <v>0</v>
          </cell>
          <cell r="H874">
            <v>0</v>
          </cell>
          <cell r="I874">
            <v>0</v>
          </cell>
        </row>
        <row r="875">
          <cell r="B875" t="str">
            <v xml:space="preserve">ING MARIA LEONOR BLU DIAS </v>
          </cell>
          <cell r="C875">
            <v>0</v>
          </cell>
          <cell r="D875">
            <v>0</v>
          </cell>
          <cell r="E875">
            <v>0</v>
          </cell>
          <cell r="F875" t="str">
            <v>NOMBRE</v>
          </cell>
          <cell r="G875">
            <v>0</v>
          </cell>
          <cell r="H875">
            <v>0</v>
          </cell>
          <cell r="I875">
            <v>0</v>
          </cell>
        </row>
        <row r="876">
          <cell r="B876" t="str">
            <v>MP: 222202-301269 COR</v>
          </cell>
          <cell r="C876">
            <v>0</v>
          </cell>
          <cell r="D876">
            <v>0</v>
          </cell>
          <cell r="E876">
            <v>0</v>
          </cell>
          <cell r="F876" t="str">
            <v>MAT:</v>
          </cell>
          <cell r="G876">
            <v>0</v>
          </cell>
          <cell r="H876">
            <v>0</v>
          </cell>
          <cell r="I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</row>
        <row r="883">
          <cell r="B883" t="str">
            <v>4.3</v>
          </cell>
          <cell r="C883" t="str">
            <v>DESCRIPCION:</v>
          </cell>
          <cell r="D883" t="str">
            <v>ANDEN EN CONCRE TEXTURIADO CON TABLETA 20*20 TACTIL Y 10*20 SEÑALIZADO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</row>
        <row r="884">
          <cell r="B884" t="str">
            <v>PAR-07</v>
          </cell>
          <cell r="C884">
            <v>0</v>
          </cell>
          <cell r="D884" t="str">
            <v>UNIDAD</v>
          </cell>
          <cell r="E884" t="str">
            <v>M2</v>
          </cell>
          <cell r="F884" t="str">
            <v>CANTIDAD</v>
          </cell>
          <cell r="G884">
            <v>16647</v>
          </cell>
          <cell r="H884" t="str">
            <v>V. UNITARIO:</v>
          </cell>
          <cell r="I884">
            <v>100877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 t="str">
            <v>Tarifa/Hora</v>
          </cell>
          <cell r="G886" t="str">
            <v>Rendimiento</v>
          </cell>
          <cell r="H886" t="str">
            <v>Valor-Unit.</v>
          </cell>
          <cell r="I886">
            <v>0</v>
          </cell>
        </row>
        <row r="887">
          <cell r="B887" t="str">
            <v>E012</v>
          </cell>
          <cell r="C887" t="str">
            <v>FORMALETA PARA BORDILLO/CUNETA</v>
          </cell>
          <cell r="D887">
            <v>0</v>
          </cell>
          <cell r="E887">
            <v>0</v>
          </cell>
          <cell r="F887">
            <v>2150</v>
          </cell>
          <cell r="G887">
            <v>1</v>
          </cell>
          <cell r="H887">
            <v>2150</v>
          </cell>
          <cell r="I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 t="str">
            <v>Sub-Total</v>
          </cell>
          <cell r="G888" t="str">
            <v>4.3</v>
          </cell>
          <cell r="H888" t="str">
            <v>EQUI-4.3</v>
          </cell>
          <cell r="I888">
            <v>2150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 t="str">
            <v>UNIDAD</v>
          </cell>
          <cell r="F890" t="str">
            <v>V.UNIT</v>
          </cell>
          <cell r="G890" t="str">
            <v>CANT</v>
          </cell>
          <cell r="H890" t="str">
            <v>V.TOTAL</v>
          </cell>
          <cell r="I890">
            <v>0</v>
          </cell>
        </row>
        <row r="891">
          <cell r="B891" t="str">
            <v>M007</v>
          </cell>
          <cell r="C891" t="str">
            <v>CONCRETO 3000PSI EN OBRA</v>
          </cell>
          <cell r="D891">
            <v>0</v>
          </cell>
          <cell r="E891" t="str">
            <v>M3</v>
          </cell>
          <cell r="F891">
            <v>350000</v>
          </cell>
          <cell r="G891">
            <v>0.08</v>
          </cell>
          <cell r="H891">
            <v>28000</v>
          </cell>
          <cell r="I891">
            <v>0</v>
          </cell>
        </row>
        <row r="892">
          <cell r="B892" t="str">
            <v>M034</v>
          </cell>
          <cell r="C892" t="str">
            <v>TABLETA SEÑALIZACION 0,1*20 M GRIS</v>
          </cell>
          <cell r="D892">
            <v>0</v>
          </cell>
          <cell r="E892" t="str">
            <v>UN</v>
          </cell>
          <cell r="F892">
            <v>1300</v>
          </cell>
          <cell r="G892">
            <v>5</v>
          </cell>
          <cell r="H892">
            <v>6500</v>
          </cell>
          <cell r="I892">
            <v>0</v>
          </cell>
        </row>
        <row r="893">
          <cell r="B893" t="str">
            <v>M035</v>
          </cell>
          <cell r="C893" t="str">
            <v>TABLETA TACTIL  GUIA 0,2*,2 M COLOR GRIS</v>
          </cell>
          <cell r="D893">
            <v>0</v>
          </cell>
          <cell r="E893" t="str">
            <v>UN</v>
          </cell>
          <cell r="F893">
            <v>2100</v>
          </cell>
          <cell r="G893">
            <v>5</v>
          </cell>
          <cell r="H893">
            <v>10500</v>
          </cell>
          <cell r="I893">
            <v>0</v>
          </cell>
        </row>
        <row r="894">
          <cell r="B894" t="str">
            <v>M009</v>
          </cell>
          <cell r="C894" t="str">
            <v>MALLA ELECTROSOLDADA</v>
          </cell>
          <cell r="D894">
            <v>0</v>
          </cell>
          <cell r="E894" t="str">
            <v>KG</v>
          </cell>
          <cell r="F894">
            <v>4550</v>
          </cell>
          <cell r="G894">
            <v>0.05</v>
          </cell>
          <cell r="H894">
            <v>227.5</v>
          </cell>
          <cell r="I894">
            <v>0</v>
          </cell>
        </row>
        <row r="895">
          <cell r="B895" t="str">
            <v>M013</v>
          </cell>
          <cell r="C895" t="str">
            <v>MORTERO 1:6 PARA PEGA Y REVITADA</v>
          </cell>
          <cell r="D895">
            <v>0</v>
          </cell>
          <cell r="E895" t="str">
            <v>M3</v>
          </cell>
          <cell r="F895">
            <v>370000</v>
          </cell>
          <cell r="G895">
            <v>6.0000000000000001E-3</v>
          </cell>
          <cell r="H895">
            <v>2220</v>
          </cell>
          <cell r="I895">
            <v>0</v>
          </cell>
        </row>
        <row r="896"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 t="str">
            <v>Sub-Total</v>
          </cell>
          <cell r="G896" t="str">
            <v>4.3</v>
          </cell>
          <cell r="H896" t="str">
            <v>MAT-4.3</v>
          </cell>
          <cell r="I896">
            <v>47447.5</v>
          </cell>
        </row>
        <row r="897"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</row>
        <row r="898">
          <cell r="B898">
            <v>0</v>
          </cell>
          <cell r="C898">
            <v>0</v>
          </cell>
          <cell r="D898" t="str">
            <v xml:space="preserve">CAN </v>
          </cell>
          <cell r="E898" t="str">
            <v>DISTANCIA</v>
          </cell>
          <cell r="F898" t="str">
            <v>M3-Km / UN-KM</v>
          </cell>
          <cell r="G898" t="str">
            <v>TARIFA</v>
          </cell>
          <cell r="H898" t="str">
            <v>Valor-Unit.</v>
          </cell>
          <cell r="I898">
            <v>0</v>
          </cell>
        </row>
        <row r="899">
          <cell r="B899" t="str">
            <v>T007</v>
          </cell>
          <cell r="C899" t="str">
            <v>TRANS INT TABLETA-ADOQUIN UN</v>
          </cell>
          <cell r="D899">
            <v>10</v>
          </cell>
          <cell r="E899">
            <v>1</v>
          </cell>
          <cell r="F899">
            <v>20</v>
          </cell>
          <cell r="G899">
            <v>200</v>
          </cell>
          <cell r="H899">
            <v>4000</v>
          </cell>
          <cell r="I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 t="str">
            <v>Sub-Total</v>
          </cell>
          <cell r="G900" t="str">
            <v>4.3</v>
          </cell>
          <cell r="H900" t="str">
            <v>TRAN-4.3</v>
          </cell>
          <cell r="I900">
            <v>4000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B902">
            <v>0</v>
          </cell>
          <cell r="C902">
            <v>0</v>
          </cell>
          <cell r="D902" t="str">
            <v>JORNAL-HORA</v>
          </cell>
          <cell r="E902" t="str">
            <v>PRES</v>
          </cell>
          <cell r="F902" t="str">
            <v>JORNAL TOTAL</v>
          </cell>
          <cell r="G902" t="str">
            <v>RENDIEMIENTO</v>
          </cell>
          <cell r="H902" t="str">
            <v>VALOR-UNIT</v>
          </cell>
          <cell r="I902">
            <v>0</v>
          </cell>
        </row>
        <row r="903">
          <cell r="B903" t="str">
            <v>MO004</v>
          </cell>
          <cell r="C903" t="str">
            <v>OFICIAL ENTUBADOR</v>
          </cell>
          <cell r="D903">
            <v>10290.430207916666</v>
          </cell>
          <cell r="E903">
            <v>0</v>
          </cell>
          <cell r="F903">
            <v>10290.430207916666</v>
          </cell>
          <cell r="G903">
            <v>1.6</v>
          </cell>
          <cell r="H903">
            <v>16464.688332666668</v>
          </cell>
          <cell r="I903">
            <v>0</v>
          </cell>
        </row>
        <row r="904">
          <cell r="B904" t="str">
            <v>MO006</v>
          </cell>
          <cell r="C904" t="str">
            <v>AYUDANTE ENTUBADOR</v>
          </cell>
          <cell r="D904">
            <v>8290.4302079166664</v>
          </cell>
          <cell r="E904">
            <v>0</v>
          </cell>
          <cell r="F904">
            <v>8290.4302079166664</v>
          </cell>
          <cell r="G904">
            <v>3.2</v>
          </cell>
          <cell r="H904">
            <v>26529.376665333333</v>
          </cell>
          <cell r="I904">
            <v>0</v>
          </cell>
        </row>
        <row r="905">
          <cell r="B905" t="str">
            <v>MO007</v>
          </cell>
          <cell r="C905" t="str">
            <v>CONTRAMAESTRO</v>
          </cell>
          <cell r="D905">
            <v>12710.935458055557</v>
          </cell>
          <cell r="E905">
            <v>0</v>
          </cell>
          <cell r="F905">
            <v>12710.935458055557</v>
          </cell>
          <cell r="G905">
            <v>0.16000000000000003</v>
          </cell>
          <cell r="H905">
            <v>2033.7496732888897</v>
          </cell>
          <cell r="I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 t="str">
            <v>Sub-Total</v>
          </cell>
          <cell r="G908" t="str">
            <v>4.3</v>
          </cell>
          <cell r="H908" t="str">
            <v>MDEO-4.3</v>
          </cell>
          <cell r="I908">
            <v>45027.814671288892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2251.3907335644449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 t="str">
            <v>Total Costo Directo</v>
          </cell>
          <cell r="G910">
            <v>0</v>
          </cell>
          <cell r="H910">
            <v>0</v>
          </cell>
          <cell r="I910">
            <v>100877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 t="str">
            <v>REVISA</v>
          </cell>
          <cell r="G911">
            <v>0</v>
          </cell>
          <cell r="H911">
            <v>0</v>
          </cell>
          <cell r="I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 t="str">
            <v>FIRMA:</v>
          </cell>
          <cell r="G912">
            <v>0</v>
          </cell>
          <cell r="H912">
            <v>0</v>
          </cell>
          <cell r="I912">
            <v>0</v>
          </cell>
        </row>
        <row r="913">
          <cell r="B913" t="str">
            <v xml:space="preserve">ING MARIA LEONOR BLU DIAS </v>
          </cell>
          <cell r="C913">
            <v>0</v>
          </cell>
          <cell r="D913">
            <v>0</v>
          </cell>
          <cell r="E913">
            <v>0</v>
          </cell>
          <cell r="F913" t="str">
            <v>NOMBRE</v>
          </cell>
          <cell r="G913">
            <v>0</v>
          </cell>
          <cell r="H913">
            <v>0</v>
          </cell>
          <cell r="I913">
            <v>0</v>
          </cell>
        </row>
        <row r="914">
          <cell r="B914" t="str">
            <v>MP: 222202-301269 COR</v>
          </cell>
          <cell r="C914">
            <v>0</v>
          </cell>
          <cell r="D914">
            <v>0</v>
          </cell>
          <cell r="E914">
            <v>0</v>
          </cell>
          <cell r="F914" t="str">
            <v>MAT:</v>
          </cell>
          <cell r="G914">
            <v>0</v>
          </cell>
          <cell r="H914">
            <v>0</v>
          </cell>
          <cell r="I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</row>
        <row r="921">
          <cell r="B921" t="str">
            <v>4.4</v>
          </cell>
          <cell r="C921" t="str">
            <v>DESCRIPCION:</v>
          </cell>
          <cell r="D921" t="str">
            <v>PINTURA TIPO TRAFICO, RESALTOS Y CRUCES CICLORUTA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B922" t="str">
            <v>710-13</v>
          </cell>
          <cell r="C922">
            <v>0</v>
          </cell>
          <cell r="D922" t="str">
            <v>UNIDAD</v>
          </cell>
          <cell r="E922" t="str">
            <v>ML</v>
          </cell>
          <cell r="F922" t="str">
            <v>CANTIDAD</v>
          </cell>
          <cell r="G922">
            <v>558</v>
          </cell>
          <cell r="H922" t="str">
            <v>V. UNITARIO:</v>
          </cell>
          <cell r="I922">
            <v>28641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 t="str">
            <v>Tarifa/Hora</v>
          </cell>
          <cell r="G924" t="str">
            <v>Rendimiento</v>
          </cell>
          <cell r="H924" t="str">
            <v>Valor-Unit.</v>
          </cell>
          <cell r="I924">
            <v>0</v>
          </cell>
        </row>
        <row r="925">
          <cell r="B925" t="str">
            <v>E007</v>
          </cell>
          <cell r="C925" t="str">
            <v>EQUIPO DE COMPRESOR PARA PINTURA</v>
          </cell>
          <cell r="D925">
            <v>0</v>
          </cell>
          <cell r="E925">
            <v>0</v>
          </cell>
          <cell r="F925">
            <v>6500</v>
          </cell>
          <cell r="G925">
            <v>0.2</v>
          </cell>
          <cell r="H925">
            <v>1300</v>
          </cell>
          <cell r="I925">
            <v>0</v>
          </cell>
        </row>
        <row r="926">
          <cell r="B926" t="str">
            <v>E020</v>
          </cell>
          <cell r="C926" t="str">
            <v>REGLA DE CORTE (CODAL 4M)</v>
          </cell>
          <cell r="D926">
            <v>0</v>
          </cell>
          <cell r="E926">
            <v>0</v>
          </cell>
          <cell r="F926">
            <v>35000</v>
          </cell>
          <cell r="G926">
            <v>0.2</v>
          </cell>
          <cell r="H926">
            <v>7000</v>
          </cell>
          <cell r="I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 t="str">
            <v>Sub-Total</v>
          </cell>
          <cell r="G928" t="str">
            <v>4.4</v>
          </cell>
          <cell r="H928" t="str">
            <v>EQUI-4.4</v>
          </cell>
          <cell r="I928">
            <v>8300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 t="str">
            <v>UNIDAD</v>
          </cell>
          <cell r="F930" t="str">
            <v>V.UNIT</v>
          </cell>
          <cell r="G930" t="str">
            <v>CANT</v>
          </cell>
          <cell r="H930" t="str">
            <v>V.TOTAL</v>
          </cell>
          <cell r="I930">
            <v>0</v>
          </cell>
        </row>
        <row r="931">
          <cell r="B931" t="str">
            <v>M023</v>
          </cell>
          <cell r="C931" t="str">
            <v>PINTURA TRAFICO</v>
          </cell>
          <cell r="D931">
            <v>0</v>
          </cell>
          <cell r="E931" t="str">
            <v>GL</v>
          </cell>
          <cell r="F931">
            <v>145000</v>
          </cell>
          <cell r="G931">
            <v>0.06</v>
          </cell>
          <cell r="H931">
            <v>8700</v>
          </cell>
          <cell r="I931">
            <v>0</v>
          </cell>
        </row>
        <row r="932">
          <cell r="B932" t="str">
            <v>M011</v>
          </cell>
          <cell r="C932" t="str">
            <v>DISOLVENTE</v>
          </cell>
          <cell r="D932">
            <v>0</v>
          </cell>
          <cell r="E932" t="str">
            <v>GL</v>
          </cell>
          <cell r="F932">
            <v>21650</v>
          </cell>
          <cell r="G932">
            <v>0.06</v>
          </cell>
          <cell r="H932">
            <v>1299</v>
          </cell>
          <cell r="I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 t="str">
            <v>Sub-Total</v>
          </cell>
          <cell r="G933" t="str">
            <v>4.4</v>
          </cell>
          <cell r="H933" t="str">
            <v>MAT-4.4</v>
          </cell>
          <cell r="I933">
            <v>9999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</row>
        <row r="935">
          <cell r="B935">
            <v>0</v>
          </cell>
          <cell r="C935">
            <v>0</v>
          </cell>
          <cell r="D935" t="str">
            <v xml:space="preserve">CAN </v>
          </cell>
          <cell r="E935" t="str">
            <v>DISTANCIA</v>
          </cell>
          <cell r="F935" t="str">
            <v>M3-Km / UN-KM</v>
          </cell>
          <cell r="G935" t="str">
            <v>TARIFA</v>
          </cell>
          <cell r="H935" t="str">
            <v>Valor-Unit.</v>
          </cell>
          <cell r="I935">
            <v>0</v>
          </cell>
        </row>
        <row r="936"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 t="str">
            <v>Sub-Total</v>
          </cell>
          <cell r="G937" t="str">
            <v>4.4</v>
          </cell>
          <cell r="H937" t="str">
            <v>TRAN-4.4</v>
          </cell>
          <cell r="I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B939">
            <v>0</v>
          </cell>
          <cell r="C939">
            <v>0</v>
          </cell>
          <cell r="D939" t="str">
            <v>JORNAL-HORA</v>
          </cell>
          <cell r="E939" t="str">
            <v>PRES</v>
          </cell>
          <cell r="F939" t="str">
            <v>JORNAL TOTAL</v>
          </cell>
          <cell r="G939" t="str">
            <v>RENDIEMIENTO</v>
          </cell>
          <cell r="H939" t="str">
            <v>VALOR-UNIT</v>
          </cell>
          <cell r="I939">
            <v>0</v>
          </cell>
        </row>
        <row r="940">
          <cell r="B940" t="str">
            <v>MO004</v>
          </cell>
          <cell r="C940" t="str">
            <v>OFICIAL ENTUBADOR</v>
          </cell>
          <cell r="D940">
            <v>10290.430207916666</v>
          </cell>
          <cell r="E940">
            <v>0</v>
          </cell>
          <cell r="F940">
            <v>10290.430207916666</v>
          </cell>
          <cell r="G940">
            <v>0.35</v>
          </cell>
          <cell r="H940">
            <v>3601.6505727708332</v>
          </cell>
          <cell r="I940">
            <v>0</v>
          </cell>
        </row>
        <row r="941">
          <cell r="B941" t="str">
            <v>MO006</v>
          </cell>
          <cell r="C941" t="str">
            <v>AYUDANTE ENTUBADOR</v>
          </cell>
          <cell r="D941">
            <v>8290.4302079166664</v>
          </cell>
          <cell r="E941">
            <v>0</v>
          </cell>
          <cell r="F941">
            <v>8290.4302079166664</v>
          </cell>
          <cell r="G941">
            <v>0.7</v>
          </cell>
          <cell r="H941">
            <v>5803.3011455416663</v>
          </cell>
          <cell r="I941">
            <v>0</v>
          </cell>
        </row>
        <row r="942">
          <cell r="B942" t="str">
            <v>MO007</v>
          </cell>
          <cell r="C942" t="str">
            <v>CONTRAMAESTRO</v>
          </cell>
          <cell r="D942">
            <v>12710.935458055557</v>
          </cell>
          <cell r="E942">
            <v>0</v>
          </cell>
          <cell r="F942">
            <v>12710.935458055557</v>
          </cell>
          <cell r="G942">
            <v>3.4999999999999996E-2</v>
          </cell>
          <cell r="H942">
            <v>444.88274103194448</v>
          </cell>
          <cell r="I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 t="str">
            <v>Sub-Total</v>
          </cell>
          <cell r="G943" t="str">
            <v>4.4</v>
          </cell>
          <cell r="H943" t="str">
            <v>MDEO-4.4</v>
          </cell>
          <cell r="I943">
            <v>9849.8344593444435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492.49172296722219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 t="str">
            <v>Total Costo Directo</v>
          </cell>
          <cell r="G945">
            <v>0</v>
          </cell>
          <cell r="H945">
            <v>0</v>
          </cell>
          <cell r="I945">
            <v>28641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 t="str">
            <v>REVISA</v>
          </cell>
          <cell r="G947">
            <v>0</v>
          </cell>
          <cell r="H947">
            <v>0</v>
          </cell>
          <cell r="I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 t="str">
            <v>FIRMA:</v>
          </cell>
          <cell r="G948">
            <v>0</v>
          </cell>
          <cell r="H948">
            <v>0</v>
          </cell>
          <cell r="I948">
            <v>0</v>
          </cell>
        </row>
        <row r="949">
          <cell r="B949" t="str">
            <v xml:space="preserve">ING MARIA LEONOR BLU DIAS </v>
          </cell>
          <cell r="C949">
            <v>0</v>
          </cell>
          <cell r="D949">
            <v>0</v>
          </cell>
          <cell r="E949">
            <v>0</v>
          </cell>
          <cell r="F949" t="str">
            <v>NOMBRE</v>
          </cell>
          <cell r="G949">
            <v>0</v>
          </cell>
          <cell r="H949">
            <v>0</v>
          </cell>
          <cell r="I949">
            <v>0</v>
          </cell>
        </row>
        <row r="950">
          <cell r="B950" t="str">
            <v>MP: 222202-301269 COR</v>
          </cell>
          <cell r="C950">
            <v>0</v>
          </cell>
          <cell r="D950">
            <v>0</v>
          </cell>
          <cell r="E950">
            <v>0</v>
          </cell>
          <cell r="F950" t="str">
            <v>MAT:</v>
          </cell>
          <cell r="G950">
            <v>0</v>
          </cell>
          <cell r="H950">
            <v>0</v>
          </cell>
          <cell r="I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</row>
        <row r="956">
          <cell r="B956" t="str">
            <v>4.5</v>
          </cell>
          <cell r="C956" t="str">
            <v>DESCRIPCION:</v>
          </cell>
          <cell r="D956" t="str">
            <v>PISO EN LOSETA CUADRATICA PREFABRICADA TACTIL ALERTA, 20*20 E=60 MM-SE INSTALARÁ SOBRE UNA CAPA DE MORTERO 1:4 DE 4CM.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</row>
        <row r="957">
          <cell r="B957" t="str">
            <v>PAR-10</v>
          </cell>
          <cell r="C957">
            <v>0</v>
          </cell>
          <cell r="D957" t="str">
            <v>UNIDAD</v>
          </cell>
          <cell r="E957" t="str">
            <v>m2</v>
          </cell>
          <cell r="F957" t="str">
            <v>CANTIDAD</v>
          </cell>
          <cell r="G957">
            <v>124</v>
          </cell>
          <cell r="H957" t="str">
            <v>V. UNITARIO:</v>
          </cell>
          <cell r="I957">
            <v>101850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 t="str">
            <v>Tarifa/Hora</v>
          </cell>
          <cell r="G959" t="str">
            <v>Rendimiento</v>
          </cell>
          <cell r="H959" t="str">
            <v>Valor-Unit.</v>
          </cell>
          <cell r="I959">
            <v>0</v>
          </cell>
        </row>
        <row r="960">
          <cell r="B960" t="str">
            <v>E007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 t="str">
            <v>Sub-Total</v>
          </cell>
          <cell r="G961" t="str">
            <v>4.5</v>
          </cell>
          <cell r="H961" t="str">
            <v>EQUI-4.5</v>
          </cell>
          <cell r="I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 t="str">
            <v>UNIDAD</v>
          </cell>
          <cell r="F963" t="str">
            <v>V.UNIT</v>
          </cell>
          <cell r="G963" t="str">
            <v>CANT</v>
          </cell>
          <cell r="H963" t="str">
            <v>V.TOTAL</v>
          </cell>
          <cell r="I963">
            <v>0</v>
          </cell>
        </row>
        <row r="964">
          <cell r="B964" t="str">
            <v>M036</v>
          </cell>
          <cell r="C964" t="str">
            <v>TABLETA TACTIL ALERTA 20*20</v>
          </cell>
          <cell r="D964">
            <v>0</v>
          </cell>
          <cell r="E964" t="str">
            <v>UN</v>
          </cell>
          <cell r="F964">
            <v>2100</v>
          </cell>
          <cell r="G964">
            <v>25</v>
          </cell>
          <cell r="H964">
            <v>52500</v>
          </cell>
          <cell r="I964">
            <v>0</v>
          </cell>
        </row>
        <row r="965">
          <cell r="B965" t="str">
            <v>M013</v>
          </cell>
          <cell r="C965" t="str">
            <v>MORTERO 1:6 PARA PEGA Y REVITADA</v>
          </cell>
          <cell r="D965">
            <v>0</v>
          </cell>
          <cell r="E965" t="str">
            <v>M3</v>
          </cell>
          <cell r="F965">
            <v>370000</v>
          </cell>
          <cell r="G965">
            <v>0.04</v>
          </cell>
          <cell r="H965">
            <v>14800</v>
          </cell>
          <cell r="I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 t="str">
            <v>Sub-Total</v>
          </cell>
          <cell r="G966" t="str">
            <v>4.5</v>
          </cell>
          <cell r="H966" t="str">
            <v>MAT-4.5</v>
          </cell>
          <cell r="I966">
            <v>67300</v>
          </cell>
        </row>
        <row r="967"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</row>
        <row r="968">
          <cell r="B968">
            <v>0</v>
          </cell>
          <cell r="C968">
            <v>0</v>
          </cell>
          <cell r="D968" t="str">
            <v xml:space="preserve">CAN </v>
          </cell>
          <cell r="E968" t="str">
            <v>DISTANCIA</v>
          </cell>
          <cell r="F968" t="str">
            <v>M3-Km / UN-KM</v>
          </cell>
          <cell r="G968" t="str">
            <v>TARIFA</v>
          </cell>
          <cell r="H968" t="str">
            <v>Valor-Unit.</v>
          </cell>
          <cell r="I968">
            <v>0</v>
          </cell>
        </row>
        <row r="969">
          <cell r="B969" t="str">
            <v>T007</v>
          </cell>
          <cell r="C969" t="str">
            <v>TRANS INT TABLETA-ADOQUIN UN</v>
          </cell>
          <cell r="D969">
            <v>25</v>
          </cell>
          <cell r="E969">
            <v>1</v>
          </cell>
          <cell r="F969">
            <v>25</v>
          </cell>
          <cell r="G969">
            <v>200</v>
          </cell>
          <cell r="H969">
            <v>5000</v>
          </cell>
          <cell r="I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 t="str">
            <v>Sub-Total</v>
          </cell>
          <cell r="G970" t="str">
            <v>4.5</v>
          </cell>
          <cell r="H970" t="str">
            <v>TRAN-4.5</v>
          </cell>
          <cell r="I970">
            <v>5000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B972">
            <v>0</v>
          </cell>
          <cell r="C972">
            <v>0</v>
          </cell>
          <cell r="D972" t="str">
            <v>JORNAL-HORA</v>
          </cell>
          <cell r="E972" t="str">
            <v>PRES</v>
          </cell>
          <cell r="F972" t="str">
            <v>JORNAL TOTAL</v>
          </cell>
          <cell r="G972" t="str">
            <v>RENDIEMIENTO</v>
          </cell>
          <cell r="H972" t="str">
            <v>VALOR-UNIT</v>
          </cell>
          <cell r="I972">
            <v>0</v>
          </cell>
        </row>
        <row r="973">
          <cell r="B973" t="str">
            <v>MO004</v>
          </cell>
          <cell r="C973" t="str">
            <v>OFICIAL ENTUBADOR</v>
          </cell>
          <cell r="D973">
            <v>10290.430207916666</v>
          </cell>
          <cell r="E973">
            <v>0</v>
          </cell>
          <cell r="F973">
            <v>10290.430207916666</v>
          </cell>
          <cell r="G973">
            <v>1</v>
          </cell>
          <cell r="H973">
            <v>10290.430207916666</v>
          </cell>
          <cell r="I973">
            <v>0</v>
          </cell>
        </row>
        <row r="974">
          <cell r="B974" t="str">
            <v>MO006</v>
          </cell>
          <cell r="C974" t="str">
            <v>AYUDANTE ENTUBADOR</v>
          </cell>
          <cell r="D974">
            <v>8290.4302079166664</v>
          </cell>
          <cell r="E974">
            <v>0</v>
          </cell>
          <cell r="F974">
            <v>8290.4302079166664</v>
          </cell>
          <cell r="G974">
            <v>2</v>
          </cell>
          <cell r="H974">
            <v>16580.860415833333</v>
          </cell>
          <cell r="I974">
            <v>0</v>
          </cell>
        </row>
        <row r="975">
          <cell r="B975" t="str">
            <v>MO007</v>
          </cell>
          <cell r="C975" t="str">
            <v>CONTRAMAESTRO</v>
          </cell>
          <cell r="D975">
            <v>12710.935458055557</v>
          </cell>
          <cell r="E975">
            <v>0</v>
          </cell>
          <cell r="F975">
            <v>12710.935458055557</v>
          </cell>
          <cell r="G975">
            <v>0.1</v>
          </cell>
          <cell r="H975">
            <v>1271.0935458055558</v>
          </cell>
          <cell r="I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 t="str">
            <v>Sub-Total</v>
          </cell>
          <cell r="G976" t="str">
            <v>4.5</v>
          </cell>
          <cell r="H976" t="str">
            <v>MDEO-4.5</v>
          </cell>
          <cell r="I976">
            <v>28142.384169555557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1407.1192084777779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 t="str">
            <v>Total Costo Directo</v>
          </cell>
          <cell r="G978">
            <v>0</v>
          </cell>
          <cell r="H978">
            <v>0</v>
          </cell>
          <cell r="I978">
            <v>101850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 t="str">
            <v>REVISA</v>
          </cell>
          <cell r="G980">
            <v>0</v>
          </cell>
          <cell r="H980">
            <v>0</v>
          </cell>
          <cell r="I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 t="str">
            <v>FIRMA:</v>
          </cell>
          <cell r="G981">
            <v>0</v>
          </cell>
          <cell r="H981">
            <v>0</v>
          </cell>
          <cell r="I981">
            <v>0</v>
          </cell>
        </row>
        <row r="982">
          <cell r="B982" t="str">
            <v xml:space="preserve">ING MARIA LEONOR BLU DIAS </v>
          </cell>
          <cell r="C982">
            <v>0</v>
          </cell>
          <cell r="D982">
            <v>0</v>
          </cell>
          <cell r="E982">
            <v>0</v>
          </cell>
          <cell r="F982" t="str">
            <v>NOMBRE</v>
          </cell>
          <cell r="G982">
            <v>0</v>
          </cell>
          <cell r="H982">
            <v>0</v>
          </cell>
          <cell r="I982">
            <v>0</v>
          </cell>
        </row>
        <row r="983">
          <cell r="B983" t="str">
            <v>MP: 222202-301269 COR</v>
          </cell>
          <cell r="C983">
            <v>0</v>
          </cell>
          <cell r="D983">
            <v>0</v>
          </cell>
          <cell r="E983">
            <v>0</v>
          </cell>
          <cell r="F983" t="str">
            <v>MAT:</v>
          </cell>
          <cell r="G983">
            <v>0</v>
          </cell>
          <cell r="H983">
            <v>0</v>
          </cell>
          <cell r="I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</row>
        <row r="990">
          <cell r="B990" t="str">
            <v>4.6</v>
          </cell>
          <cell r="C990" t="str">
            <v>DESCRIPCION:</v>
          </cell>
          <cell r="D990" t="str">
            <v>CONCRETO REFORZADO 21MPA PARA VIGA DE CIERRE ANDENES, ZONAS VERDES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</row>
        <row r="991">
          <cell r="B991" t="str">
            <v>630-13A</v>
          </cell>
          <cell r="C991">
            <v>0</v>
          </cell>
          <cell r="D991" t="str">
            <v>UNIDAD</v>
          </cell>
          <cell r="E991" t="str">
            <v>M3</v>
          </cell>
          <cell r="F991" t="str">
            <v>CANTIDAD</v>
          </cell>
          <cell r="G991">
            <v>499</v>
          </cell>
          <cell r="H991" t="str">
            <v>V. UNITARIO:</v>
          </cell>
          <cell r="I991">
            <v>441474</v>
          </cell>
        </row>
        <row r="992"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 t="str">
            <v>Tarifa/Hora</v>
          </cell>
          <cell r="G993" t="str">
            <v>Rendimiento</v>
          </cell>
          <cell r="H993" t="str">
            <v>Valor-Unit.</v>
          </cell>
          <cell r="I993">
            <v>0</v>
          </cell>
        </row>
        <row r="994">
          <cell r="B994" t="str">
            <v>E027</v>
          </cell>
          <cell r="C994" t="str">
            <v>VIBRADOR DE AGUJA</v>
          </cell>
          <cell r="D994">
            <v>0</v>
          </cell>
          <cell r="E994">
            <v>0</v>
          </cell>
          <cell r="F994">
            <v>4375</v>
          </cell>
          <cell r="G994">
            <v>1</v>
          </cell>
          <cell r="H994">
            <v>4375</v>
          </cell>
          <cell r="I994">
            <v>0</v>
          </cell>
        </row>
        <row r="995">
          <cell r="B995" t="str">
            <v>E012</v>
          </cell>
          <cell r="C995" t="str">
            <v>FORMALETA PARA BORDILLO/CUNETA</v>
          </cell>
          <cell r="D995">
            <v>0</v>
          </cell>
          <cell r="E995">
            <v>0</v>
          </cell>
          <cell r="F995">
            <v>2150</v>
          </cell>
          <cell r="G995">
            <v>1</v>
          </cell>
          <cell r="H995">
            <v>2150</v>
          </cell>
          <cell r="I995">
            <v>0</v>
          </cell>
        </row>
        <row r="996"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 t="str">
            <v>Sub-Total</v>
          </cell>
          <cell r="G996" t="str">
            <v>4.6</v>
          </cell>
          <cell r="H996" t="str">
            <v>EQUI-4.6</v>
          </cell>
          <cell r="I996">
            <v>6525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 t="str">
            <v>UNIDAD</v>
          </cell>
          <cell r="F998" t="str">
            <v>V.UNIT</v>
          </cell>
          <cell r="G998" t="str">
            <v>CANT</v>
          </cell>
          <cell r="H998" t="str">
            <v>V.TOTAL</v>
          </cell>
          <cell r="I998">
            <v>0</v>
          </cell>
        </row>
        <row r="999">
          <cell r="B999" t="str">
            <v>M007</v>
          </cell>
          <cell r="C999" t="str">
            <v>CONCRETO 3000PSI EN OBRA</v>
          </cell>
          <cell r="D999">
            <v>0</v>
          </cell>
          <cell r="E999" t="str">
            <v>M3</v>
          </cell>
          <cell r="F999">
            <v>350000</v>
          </cell>
          <cell r="G999">
            <v>1</v>
          </cell>
          <cell r="H999">
            <v>350000</v>
          </cell>
          <cell r="I999">
            <v>0</v>
          </cell>
        </row>
        <row r="1000">
          <cell r="B1000" t="str">
            <v>M002</v>
          </cell>
          <cell r="C1000" t="str">
            <v>ACERO  60000 PSI</v>
          </cell>
          <cell r="D1000">
            <v>0</v>
          </cell>
          <cell r="E1000" t="str">
            <v>KG</v>
          </cell>
          <cell r="F1000">
            <v>5400</v>
          </cell>
          <cell r="G1000">
            <v>25</v>
          </cell>
          <cell r="H1000">
            <v>0</v>
          </cell>
          <cell r="I1000">
            <v>0</v>
          </cell>
        </row>
        <row r="1001">
          <cell r="B1001" t="str">
            <v>M001</v>
          </cell>
          <cell r="C1001" t="str">
            <v>ALAMBRE QUEMADO</v>
          </cell>
          <cell r="D1001">
            <v>0</v>
          </cell>
          <cell r="E1001" t="str">
            <v>KG</v>
          </cell>
          <cell r="F1001">
            <v>4500</v>
          </cell>
          <cell r="G1001">
            <v>0.8</v>
          </cell>
          <cell r="H1001">
            <v>3600</v>
          </cell>
          <cell r="I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 t="str">
            <v>Sub-Total</v>
          </cell>
          <cell r="G1002" t="str">
            <v>4.6</v>
          </cell>
          <cell r="H1002" t="str">
            <v>MAT-4.6</v>
          </cell>
          <cell r="I1002">
            <v>353600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</row>
        <row r="1004">
          <cell r="B1004">
            <v>0</v>
          </cell>
          <cell r="C1004">
            <v>0</v>
          </cell>
          <cell r="D1004" t="str">
            <v xml:space="preserve">CAN </v>
          </cell>
          <cell r="E1004" t="str">
            <v>DISTANCIA</v>
          </cell>
          <cell r="F1004" t="str">
            <v>M3-Km / UN-KM</v>
          </cell>
          <cell r="G1004" t="str">
            <v>TARIFA</v>
          </cell>
          <cell r="H1004" t="str">
            <v>Valor-Unit.</v>
          </cell>
          <cell r="I1004">
            <v>0</v>
          </cell>
        </row>
        <row r="1005">
          <cell r="B1005" t="str">
            <v>T001</v>
          </cell>
          <cell r="C1005" t="str">
            <v>TRANS INT CONCRETO M3</v>
          </cell>
          <cell r="D1005">
            <v>1</v>
          </cell>
          <cell r="E1005">
            <v>1</v>
          </cell>
          <cell r="F1005">
            <v>1</v>
          </cell>
          <cell r="G1005">
            <v>4000</v>
          </cell>
          <cell r="H1005">
            <v>4000</v>
          </cell>
          <cell r="I1005">
            <v>0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 t="str">
            <v>Sub-Total</v>
          </cell>
          <cell r="G1006" t="str">
            <v>4.6</v>
          </cell>
          <cell r="H1006" t="str">
            <v>TRAN-4.6</v>
          </cell>
          <cell r="I1006">
            <v>4000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</row>
        <row r="1008">
          <cell r="B1008">
            <v>0</v>
          </cell>
          <cell r="C1008">
            <v>0</v>
          </cell>
          <cell r="D1008" t="str">
            <v>JORNAL-HORA</v>
          </cell>
          <cell r="E1008" t="str">
            <v>PRES</v>
          </cell>
          <cell r="F1008" t="str">
            <v>JORNAL TOTAL</v>
          </cell>
          <cell r="G1008" t="str">
            <v>RENDIEMIENTO</v>
          </cell>
          <cell r="H1008" t="str">
            <v>VALOR-UNIT</v>
          </cell>
          <cell r="I1008">
            <v>0</v>
          </cell>
        </row>
        <row r="1009">
          <cell r="B1009" t="str">
            <v>MO004</v>
          </cell>
          <cell r="C1009" t="str">
            <v>OFICIAL ENTUBADOR</v>
          </cell>
          <cell r="D1009">
            <v>10290.430207916666</v>
          </cell>
          <cell r="E1009">
            <v>0</v>
          </cell>
          <cell r="F1009">
            <v>10290.430207916666</v>
          </cell>
          <cell r="G1009">
            <v>2</v>
          </cell>
          <cell r="H1009">
            <v>20580.860415833333</v>
          </cell>
          <cell r="I1009">
            <v>0</v>
          </cell>
        </row>
        <row r="1010">
          <cell r="B1010" t="str">
            <v>MO005</v>
          </cell>
          <cell r="C1010" t="str">
            <v>AYUDANTE ENTENDIDO PAV</v>
          </cell>
          <cell r="D1010">
            <v>9090.4302079166664</v>
          </cell>
          <cell r="E1010">
            <v>0</v>
          </cell>
          <cell r="F1010">
            <v>9090.4302079166664</v>
          </cell>
          <cell r="G1010">
            <v>1</v>
          </cell>
          <cell r="H1010">
            <v>9090.4302079166664</v>
          </cell>
          <cell r="I1010">
            <v>0</v>
          </cell>
        </row>
        <row r="1011">
          <cell r="B1011" t="str">
            <v>MO006</v>
          </cell>
          <cell r="C1011" t="str">
            <v>AYUDANTE ENTUBADOR</v>
          </cell>
          <cell r="D1011">
            <v>8290.4302079166664</v>
          </cell>
          <cell r="E1011">
            <v>0</v>
          </cell>
          <cell r="F1011">
            <v>8290.4302079166664</v>
          </cell>
          <cell r="G1011">
            <v>5</v>
          </cell>
          <cell r="H1011">
            <v>41452.151039583332</v>
          </cell>
          <cell r="I1011">
            <v>0</v>
          </cell>
        </row>
        <row r="1012">
          <cell r="B1012" t="str">
            <v>MO007</v>
          </cell>
          <cell r="C1012" t="str">
            <v>CONTRAMAESTRO</v>
          </cell>
          <cell r="D1012">
            <v>12710.935458055557</v>
          </cell>
          <cell r="E1012">
            <v>0</v>
          </cell>
          <cell r="F1012">
            <v>12710.935458055557</v>
          </cell>
          <cell r="G1012">
            <v>0.2</v>
          </cell>
          <cell r="H1012">
            <v>2542.1870916111116</v>
          </cell>
          <cell r="I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 t="str">
            <v>Sub-Total</v>
          </cell>
          <cell r="G1013" t="str">
            <v>4.6</v>
          </cell>
          <cell r="H1013" t="str">
            <v>MDEO-4.6</v>
          </cell>
          <cell r="I1013">
            <v>73665.628754944439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3683.2814377472223</v>
          </cell>
        </row>
        <row r="1015"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 t="str">
            <v>Total Costo Directo</v>
          </cell>
          <cell r="G1015">
            <v>0</v>
          </cell>
          <cell r="H1015">
            <v>0</v>
          </cell>
          <cell r="I1015">
            <v>441474</v>
          </cell>
        </row>
        <row r="1016"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</row>
        <row r="1017"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 t="str">
            <v>REVISA</v>
          </cell>
          <cell r="G1017">
            <v>0</v>
          </cell>
          <cell r="H1017">
            <v>0</v>
          </cell>
          <cell r="I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 t="str">
            <v>FIRMA:</v>
          </cell>
          <cell r="G1018">
            <v>0</v>
          </cell>
          <cell r="H1018">
            <v>0</v>
          </cell>
          <cell r="I1018">
            <v>0</v>
          </cell>
        </row>
        <row r="1019">
          <cell r="B1019" t="str">
            <v xml:space="preserve">ING MARIA LEONOR BLU DIAS </v>
          </cell>
          <cell r="C1019">
            <v>0</v>
          </cell>
          <cell r="D1019">
            <v>0</v>
          </cell>
          <cell r="E1019">
            <v>0</v>
          </cell>
          <cell r="F1019" t="str">
            <v>NOMBRE</v>
          </cell>
          <cell r="G1019">
            <v>0</v>
          </cell>
          <cell r="H1019">
            <v>0</v>
          </cell>
          <cell r="I1019">
            <v>0</v>
          </cell>
        </row>
        <row r="1020">
          <cell r="B1020" t="str">
            <v>MP: 222202-301269 COR</v>
          </cell>
          <cell r="C1020">
            <v>0</v>
          </cell>
          <cell r="D1020">
            <v>0</v>
          </cell>
          <cell r="E1020">
            <v>0</v>
          </cell>
          <cell r="F1020" t="str">
            <v>MAT:</v>
          </cell>
          <cell r="G1020">
            <v>0</v>
          </cell>
          <cell r="H1020">
            <v>0</v>
          </cell>
          <cell r="I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</row>
        <row r="1026">
          <cell r="B1026" t="str">
            <v>4.7</v>
          </cell>
          <cell r="C1026" t="str">
            <v>DESCRIPCION:</v>
          </cell>
          <cell r="D1026" t="str">
            <v xml:space="preserve">SEÑAL VERTICAL 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</row>
        <row r="1027">
          <cell r="B1027" t="str">
            <v>PAR-22</v>
          </cell>
          <cell r="C1027">
            <v>0</v>
          </cell>
          <cell r="D1027" t="str">
            <v>UNIDAD</v>
          </cell>
          <cell r="E1027" t="str">
            <v>UNIDAD</v>
          </cell>
          <cell r="F1027" t="str">
            <v>CANTIDAD</v>
          </cell>
          <cell r="G1027">
            <v>448</v>
          </cell>
          <cell r="H1027" t="str">
            <v>V. UNITARIO:</v>
          </cell>
          <cell r="I1027">
            <v>487870</v>
          </cell>
        </row>
        <row r="1028"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 t="str">
            <v>Tarifa/Hora</v>
          </cell>
          <cell r="G1029" t="str">
            <v>Rendimiento</v>
          </cell>
          <cell r="H1029" t="str">
            <v>Valor-Unit.</v>
          </cell>
          <cell r="I1029">
            <v>0</v>
          </cell>
        </row>
        <row r="1030">
          <cell r="B1030" t="str">
            <v>E018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 t="str">
            <v>Sub-Total</v>
          </cell>
          <cell r="G1031" t="str">
            <v>4.7</v>
          </cell>
          <cell r="H1031" t="str">
            <v>EQUI-4.7</v>
          </cell>
          <cell r="I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 t="str">
            <v>UNIDAD</v>
          </cell>
          <cell r="F1033" t="str">
            <v>V.UNIT</v>
          </cell>
          <cell r="G1033" t="str">
            <v>CANT</v>
          </cell>
          <cell r="H1033" t="str">
            <v>V.TOTAL</v>
          </cell>
          <cell r="I1033">
            <v>0</v>
          </cell>
        </row>
        <row r="1034">
          <cell r="B1034" t="str">
            <v>M007</v>
          </cell>
          <cell r="C1034" t="str">
            <v>CONCRETO 3000PSI EN OBRA</v>
          </cell>
          <cell r="D1034">
            <v>0</v>
          </cell>
          <cell r="E1034" t="str">
            <v>M3</v>
          </cell>
          <cell r="F1034">
            <v>350000</v>
          </cell>
          <cell r="G1034">
            <v>5.3999999999999999E-2</v>
          </cell>
          <cell r="H1034">
            <v>18900</v>
          </cell>
          <cell r="I1034">
            <v>0</v>
          </cell>
        </row>
        <row r="1035">
          <cell r="B1035" t="str">
            <v>M029</v>
          </cell>
          <cell r="C1035" t="str">
            <v>SEÑAL VERTICAL</v>
          </cell>
          <cell r="D1035">
            <v>0</v>
          </cell>
          <cell r="E1035" t="str">
            <v>un</v>
          </cell>
          <cell r="F1035">
            <v>410000</v>
          </cell>
          <cell r="G1035">
            <v>1</v>
          </cell>
          <cell r="H1035">
            <v>410000</v>
          </cell>
          <cell r="I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 t="str">
            <v>Sub-Total</v>
          </cell>
          <cell r="G1036" t="str">
            <v>4.7</v>
          </cell>
          <cell r="H1036" t="str">
            <v>MAT-4.7</v>
          </cell>
          <cell r="I1036">
            <v>428900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</row>
        <row r="1038">
          <cell r="B1038">
            <v>0</v>
          </cell>
          <cell r="C1038">
            <v>0</v>
          </cell>
          <cell r="D1038" t="str">
            <v xml:space="preserve">CAN </v>
          </cell>
          <cell r="E1038" t="str">
            <v>DISTANCIA</v>
          </cell>
          <cell r="F1038" t="str">
            <v>M3-Km / UN-KM</v>
          </cell>
          <cell r="G1038" t="str">
            <v>TARIFA</v>
          </cell>
          <cell r="H1038" t="str">
            <v>Valor-Unit.</v>
          </cell>
          <cell r="I1038">
            <v>0</v>
          </cell>
        </row>
        <row r="1039">
          <cell r="B1039" t="str">
            <v>T001</v>
          </cell>
          <cell r="C1039" t="str">
            <v>TRANS INT CONCRETO M3</v>
          </cell>
          <cell r="D1039">
            <v>5.3999999999999999E-2</v>
          </cell>
          <cell r="E1039">
            <v>1</v>
          </cell>
          <cell r="F1039">
            <v>5.3999999999999999E-2</v>
          </cell>
          <cell r="G1039">
            <v>4000</v>
          </cell>
          <cell r="H1039">
            <v>216</v>
          </cell>
          <cell r="I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 t="str">
            <v>Sub-Total</v>
          </cell>
          <cell r="G1041" t="str">
            <v>4.7</v>
          </cell>
          <cell r="H1041" t="str">
            <v>TRAN-4.7</v>
          </cell>
          <cell r="I1041">
            <v>216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</row>
        <row r="1043">
          <cell r="B1043">
            <v>0</v>
          </cell>
          <cell r="C1043">
            <v>0</v>
          </cell>
          <cell r="D1043" t="str">
            <v>JORNAL-HORA</v>
          </cell>
          <cell r="E1043" t="str">
            <v>PRES</v>
          </cell>
          <cell r="F1043" t="str">
            <v>JORNAL TOTAL</v>
          </cell>
          <cell r="G1043" t="str">
            <v>RENDIEMIENTO</v>
          </cell>
          <cell r="H1043" t="str">
            <v>VALOR-UNIT</v>
          </cell>
          <cell r="I1043">
            <v>0</v>
          </cell>
        </row>
        <row r="1044">
          <cell r="B1044" t="str">
            <v>MO005</v>
          </cell>
          <cell r="C1044" t="str">
            <v>AYUDANTE ENTENDIDO PAV</v>
          </cell>
          <cell r="D1044">
            <v>9090.4302079166664</v>
          </cell>
          <cell r="E1044">
            <v>0</v>
          </cell>
          <cell r="F1044">
            <v>9090.4302079166664</v>
          </cell>
          <cell r="G1044">
            <v>3</v>
          </cell>
          <cell r="H1044">
            <v>27271.290623749999</v>
          </cell>
          <cell r="I1044">
            <v>0</v>
          </cell>
        </row>
        <row r="1045">
          <cell r="B1045" t="str">
            <v>MO006</v>
          </cell>
          <cell r="C1045" t="str">
            <v>AYUDANTE ENTUBADOR</v>
          </cell>
          <cell r="D1045">
            <v>8290.4302079166664</v>
          </cell>
          <cell r="E1045">
            <v>0</v>
          </cell>
          <cell r="F1045">
            <v>8290.4302079166664</v>
          </cell>
          <cell r="G1045">
            <v>3</v>
          </cell>
          <cell r="H1045">
            <v>24871.290623749999</v>
          </cell>
          <cell r="I1045">
            <v>0</v>
          </cell>
        </row>
        <row r="1046">
          <cell r="B1046" t="str">
            <v>MO007</v>
          </cell>
          <cell r="C1046" t="str">
            <v>CONTRAMAESTRO</v>
          </cell>
          <cell r="D1046">
            <v>12710.935458055557</v>
          </cell>
          <cell r="E1046">
            <v>0</v>
          </cell>
          <cell r="F1046">
            <v>12710.935458055557</v>
          </cell>
          <cell r="G1046">
            <v>0.30000000000000004</v>
          </cell>
          <cell r="H1046">
            <v>3813.2806374166676</v>
          </cell>
          <cell r="I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 t="str">
            <v>Sub-Total</v>
          </cell>
          <cell r="G1050" t="str">
            <v>4.7</v>
          </cell>
          <cell r="H1050" t="str">
            <v>MDEO-4.7</v>
          </cell>
          <cell r="I1050">
            <v>55955.861884916667</v>
          </cell>
        </row>
        <row r="1051"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2797.7930942458333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 t="str">
            <v>Total Costo Directo</v>
          </cell>
          <cell r="G1052">
            <v>0</v>
          </cell>
          <cell r="H1052">
            <v>0</v>
          </cell>
          <cell r="I1052">
            <v>487870</v>
          </cell>
        </row>
        <row r="1053"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 t="str">
            <v>REVISA</v>
          </cell>
          <cell r="G1054">
            <v>0</v>
          </cell>
          <cell r="H1054">
            <v>0</v>
          </cell>
          <cell r="I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 t="str">
            <v>FIRMA:</v>
          </cell>
          <cell r="G1055">
            <v>0</v>
          </cell>
          <cell r="H1055">
            <v>0</v>
          </cell>
          <cell r="I1055">
            <v>0</v>
          </cell>
        </row>
        <row r="1056">
          <cell r="B1056" t="str">
            <v xml:space="preserve">ING MARIA LEONOR BLU DIAS </v>
          </cell>
          <cell r="C1056">
            <v>0</v>
          </cell>
          <cell r="D1056">
            <v>0</v>
          </cell>
          <cell r="E1056">
            <v>0</v>
          </cell>
          <cell r="F1056" t="str">
            <v>NOMBRE</v>
          </cell>
          <cell r="G1056">
            <v>0</v>
          </cell>
          <cell r="H1056">
            <v>0</v>
          </cell>
          <cell r="I1056">
            <v>0</v>
          </cell>
        </row>
        <row r="1057">
          <cell r="B1057" t="str">
            <v>MP: 222202-301269 COR</v>
          </cell>
          <cell r="C1057">
            <v>0</v>
          </cell>
          <cell r="D1057">
            <v>0</v>
          </cell>
          <cell r="E1057">
            <v>0</v>
          </cell>
          <cell r="F1057" t="str">
            <v>MAT:</v>
          </cell>
          <cell r="G1057">
            <v>0</v>
          </cell>
          <cell r="H1057">
            <v>0</v>
          </cell>
          <cell r="I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</row>
      </sheetData>
      <sheetData sheetId="3">
        <row r="58">
          <cell r="H58">
            <v>8009197969.2399998</v>
          </cell>
        </row>
        <row r="59">
          <cell r="H59">
            <v>6525418567.2141533</v>
          </cell>
        </row>
      </sheetData>
      <sheetData sheetId="4">
        <row r="42">
          <cell r="H42">
            <v>2002299492.5380001</v>
          </cell>
        </row>
        <row r="46">
          <cell r="H46">
            <v>2402759391</v>
          </cell>
          <cell r="I46">
            <v>0</v>
          </cell>
          <cell r="J46">
            <v>0</v>
          </cell>
        </row>
      </sheetData>
      <sheetData sheetId="5">
        <row r="32">
          <cell r="J32">
            <v>783050228</v>
          </cell>
        </row>
      </sheetData>
      <sheetData sheetId="6"/>
      <sheetData sheetId="7">
        <row r="85">
          <cell r="J85">
            <v>175325533.52870834</v>
          </cell>
        </row>
      </sheetData>
      <sheetData sheetId="8">
        <row r="30">
          <cell r="J30">
            <v>200070176.7744067</v>
          </cell>
        </row>
      </sheetData>
      <sheetData sheetId="9"/>
      <sheetData sheetId="10">
        <row r="10">
          <cell r="B10">
            <v>0</v>
          </cell>
        </row>
      </sheetData>
      <sheetData sheetId="11">
        <row r="34">
          <cell r="J34">
            <v>0</v>
          </cell>
        </row>
      </sheetData>
      <sheetData sheetId="12"/>
      <sheetData sheetId="13">
        <row r="16">
          <cell r="A16" t="str">
            <v>ITEM</v>
          </cell>
        </row>
        <row r="51">
          <cell r="H51">
            <v>13395789343.91</v>
          </cell>
        </row>
        <row r="52">
          <cell r="H52">
            <v>267915786.87819999</v>
          </cell>
        </row>
      </sheetData>
      <sheetData sheetId="14">
        <row r="10">
          <cell r="C10" t="str">
            <v>NOM_MUN</v>
          </cell>
        </row>
        <row r="11">
          <cell r="C11" t="str">
            <v>LOC_PRO</v>
          </cell>
        </row>
        <row r="12">
          <cell r="C12" t="str">
            <v>NOM_PRO</v>
          </cell>
        </row>
        <row r="13">
          <cell r="C13" t="str">
            <v>NORM</v>
          </cell>
        </row>
        <row r="16">
          <cell r="B16" t="str">
            <v>1.1</v>
          </cell>
          <cell r="C16" t="str">
            <v>DESCRIPCION:</v>
          </cell>
          <cell r="D16" t="str">
            <v>LOCALIZACIÓN Y REPLANTEO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PAR_01</v>
          </cell>
          <cell r="C17">
            <v>0</v>
          </cell>
          <cell r="D17" t="str">
            <v>UNIDAD</v>
          </cell>
          <cell r="E17" t="str">
            <v>ML</v>
          </cell>
          <cell r="F17" t="str">
            <v>CANTIDAD</v>
          </cell>
          <cell r="G17">
            <v>9956</v>
          </cell>
          <cell r="H17" t="str">
            <v>V. UNITARIO:</v>
          </cell>
          <cell r="I17">
            <v>1067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>Tarifa/Hora</v>
          </cell>
          <cell r="G19" t="str">
            <v>Rendimiento</v>
          </cell>
          <cell r="H19" t="str">
            <v>Valor-Unit.</v>
          </cell>
          <cell r="I19">
            <v>0</v>
          </cell>
        </row>
        <row r="20">
          <cell r="B20" t="str">
            <v>E001</v>
          </cell>
          <cell r="C20" t="str">
            <v xml:space="preserve">ESTACION TOTAL LOCALIZACION </v>
          </cell>
          <cell r="D20">
            <v>0</v>
          </cell>
          <cell r="E20">
            <v>0</v>
          </cell>
          <cell r="F20">
            <v>80000</v>
          </cell>
          <cell r="G20">
            <v>8.3798882681564244E-3</v>
          </cell>
          <cell r="H20">
            <v>670.39106145251401</v>
          </cell>
          <cell r="I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>Sub-Total</v>
          </cell>
          <cell r="G21" t="str">
            <v>1.1</v>
          </cell>
          <cell r="H21" t="str">
            <v>EQUI-1.1</v>
          </cell>
          <cell r="I21">
            <v>670.39106145251401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 t="str">
            <v>UNIDAD</v>
          </cell>
          <cell r="F23" t="str">
            <v>V.UNIT</v>
          </cell>
          <cell r="G23" t="str">
            <v>CANT</v>
          </cell>
          <cell r="H23" t="str">
            <v>V.TOTAL</v>
          </cell>
          <cell r="I23">
            <v>0</v>
          </cell>
        </row>
        <row r="24">
          <cell r="B24" t="str">
            <v>M001</v>
          </cell>
          <cell r="C24" t="str">
            <v>1/4 DE PINTURA</v>
          </cell>
          <cell r="D24">
            <v>0</v>
          </cell>
          <cell r="E24" t="str">
            <v>GL</v>
          </cell>
          <cell r="F24">
            <v>12500</v>
          </cell>
          <cell r="G24">
            <v>8.0000000000000002E-3</v>
          </cell>
          <cell r="H24">
            <v>100</v>
          </cell>
          <cell r="I24">
            <v>0</v>
          </cell>
        </row>
        <row r="25">
          <cell r="B25" t="str">
            <v>M008</v>
          </cell>
          <cell r="C25" t="str">
            <v>CLAVO COMUN 2</v>
          </cell>
          <cell r="D25">
            <v>0</v>
          </cell>
          <cell r="E25" t="str">
            <v>LB</v>
          </cell>
          <cell r="F25">
            <v>2300</v>
          </cell>
          <cell r="G25">
            <v>0.01</v>
          </cell>
          <cell r="H25">
            <v>23</v>
          </cell>
          <cell r="I25">
            <v>0</v>
          </cell>
        </row>
        <row r="26">
          <cell r="B26" t="str">
            <v>M019</v>
          </cell>
          <cell r="C26" t="str">
            <v>LISTON 2*2 MADERA TIPO CHOIVA</v>
          </cell>
          <cell r="D26">
            <v>0</v>
          </cell>
          <cell r="E26" t="str">
            <v>UNIDAD</v>
          </cell>
          <cell r="F26">
            <v>10000</v>
          </cell>
          <cell r="G26">
            <v>3.0000000000000001E-3</v>
          </cell>
          <cell r="H26">
            <v>30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>Sub-Total</v>
          </cell>
          <cell r="G28" t="str">
            <v>1.1</v>
          </cell>
          <cell r="H28" t="str">
            <v>MAT-1.1</v>
          </cell>
          <cell r="I28">
            <v>153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>
            <v>0</v>
          </cell>
          <cell r="C30">
            <v>0</v>
          </cell>
          <cell r="D30" t="str">
            <v xml:space="preserve">CAN </v>
          </cell>
          <cell r="E30" t="str">
            <v>DISTANCIA</v>
          </cell>
          <cell r="F30" t="str">
            <v>M3-Km / UN-KM</v>
          </cell>
          <cell r="G30" t="str">
            <v>TARIFA</v>
          </cell>
          <cell r="H30" t="str">
            <v>Valor-Unit.</v>
          </cell>
          <cell r="I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>Sub-Total</v>
          </cell>
          <cell r="G32" t="str">
            <v>1.1</v>
          </cell>
          <cell r="H32" t="str">
            <v>TRAN-1.1</v>
          </cell>
          <cell r="I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0</v>
          </cell>
          <cell r="C34">
            <v>0</v>
          </cell>
          <cell r="D34" t="str">
            <v>JORNAL-HORA</v>
          </cell>
          <cell r="E34" t="str">
            <v>PRES</v>
          </cell>
          <cell r="F34" t="str">
            <v>Jornal Total</v>
          </cell>
          <cell r="G34" t="str">
            <v>Rendimiento</v>
          </cell>
          <cell r="H34" t="str">
            <v>Valor-Unit.</v>
          </cell>
          <cell r="I34">
            <v>0</v>
          </cell>
        </row>
        <row r="35">
          <cell r="B35" t="str">
            <v>MO001</v>
          </cell>
          <cell r="C35" t="str">
            <v>TOPOGRAFO</v>
          </cell>
          <cell r="D35">
            <v>6250</v>
          </cell>
          <cell r="E35">
            <v>0</v>
          </cell>
          <cell r="F35">
            <v>6250</v>
          </cell>
          <cell r="G35">
            <v>2.5000000000000001E-2</v>
          </cell>
          <cell r="H35">
            <v>156.25</v>
          </cell>
          <cell r="I35">
            <v>0</v>
          </cell>
        </row>
        <row r="36">
          <cell r="B36" t="str">
            <v>MO002</v>
          </cell>
          <cell r="C36" t="str">
            <v>CADENERO 1</v>
          </cell>
          <cell r="D36">
            <v>5208.333333333333</v>
          </cell>
          <cell r="E36">
            <v>0</v>
          </cell>
          <cell r="F36">
            <v>5208.333333333333</v>
          </cell>
          <cell r="G36">
            <v>8.3798882681564244E-3</v>
          </cell>
          <cell r="H36">
            <v>43.645251396648042</v>
          </cell>
          <cell r="I36">
            <v>0</v>
          </cell>
        </row>
        <row r="37">
          <cell r="B37" t="str">
            <v>MO003</v>
          </cell>
          <cell r="C37" t="str">
            <v>CADENERO 2</v>
          </cell>
          <cell r="D37">
            <v>3785.5250000000001</v>
          </cell>
          <cell r="E37">
            <v>0</v>
          </cell>
          <cell r="F37">
            <v>3785.5250000000001</v>
          </cell>
          <cell r="G37">
            <v>8.3798882681564244E-3</v>
          </cell>
          <cell r="H37">
            <v>31.722276536312851</v>
          </cell>
          <cell r="I37">
            <v>0</v>
          </cell>
        </row>
        <row r="38">
          <cell r="B38" t="str">
            <v>MO007</v>
          </cell>
          <cell r="C38" t="str">
            <v>CONTRAMAESTRO</v>
          </cell>
          <cell r="D38">
            <v>5208.333333333333</v>
          </cell>
          <cell r="E38">
            <v>0</v>
          </cell>
          <cell r="F38">
            <v>5208.333333333333</v>
          </cell>
          <cell r="G38">
            <v>2.5000000000000005E-3</v>
          </cell>
          <cell r="H38">
            <v>13.020833333333336</v>
          </cell>
          <cell r="I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 t="str">
            <v>Sub-Total</v>
          </cell>
          <cell r="G39" t="str">
            <v>1.1</v>
          </cell>
          <cell r="H39" t="str">
            <v>MDEO-1.1</v>
          </cell>
          <cell r="I39">
            <v>231.61752793296088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11.580876396648044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>Total Costo Directo</v>
          </cell>
          <cell r="G41">
            <v>0</v>
          </cell>
          <cell r="H41">
            <v>0</v>
          </cell>
          <cell r="I41">
            <v>1067</v>
          </cell>
        </row>
        <row r="42">
          <cell r="B42">
            <v>0</v>
          </cell>
          <cell r="C42">
            <v>0</v>
          </cell>
          <cell r="D42">
            <v>0</v>
          </cell>
          <cell r="E42" t="str">
            <v>PORCENTAJE</v>
          </cell>
          <cell r="F42">
            <v>0</v>
          </cell>
          <cell r="G42" t="str">
            <v>V. COSTO INDERECTO</v>
          </cell>
          <cell r="H42">
            <v>0</v>
          </cell>
          <cell r="I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0.02</v>
          </cell>
          <cell r="F43">
            <v>0</v>
          </cell>
          <cell r="G43">
            <v>21.34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0.23</v>
          </cell>
          <cell r="F44">
            <v>0</v>
          </cell>
          <cell r="G44">
            <v>245.41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0.05</v>
          </cell>
          <cell r="F45">
            <v>0</v>
          </cell>
          <cell r="G45">
            <v>53.35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0.02</v>
          </cell>
          <cell r="F46">
            <v>0</v>
          </cell>
          <cell r="G46">
            <v>21.34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341.44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1408.44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>REVISA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>FIRMA:</v>
          </cell>
          <cell r="G51">
            <v>0</v>
          </cell>
          <cell r="H51">
            <v>0</v>
          </cell>
          <cell r="I51">
            <v>0</v>
          </cell>
        </row>
        <row r="52">
          <cell r="B52" t="str">
            <v>LINA MARCELA</v>
          </cell>
          <cell r="C52">
            <v>0</v>
          </cell>
          <cell r="F52" t="str">
            <v>NOMBRE</v>
          </cell>
          <cell r="G52">
            <v>0</v>
          </cell>
          <cell r="H52">
            <v>0</v>
          </cell>
          <cell r="I52">
            <v>0</v>
          </cell>
        </row>
        <row r="53">
          <cell r="B53" t="str">
            <v>05202-316814 ANT</v>
          </cell>
          <cell r="C53">
            <v>0</v>
          </cell>
          <cell r="F53" t="str">
            <v>MAT: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 t="str">
            <v>1.2</v>
          </cell>
          <cell r="C58" t="str">
            <v>DESCRIPCION:</v>
          </cell>
          <cell r="D58" t="str">
            <v>DEMOLICIÓN , ANDENES, BORDILLOS DE CONCRETO CONCRETOS EXISTENTES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B59" t="str">
            <v>201.3-13</v>
          </cell>
          <cell r="C59">
            <v>0</v>
          </cell>
          <cell r="D59" t="str">
            <v>UNIDAD</v>
          </cell>
          <cell r="E59" t="str">
            <v>M2</v>
          </cell>
          <cell r="F59" t="str">
            <v>CANTIDAD</v>
          </cell>
          <cell r="G59">
            <v>4794</v>
          </cell>
          <cell r="H59" t="str">
            <v>V. UNITARIO:</v>
          </cell>
          <cell r="I59">
            <v>18995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>Tarifa/Hora</v>
          </cell>
          <cell r="G61" t="str">
            <v>Rendimiento</v>
          </cell>
          <cell r="H61" t="str">
            <v>Valor-Unit.</v>
          </cell>
          <cell r="I61">
            <v>0</v>
          </cell>
        </row>
        <row r="62">
          <cell r="B62" t="str">
            <v>E024</v>
          </cell>
          <cell r="C62" t="str">
            <v>MINICARDOR</v>
          </cell>
          <cell r="D62">
            <v>0</v>
          </cell>
          <cell r="E62">
            <v>0</v>
          </cell>
          <cell r="F62">
            <v>80000</v>
          </cell>
          <cell r="G62">
            <v>0.16</v>
          </cell>
          <cell r="H62">
            <v>12800</v>
          </cell>
          <cell r="I62">
            <v>0</v>
          </cell>
        </row>
        <row r="63">
          <cell r="B63" t="str">
            <v>E009</v>
          </cell>
          <cell r="C63" t="str">
            <v>MARITLLO DEMLEDOR MINICARGADOR</v>
          </cell>
          <cell r="D63">
            <v>0</v>
          </cell>
          <cell r="E63">
            <v>0</v>
          </cell>
          <cell r="F63">
            <v>20000</v>
          </cell>
          <cell r="G63">
            <v>0.16</v>
          </cell>
          <cell r="H63">
            <v>3200</v>
          </cell>
          <cell r="I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>Sub-Total</v>
          </cell>
          <cell r="G64" t="str">
            <v>1.2</v>
          </cell>
          <cell r="H64" t="str">
            <v>EQUI-1.2</v>
          </cell>
          <cell r="I64">
            <v>16000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 t="str">
            <v>UNIDAD</v>
          </cell>
          <cell r="F66" t="str">
            <v>V.UNIT</v>
          </cell>
          <cell r="G66" t="str">
            <v>CANT</v>
          </cell>
          <cell r="H66" t="str">
            <v>V.TOTAL</v>
          </cell>
          <cell r="I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>Sub-Total</v>
          </cell>
          <cell r="G68" t="str">
            <v>1.2</v>
          </cell>
          <cell r="H68" t="str">
            <v>MAT-1.2</v>
          </cell>
          <cell r="I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B70">
            <v>0</v>
          </cell>
          <cell r="C70">
            <v>0</v>
          </cell>
          <cell r="D70" t="str">
            <v xml:space="preserve">CAN </v>
          </cell>
          <cell r="E70" t="str">
            <v>DISTANCIA</v>
          </cell>
          <cell r="F70" t="str">
            <v>M3-Km / UN-KM</v>
          </cell>
          <cell r="G70" t="str">
            <v>TARIFA</v>
          </cell>
          <cell r="H70" t="str">
            <v>Valor-Unit.</v>
          </cell>
          <cell r="I70">
            <v>0</v>
          </cell>
        </row>
        <row r="71">
          <cell r="B71" t="str">
            <v>T004</v>
          </cell>
          <cell r="C71" t="str">
            <v>TRANS MAT SOBRANTE 0-5KM</v>
          </cell>
          <cell r="D71">
            <v>0.1</v>
          </cell>
          <cell r="E71">
            <v>5</v>
          </cell>
          <cell r="F71">
            <v>0.5</v>
          </cell>
          <cell r="G71">
            <v>2000</v>
          </cell>
          <cell r="H71">
            <v>1000</v>
          </cell>
          <cell r="I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 t="str">
            <v>Sub-Total</v>
          </cell>
          <cell r="G72" t="str">
            <v>1.2</v>
          </cell>
          <cell r="H72" t="str">
            <v>TRAN-1.2</v>
          </cell>
          <cell r="I72">
            <v>1000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>
            <v>0</v>
          </cell>
          <cell r="C74">
            <v>0</v>
          </cell>
          <cell r="D74" t="str">
            <v>JORNAL-HORA</v>
          </cell>
          <cell r="E74" t="str">
            <v>PRES</v>
          </cell>
          <cell r="F74" t="str">
            <v>Jornal Total</v>
          </cell>
          <cell r="G74" t="str">
            <v>Rendimiento</v>
          </cell>
          <cell r="H74" t="str">
            <v>Valor-Unit.</v>
          </cell>
          <cell r="I74">
            <v>0</v>
          </cell>
        </row>
        <row r="75">
          <cell r="B75" t="str">
            <v>MO004</v>
          </cell>
          <cell r="C75" t="str">
            <v>OFICIAL ENTUBADOR</v>
          </cell>
          <cell r="D75">
            <v>3785.5250000000001</v>
          </cell>
          <cell r="E75">
            <v>0</v>
          </cell>
          <cell r="F75">
            <v>3785.5250000000001</v>
          </cell>
          <cell r="G75">
            <v>0.16</v>
          </cell>
          <cell r="H75">
            <v>605.68400000000008</v>
          </cell>
          <cell r="I75">
            <v>0</v>
          </cell>
        </row>
        <row r="76">
          <cell r="B76" t="str">
            <v>MO005</v>
          </cell>
          <cell r="C76" t="str">
            <v>AYUDANTE ENTENDIDO PAV</v>
          </cell>
          <cell r="D76">
            <v>3785.5250000000001</v>
          </cell>
          <cell r="E76">
            <v>0</v>
          </cell>
          <cell r="F76">
            <v>3785.5250000000001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MO006</v>
          </cell>
          <cell r="C77" t="str">
            <v>AYUDANTE ENTUBADOR</v>
          </cell>
          <cell r="D77">
            <v>3785.5250000000001</v>
          </cell>
          <cell r="E77">
            <v>0</v>
          </cell>
          <cell r="F77">
            <v>3785.5250000000001</v>
          </cell>
          <cell r="G77">
            <v>0.32</v>
          </cell>
          <cell r="H77">
            <v>1211.3680000000002</v>
          </cell>
          <cell r="I77">
            <v>0</v>
          </cell>
        </row>
        <row r="78">
          <cell r="B78" t="str">
            <v>MO007</v>
          </cell>
          <cell r="C78" t="str">
            <v>CONTRAMAESTRO</v>
          </cell>
          <cell r="D78">
            <v>5208.333333333333</v>
          </cell>
          <cell r="E78">
            <v>0</v>
          </cell>
          <cell r="F78">
            <v>5208.333333333333</v>
          </cell>
          <cell r="G78">
            <v>1.6E-2</v>
          </cell>
          <cell r="H78">
            <v>83.333333333333329</v>
          </cell>
          <cell r="I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 t="str">
            <v>Sub-Total</v>
          </cell>
          <cell r="G79" t="str">
            <v>1.2</v>
          </cell>
          <cell r="H79" t="str">
            <v>MDEO-1.2</v>
          </cell>
          <cell r="I79">
            <v>1900.3853333333334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95.019266666666681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 t="str">
            <v>Total Costo Directo</v>
          </cell>
          <cell r="G81">
            <v>0</v>
          </cell>
          <cell r="H81">
            <v>0</v>
          </cell>
          <cell r="I81">
            <v>18995</v>
          </cell>
        </row>
        <row r="82">
          <cell r="B82">
            <v>0</v>
          </cell>
          <cell r="C82">
            <v>0</v>
          </cell>
          <cell r="D82">
            <v>0</v>
          </cell>
          <cell r="E82" t="str">
            <v>PORCENTAJE</v>
          </cell>
          <cell r="F82">
            <v>0</v>
          </cell>
          <cell r="G82" t="str">
            <v>V. COSTO INDERECTO</v>
          </cell>
          <cell r="H82">
            <v>0</v>
          </cell>
          <cell r="I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0.02</v>
          </cell>
          <cell r="F83">
            <v>0</v>
          </cell>
          <cell r="G83">
            <v>379.90000000000003</v>
          </cell>
          <cell r="H83">
            <v>0</v>
          </cell>
          <cell r="I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0.23</v>
          </cell>
          <cell r="F84">
            <v>0</v>
          </cell>
          <cell r="G84">
            <v>4368.8500000000004</v>
          </cell>
          <cell r="H84">
            <v>0</v>
          </cell>
          <cell r="I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0.05</v>
          </cell>
          <cell r="F85">
            <v>0</v>
          </cell>
          <cell r="G85">
            <v>949.75</v>
          </cell>
          <cell r="H85">
            <v>0</v>
          </cell>
          <cell r="I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0.02</v>
          </cell>
          <cell r="F86">
            <v>0</v>
          </cell>
          <cell r="G86">
            <v>379.90000000000003</v>
          </cell>
          <cell r="H86">
            <v>0</v>
          </cell>
          <cell r="I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6078.4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25073.4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>REVISA</v>
          </cell>
          <cell r="G90">
            <v>0</v>
          </cell>
          <cell r="H90">
            <v>0</v>
          </cell>
          <cell r="I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>FIRMA:</v>
          </cell>
          <cell r="G91">
            <v>0</v>
          </cell>
          <cell r="H91">
            <v>0</v>
          </cell>
          <cell r="I91">
            <v>0</v>
          </cell>
        </row>
        <row r="92">
          <cell r="B92" t="str">
            <v>LINA MARCELA</v>
          </cell>
          <cell r="C92">
            <v>0</v>
          </cell>
          <cell r="F92" t="str">
            <v>NOMBRE</v>
          </cell>
          <cell r="G92">
            <v>0</v>
          </cell>
          <cell r="H92">
            <v>0</v>
          </cell>
          <cell r="I92">
            <v>0</v>
          </cell>
        </row>
        <row r="93">
          <cell r="B93" t="str">
            <v>05202-316814 ANT</v>
          </cell>
          <cell r="C93">
            <v>0</v>
          </cell>
          <cell r="F93" t="str">
            <v>MAT:</v>
          </cell>
          <cell r="G93">
            <v>0</v>
          </cell>
          <cell r="H93">
            <v>0</v>
          </cell>
          <cell r="I93">
            <v>0</v>
          </cell>
        </row>
        <row r="94">
          <cell r="B94">
            <v>0</v>
          </cell>
          <cell r="C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B99" t="str">
            <v>2.1</v>
          </cell>
          <cell r="C99" t="str">
            <v>DESCRIPCION:</v>
          </cell>
          <cell r="D99" t="str">
            <v xml:space="preserve">EXCAVACIONES VARIAS EN MATERIAL COMUN 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B100" t="str">
            <v>600.2.3-13</v>
          </cell>
          <cell r="C100">
            <v>0</v>
          </cell>
          <cell r="D100" t="str">
            <v>UNIDAD</v>
          </cell>
          <cell r="E100" t="str">
            <v>M3</v>
          </cell>
          <cell r="F100" t="str">
            <v>CANTIDAD</v>
          </cell>
          <cell r="G100">
            <v>5114</v>
          </cell>
          <cell r="H100" t="str">
            <v>V. UNITARIO:</v>
          </cell>
          <cell r="I100">
            <v>24461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>Tarifa/Hora</v>
          </cell>
          <cell r="G102" t="str">
            <v>Rendimiento</v>
          </cell>
          <cell r="H102" t="str">
            <v>Valor-Unit.</v>
          </cell>
          <cell r="I102">
            <v>0</v>
          </cell>
        </row>
        <row r="103">
          <cell r="B103" t="str">
            <v>E003</v>
          </cell>
          <cell r="C103" t="str">
            <v>RETROCARGADOR</v>
          </cell>
          <cell r="D103">
            <v>0</v>
          </cell>
          <cell r="E103">
            <v>0</v>
          </cell>
          <cell r="F103">
            <v>120000</v>
          </cell>
          <cell r="G103">
            <v>0.18</v>
          </cell>
          <cell r="H103">
            <v>21600</v>
          </cell>
          <cell r="I103">
            <v>0</v>
          </cell>
        </row>
        <row r="104">
          <cell r="B104" t="str">
            <v>E031</v>
          </cell>
          <cell r="C104" t="str">
            <v>MOTOBOMBA</v>
          </cell>
          <cell r="D104">
            <v>0</v>
          </cell>
          <cell r="E104">
            <v>0</v>
          </cell>
          <cell r="F104">
            <v>7400</v>
          </cell>
          <cell r="G104">
            <v>0.18</v>
          </cell>
          <cell r="H104">
            <v>1332</v>
          </cell>
          <cell r="I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 t="str">
            <v>Sub-Total</v>
          </cell>
          <cell r="G105" t="str">
            <v>2.1</v>
          </cell>
          <cell r="H105" t="str">
            <v>EQUI-2.1</v>
          </cell>
          <cell r="I105">
            <v>22932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 t="str">
            <v>UNIDAD</v>
          </cell>
          <cell r="F107" t="str">
            <v>V.UNIT</v>
          </cell>
          <cell r="G107" t="str">
            <v>CANT</v>
          </cell>
          <cell r="H107" t="str">
            <v>V.TOTAL</v>
          </cell>
          <cell r="I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Sub-Total</v>
          </cell>
          <cell r="G109" t="str">
            <v>2.1</v>
          </cell>
          <cell r="H109" t="str">
            <v>MAT-2.1</v>
          </cell>
          <cell r="I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B111">
            <v>0</v>
          </cell>
          <cell r="C111">
            <v>0</v>
          </cell>
          <cell r="D111" t="str">
            <v xml:space="preserve">CAN </v>
          </cell>
          <cell r="E111" t="str">
            <v>DISTANCIA</v>
          </cell>
          <cell r="F111" t="str">
            <v>M3-Km / UN-KM</v>
          </cell>
          <cell r="G111" t="str">
            <v>TARIFA</v>
          </cell>
          <cell r="H111" t="str">
            <v>Valor-Unit.</v>
          </cell>
          <cell r="I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Sub-Total</v>
          </cell>
          <cell r="G113" t="str">
            <v>2.1</v>
          </cell>
          <cell r="H113" t="str">
            <v>TRAN-2.1</v>
          </cell>
          <cell r="I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B115">
            <v>0</v>
          </cell>
          <cell r="C115">
            <v>0</v>
          </cell>
          <cell r="D115" t="str">
            <v>JORNAL-HORA</v>
          </cell>
          <cell r="E115" t="str">
            <v>PRES</v>
          </cell>
          <cell r="F115" t="str">
            <v>Jornal Total</v>
          </cell>
          <cell r="G115" t="str">
            <v>Rendimiento</v>
          </cell>
          <cell r="H115" t="str">
            <v>Valor-Unit.</v>
          </cell>
          <cell r="I115">
            <v>0</v>
          </cell>
        </row>
        <row r="116">
          <cell r="B116" t="str">
            <v>MO004</v>
          </cell>
          <cell r="C116" t="str">
            <v>OFICIAL ENTUBADOR</v>
          </cell>
          <cell r="D116">
            <v>3785.5250000000001</v>
          </cell>
          <cell r="E116">
            <v>0</v>
          </cell>
          <cell r="F116">
            <v>3785.5250000000001</v>
          </cell>
          <cell r="G116">
            <v>0.18</v>
          </cell>
          <cell r="H116">
            <v>681.39449999999999</v>
          </cell>
          <cell r="I116">
            <v>0</v>
          </cell>
        </row>
        <row r="117">
          <cell r="B117" t="str">
            <v>MO005</v>
          </cell>
          <cell r="C117" t="str">
            <v>AYUDANTE ENTENDIDO PAV</v>
          </cell>
          <cell r="D117">
            <v>3785.5250000000001</v>
          </cell>
          <cell r="E117">
            <v>0</v>
          </cell>
          <cell r="F117">
            <v>3785.5250000000001</v>
          </cell>
          <cell r="G117">
            <v>0</v>
          </cell>
          <cell r="H117">
            <v>0</v>
          </cell>
          <cell r="I117">
            <v>0</v>
          </cell>
        </row>
        <row r="118">
          <cell r="B118" t="str">
            <v>MO006</v>
          </cell>
          <cell r="C118" t="str">
            <v>AYUDANTE ENTUBADOR</v>
          </cell>
          <cell r="D118">
            <v>3785.5250000000001</v>
          </cell>
          <cell r="E118">
            <v>0</v>
          </cell>
          <cell r="F118">
            <v>3785.5250000000001</v>
          </cell>
          <cell r="G118">
            <v>0.18</v>
          </cell>
          <cell r="H118">
            <v>681.39449999999999</v>
          </cell>
          <cell r="I118">
            <v>0</v>
          </cell>
        </row>
        <row r="119">
          <cell r="B119" t="str">
            <v>MO007</v>
          </cell>
          <cell r="C119" t="str">
            <v>CONTRAMAESTRO</v>
          </cell>
          <cell r="D119">
            <v>5208.333333333333</v>
          </cell>
          <cell r="E119">
            <v>0</v>
          </cell>
          <cell r="F119">
            <v>5208.333333333333</v>
          </cell>
          <cell r="G119">
            <v>1.7999999999999999E-2</v>
          </cell>
          <cell r="H119">
            <v>93.749999999999986</v>
          </cell>
          <cell r="I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Sub-Total</v>
          </cell>
          <cell r="G121" t="str">
            <v>2.1</v>
          </cell>
          <cell r="H121" t="str">
            <v>MDEO-2.1</v>
          </cell>
          <cell r="I121">
            <v>1456.539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72.826949999999997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Total Costo Directo</v>
          </cell>
          <cell r="G123">
            <v>0</v>
          </cell>
          <cell r="H123">
            <v>0</v>
          </cell>
          <cell r="I123">
            <v>24461</v>
          </cell>
        </row>
        <row r="124">
          <cell r="B124">
            <v>0</v>
          </cell>
          <cell r="C124">
            <v>0</v>
          </cell>
          <cell r="D124">
            <v>0</v>
          </cell>
          <cell r="E124" t="str">
            <v>PORCENTAJE</v>
          </cell>
          <cell r="F124">
            <v>0</v>
          </cell>
          <cell r="G124" t="str">
            <v>V. COSTO INDERECTO</v>
          </cell>
          <cell r="H124">
            <v>0</v>
          </cell>
          <cell r="I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0.02</v>
          </cell>
          <cell r="F125">
            <v>0</v>
          </cell>
          <cell r="G125">
            <v>489.22</v>
          </cell>
          <cell r="H125">
            <v>0</v>
          </cell>
          <cell r="I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0.23</v>
          </cell>
          <cell r="F126">
            <v>0</v>
          </cell>
          <cell r="G126">
            <v>5626.0300000000007</v>
          </cell>
          <cell r="H126">
            <v>0</v>
          </cell>
          <cell r="I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0.05</v>
          </cell>
          <cell r="F127">
            <v>0</v>
          </cell>
          <cell r="G127">
            <v>1223.05</v>
          </cell>
          <cell r="H127">
            <v>0</v>
          </cell>
          <cell r="I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0.02</v>
          </cell>
          <cell r="F128">
            <v>0</v>
          </cell>
          <cell r="G128">
            <v>489.22</v>
          </cell>
          <cell r="H128">
            <v>0</v>
          </cell>
          <cell r="I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7827.5200000000013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32288.52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 t="str">
            <v>REVISA</v>
          </cell>
          <cell r="G132">
            <v>0</v>
          </cell>
          <cell r="H132">
            <v>0</v>
          </cell>
          <cell r="I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 t="str">
            <v>FIRMA:</v>
          </cell>
          <cell r="G133">
            <v>0</v>
          </cell>
          <cell r="H133">
            <v>0</v>
          </cell>
          <cell r="I133">
            <v>0</v>
          </cell>
        </row>
        <row r="134">
          <cell r="B134" t="str">
            <v>LINA MARCELA</v>
          </cell>
          <cell r="C134">
            <v>0</v>
          </cell>
          <cell r="F134" t="str">
            <v>NOMBRE</v>
          </cell>
          <cell r="G134">
            <v>0</v>
          </cell>
          <cell r="H134">
            <v>0</v>
          </cell>
          <cell r="I134">
            <v>0</v>
          </cell>
        </row>
        <row r="135">
          <cell r="B135" t="str">
            <v>05202-316814 ANT</v>
          </cell>
          <cell r="C135">
            <v>0</v>
          </cell>
          <cell r="F135" t="str">
            <v>MAT:</v>
          </cell>
          <cell r="G135">
            <v>0</v>
          </cell>
          <cell r="H135">
            <v>0</v>
          </cell>
          <cell r="I135">
            <v>0</v>
          </cell>
        </row>
        <row r="136">
          <cell r="B136">
            <v>0</v>
          </cell>
          <cell r="C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I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2.2</v>
          </cell>
          <cell r="C142" t="str">
            <v>DESCRIPCION:</v>
          </cell>
          <cell r="D142" t="str">
            <v>TRANSPORTE DE MATERIAL PROVENIENTE DE EXCAVACION HASTA 10 KM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B143" t="str">
            <v>900.2-13</v>
          </cell>
          <cell r="C143">
            <v>0</v>
          </cell>
          <cell r="D143" t="str">
            <v>UNIDAD</v>
          </cell>
          <cell r="E143" t="str">
            <v>m3</v>
          </cell>
          <cell r="F143" t="str">
            <v>CANTIDAD</v>
          </cell>
          <cell r="G143">
            <v>9434</v>
          </cell>
          <cell r="H143" t="str">
            <v>V. UNITARIO:</v>
          </cell>
          <cell r="I143">
            <v>13068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 t="str">
            <v>Tarifa/Hora</v>
          </cell>
          <cell r="G145" t="str">
            <v>Rendimiento</v>
          </cell>
          <cell r="H145" t="str">
            <v>Valor-Unit.</v>
          </cell>
          <cell r="I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 t="str">
            <v>Sub-Total</v>
          </cell>
          <cell r="G147" t="str">
            <v>2.2</v>
          </cell>
          <cell r="H147" t="str">
            <v>EQUI-2.2</v>
          </cell>
          <cell r="I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 t="str">
            <v>UNIDAD</v>
          </cell>
          <cell r="F149" t="str">
            <v>V.UNIT</v>
          </cell>
          <cell r="G149" t="str">
            <v>CANT</v>
          </cell>
          <cell r="H149" t="str">
            <v>V.TOTAL</v>
          </cell>
          <cell r="I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 t="str">
            <v>Sub-Total</v>
          </cell>
          <cell r="G151" t="str">
            <v>2.2</v>
          </cell>
          <cell r="H151" t="str">
            <v>MAT-2.2</v>
          </cell>
          <cell r="I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0</v>
          </cell>
          <cell r="C153">
            <v>0</v>
          </cell>
          <cell r="D153" t="str">
            <v xml:space="preserve">CAN </v>
          </cell>
          <cell r="E153" t="str">
            <v>DISTANCIA</v>
          </cell>
          <cell r="F153" t="str">
            <v>M3-Km / UN-KM</v>
          </cell>
          <cell r="G153" t="str">
            <v>TARIFA</v>
          </cell>
          <cell r="H153" t="str">
            <v>Valor-Unit.</v>
          </cell>
          <cell r="I153">
            <v>0</v>
          </cell>
        </row>
        <row r="154">
          <cell r="B154" t="str">
            <v>T004</v>
          </cell>
          <cell r="C154" t="str">
            <v>TRANS MAT SOBRANTE 0-5KM</v>
          </cell>
          <cell r="D154">
            <v>1.3</v>
          </cell>
          <cell r="E154">
            <v>5</v>
          </cell>
          <cell r="F154">
            <v>6.5</v>
          </cell>
          <cell r="G154">
            <v>2000</v>
          </cell>
          <cell r="H154">
            <v>13000</v>
          </cell>
          <cell r="I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 t="str">
            <v>Sub-Total</v>
          </cell>
          <cell r="G155" t="str">
            <v>2.2</v>
          </cell>
          <cell r="H155" t="str">
            <v>TRAN-2.2</v>
          </cell>
          <cell r="I155">
            <v>13000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B157">
            <v>0</v>
          </cell>
          <cell r="C157">
            <v>0</v>
          </cell>
          <cell r="D157" t="str">
            <v>JORNAL-HORA</v>
          </cell>
          <cell r="E157" t="str">
            <v>PRES</v>
          </cell>
          <cell r="F157" t="str">
            <v>Jornal Total</v>
          </cell>
          <cell r="G157" t="str">
            <v>Rendimiento</v>
          </cell>
          <cell r="H157" t="str">
            <v>Valor-Unit.</v>
          </cell>
          <cell r="I157">
            <v>0</v>
          </cell>
        </row>
        <row r="158">
          <cell r="B158" t="str">
            <v>MO004</v>
          </cell>
          <cell r="C158" t="str">
            <v>OFICIAL ENTUBADOR</v>
          </cell>
          <cell r="D158">
            <v>3785.5250000000001</v>
          </cell>
          <cell r="E158">
            <v>0</v>
          </cell>
          <cell r="F158">
            <v>3785.5250000000001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MO005</v>
          </cell>
          <cell r="C159" t="str">
            <v>AYUDANTE ENTENDIDO PAV</v>
          </cell>
          <cell r="D159">
            <v>3785.5250000000001</v>
          </cell>
          <cell r="E159">
            <v>0</v>
          </cell>
          <cell r="F159">
            <v>3785.5250000000001</v>
          </cell>
          <cell r="G159">
            <v>0</v>
          </cell>
          <cell r="H159">
            <v>0</v>
          </cell>
          <cell r="I159">
            <v>0</v>
          </cell>
        </row>
        <row r="160">
          <cell r="B160" t="str">
            <v>MO006</v>
          </cell>
          <cell r="C160" t="str">
            <v>AYUDANTE ENTUBADOR</v>
          </cell>
          <cell r="D160">
            <v>3785.5250000000001</v>
          </cell>
          <cell r="E160">
            <v>0</v>
          </cell>
          <cell r="F160">
            <v>3785.5250000000001</v>
          </cell>
          <cell r="G160">
            <v>1.4999999999999999E-2</v>
          </cell>
          <cell r="H160">
            <v>56.782874999999997</v>
          </cell>
          <cell r="I160">
            <v>0</v>
          </cell>
        </row>
        <row r="161">
          <cell r="B161" t="str">
            <v>MO007</v>
          </cell>
          <cell r="C161" t="str">
            <v>CONTRAMAESTRO</v>
          </cell>
          <cell r="D161">
            <v>5208.333333333333</v>
          </cell>
          <cell r="E161">
            <v>0</v>
          </cell>
          <cell r="F161">
            <v>5208.333333333333</v>
          </cell>
          <cell r="G161">
            <v>1.5E-3</v>
          </cell>
          <cell r="H161">
            <v>7.8125</v>
          </cell>
          <cell r="I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 t="str">
            <v>Sub-Total</v>
          </cell>
          <cell r="G163" t="str">
            <v>2.2</v>
          </cell>
          <cell r="H163" t="str">
            <v>MDEO-2.2</v>
          </cell>
          <cell r="I163">
            <v>64.59537499999999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3.2297687499999999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 t="str">
            <v>Total Costo Directo</v>
          </cell>
          <cell r="G165">
            <v>0</v>
          </cell>
          <cell r="H165">
            <v>0</v>
          </cell>
          <cell r="I165">
            <v>13068</v>
          </cell>
        </row>
        <row r="166">
          <cell r="B166">
            <v>0</v>
          </cell>
          <cell r="C166">
            <v>0</v>
          </cell>
          <cell r="D166">
            <v>0</v>
          </cell>
          <cell r="E166" t="str">
            <v>PORCENTAJE</v>
          </cell>
          <cell r="F166">
            <v>0</v>
          </cell>
          <cell r="G166" t="str">
            <v>V. COSTO INDERECTO</v>
          </cell>
          <cell r="H166">
            <v>0</v>
          </cell>
          <cell r="I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0.02</v>
          </cell>
          <cell r="F167">
            <v>0</v>
          </cell>
          <cell r="G167">
            <v>261.36</v>
          </cell>
          <cell r="H167">
            <v>0</v>
          </cell>
          <cell r="I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0.23</v>
          </cell>
          <cell r="F168">
            <v>0</v>
          </cell>
          <cell r="G168">
            <v>3005.6400000000003</v>
          </cell>
          <cell r="H168">
            <v>0</v>
          </cell>
          <cell r="I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0.05</v>
          </cell>
          <cell r="F169">
            <v>0</v>
          </cell>
          <cell r="G169">
            <v>653.40000000000009</v>
          </cell>
          <cell r="H169">
            <v>0</v>
          </cell>
          <cell r="I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0.02</v>
          </cell>
          <cell r="F170">
            <v>0</v>
          </cell>
          <cell r="G170">
            <v>261.36</v>
          </cell>
          <cell r="H170">
            <v>0</v>
          </cell>
          <cell r="I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4181.76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17249.760000000002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 t="str">
            <v>REVISA</v>
          </cell>
          <cell r="G174">
            <v>0</v>
          </cell>
          <cell r="H174">
            <v>0</v>
          </cell>
          <cell r="I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 t="str">
            <v>FIRMA:</v>
          </cell>
          <cell r="G175">
            <v>0</v>
          </cell>
          <cell r="H175">
            <v>0</v>
          </cell>
          <cell r="I175">
            <v>0</v>
          </cell>
        </row>
        <row r="176">
          <cell r="B176" t="str">
            <v>LINA MARCELA</v>
          </cell>
          <cell r="C176">
            <v>0</v>
          </cell>
          <cell r="F176" t="str">
            <v>NOMBRE</v>
          </cell>
          <cell r="G176">
            <v>0</v>
          </cell>
          <cell r="H176">
            <v>0</v>
          </cell>
          <cell r="I176">
            <v>0</v>
          </cell>
        </row>
        <row r="177">
          <cell r="B177" t="str">
            <v>05202-316814 ANT</v>
          </cell>
          <cell r="C177">
            <v>0</v>
          </cell>
          <cell r="F177" t="str">
            <v>MAT:</v>
          </cell>
          <cell r="G177">
            <v>0</v>
          </cell>
          <cell r="H177">
            <v>0</v>
          </cell>
          <cell r="I177">
            <v>0</v>
          </cell>
        </row>
        <row r="178">
          <cell r="B178">
            <v>0</v>
          </cell>
          <cell r="C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 t="str">
            <v>2.3</v>
          </cell>
          <cell r="C183" t="str">
            <v>DESCRIPCION:</v>
          </cell>
          <cell r="D183" t="str">
            <v>REALCE DE VALVULA DE ACUEDUCTO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B184" t="str">
            <v>PAR_03</v>
          </cell>
          <cell r="C184">
            <v>0</v>
          </cell>
          <cell r="D184" t="str">
            <v>UNIDAD</v>
          </cell>
          <cell r="E184" t="str">
            <v>UNIDAD</v>
          </cell>
          <cell r="F184" t="str">
            <v>CANTIDAD</v>
          </cell>
          <cell r="G184">
            <v>4</v>
          </cell>
          <cell r="H184" t="str">
            <v>V. UNITARIO:</v>
          </cell>
          <cell r="I184">
            <v>113117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 t="str">
            <v>Tarifa/Hora</v>
          </cell>
          <cell r="G186" t="str">
            <v>Rendimiento</v>
          </cell>
          <cell r="H186" t="str">
            <v>Valor-Unit.</v>
          </cell>
          <cell r="I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 t="str">
            <v>Sub-Total</v>
          </cell>
          <cell r="G188" t="str">
            <v>2.3</v>
          </cell>
          <cell r="H188" t="str">
            <v>EQUI-2.3</v>
          </cell>
          <cell r="I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 t="str">
            <v>UNIDAD</v>
          </cell>
          <cell r="F190" t="str">
            <v>V.UNIT</v>
          </cell>
          <cell r="G190" t="str">
            <v>CANT</v>
          </cell>
          <cell r="H190" t="str">
            <v>V.TOTAL</v>
          </cell>
          <cell r="I190">
            <v>0</v>
          </cell>
        </row>
        <row r="191">
          <cell r="B191" t="str">
            <v>M020</v>
          </cell>
          <cell r="C191" t="str">
            <v>NIPLE 6"</v>
          </cell>
          <cell r="D191">
            <v>0</v>
          </cell>
          <cell r="E191" t="str">
            <v>Unidad</v>
          </cell>
          <cell r="F191">
            <v>100000</v>
          </cell>
          <cell r="G191">
            <v>1</v>
          </cell>
          <cell r="H191">
            <v>100000</v>
          </cell>
          <cell r="I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 t="str">
            <v>Sub-Total</v>
          </cell>
          <cell r="G192" t="str">
            <v>2.3</v>
          </cell>
          <cell r="H192" t="str">
            <v>MAT-2.3</v>
          </cell>
          <cell r="I192">
            <v>100000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B194">
            <v>0</v>
          </cell>
          <cell r="C194">
            <v>0</v>
          </cell>
          <cell r="D194" t="str">
            <v xml:space="preserve">CAN </v>
          </cell>
          <cell r="E194" t="str">
            <v>DISTANCIA</v>
          </cell>
          <cell r="F194" t="str">
            <v>M3-Km / UN-KM</v>
          </cell>
          <cell r="G194" t="str">
            <v>TARIFA</v>
          </cell>
          <cell r="H194" t="str">
            <v>Valor-Unit.</v>
          </cell>
          <cell r="I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 t="str">
            <v>Sub-Total</v>
          </cell>
          <cell r="G198" t="str">
            <v>2.3</v>
          </cell>
          <cell r="H198" t="str">
            <v>TRAN-2.3</v>
          </cell>
          <cell r="I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B200">
            <v>0</v>
          </cell>
          <cell r="C200">
            <v>0</v>
          </cell>
          <cell r="D200" t="str">
            <v>JORNAL-HORA</v>
          </cell>
          <cell r="E200" t="str">
            <v>PRES</v>
          </cell>
          <cell r="F200" t="str">
            <v>Jornal Total</v>
          </cell>
          <cell r="G200" t="str">
            <v>Rendimiento</v>
          </cell>
          <cell r="H200" t="str">
            <v>Valor-Unit.</v>
          </cell>
          <cell r="I200">
            <v>0</v>
          </cell>
        </row>
        <row r="201">
          <cell r="B201" t="str">
            <v>MO004</v>
          </cell>
          <cell r="C201" t="str">
            <v>OFICIAL ENTUBADOR</v>
          </cell>
          <cell r="D201">
            <v>3785.5250000000001</v>
          </cell>
          <cell r="E201">
            <v>0</v>
          </cell>
          <cell r="F201">
            <v>3785.5250000000001</v>
          </cell>
          <cell r="G201">
            <v>1.1000000000000001</v>
          </cell>
          <cell r="H201">
            <v>4164.0775000000003</v>
          </cell>
          <cell r="I201">
            <v>0</v>
          </cell>
        </row>
        <row r="202">
          <cell r="B202" t="str">
            <v>MO005</v>
          </cell>
          <cell r="C202" t="str">
            <v>AYUDANTE ENTENDIDO PAV</v>
          </cell>
          <cell r="D202">
            <v>3785.5250000000001</v>
          </cell>
          <cell r="E202">
            <v>0</v>
          </cell>
          <cell r="F202">
            <v>3785.5250000000001</v>
          </cell>
          <cell r="G202">
            <v>1.1000000000000001</v>
          </cell>
          <cell r="H202">
            <v>4164.0775000000003</v>
          </cell>
          <cell r="I202">
            <v>0</v>
          </cell>
        </row>
        <row r="203">
          <cell r="B203" t="str">
            <v>MO006</v>
          </cell>
          <cell r="C203" t="str">
            <v>AYUDANTE ENTUBADOR</v>
          </cell>
          <cell r="D203">
            <v>3785.5250000000001</v>
          </cell>
          <cell r="E203">
            <v>0</v>
          </cell>
          <cell r="F203">
            <v>3785.5250000000001</v>
          </cell>
          <cell r="G203">
            <v>1.1000000000000001</v>
          </cell>
          <cell r="H203">
            <v>4164.0775000000003</v>
          </cell>
          <cell r="I203">
            <v>0</v>
          </cell>
        </row>
        <row r="204">
          <cell r="B204" t="str">
            <v>MO007</v>
          </cell>
          <cell r="C204" t="str">
            <v>CONTRAMAESTRO</v>
          </cell>
          <cell r="D204">
            <v>5208.333333333333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 t="str">
            <v>Sub-Total</v>
          </cell>
          <cell r="G206" t="str">
            <v>2.3</v>
          </cell>
          <cell r="H206" t="str">
            <v>MDEO-2.3</v>
          </cell>
          <cell r="I206">
            <v>12492.232500000002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624.61162500000012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 t="str">
            <v>Total Costo Directo</v>
          </cell>
          <cell r="G208">
            <v>0</v>
          </cell>
          <cell r="H208">
            <v>0</v>
          </cell>
          <cell r="I208">
            <v>113117</v>
          </cell>
        </row>
        <row r="209">
          <cell r="B209">
            <v>0</v>
          </cell>
          <cell r="C209">
            <v>0</v>
          </cell>
          <cell r="D209">
            <v>0</v>
          </cell>
          <cell r="E209" t="str">
            <v>PORCENTAJE</v>
          </cell>
          <cell r="F209">
            <v>0</v>
          </cell>
          <cell r="G209" t="str">
            <v>V. COSTO INDERECTO</v>
          </cell>
          <cell r="H209">
            <v>0</v>
          </cell>
          <cell r="I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0.02</v>
          </cell>
          <cell r="F210">
            <v>0</v>
          </cell>
          <cell r="G210">
            <v>2262.34</v>
          </cell>
          <cell r="H210">
            <v>0</v>
          </cell>
          <cell r="I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0.23</v>
          </cell>
          <cell r="F211">
            <v>0</v>
          </cell>
          <cell r="G211">
            <v>26016.91</v>
          </cell>
          <cell r="H211">
            <v>0</v>
          </cell>
          <cell r="I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0.05</v>
          </cell>
          <cell r="F212">
            <v>0</v>
          </cell>
          <cell r="G212">
            <v>5655.85</v>
          </cell>
          <cell r="H212">
            <v>0</v>
          </cell>
          <cell r="I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0.02</v>
          </cell>
          <cell r="F213">
            <v>0</v>
          </cell>
          <cell r="G213">
            <v>2262.34</v>
          </cell>
          <cell r="H213">
            <v>0</v>
          </cell>
          <cell r="I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36197.440000000002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149314.44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 t="str">
            <v>REVISA</v>
          </cell>
          <cell r="G217">
            <v>0</v>
          </cell>
          <cell r="H217">
            <v>0</v>
          </cell>
          <cell r="I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 t="str">
            <v>FIRMA:</v>
          </cell>
          <cell r="G218">
            <v>0</v>
          </cell>
          <cell r="H218">
            <v>0</v>
          </cell>
          <cell r="I218">
            <v>0</v>
          </cell>
        </row>
        <row r="219">
          <cell r="B219" t="str">
            <v>LINA MARCELA</v>
          </cell>
          <cell r="C219">
            <v>0</v>
          </cell>
          <cell r="F219" t="str">
            <v>NOMBRE</v>
          </cell>
          <cell r="G219">
            <v>0</v>
          </cell>
          <cell r="H219">
            <v>0</v>
          </cell>
          <cell r="I219">
            <v>0</v>
          </cell>
        </row>
        <row r="220">
          <cell r="B220" t="str">
            <v>05202-316814 ANT</v>
          </cell>
          <cell r="C220">
            <v>0</v>
          </cell>
          <cell r="F220" t="str">
            <v>MAT:</v>
          </cell>
          <cell r="G220">
            <v>0</v>
          </cell>
          <cell r="H220">
            <v>0</v>
          </cell>
          <cell r="I220">
            <v>0</v>
          </cell>
        </row>
        <row r="221">
          <cell r="B221">
            <v>0</v>
          </cell>
          <cell r="C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B226" t="str">
            <v>2.4</v>
          </cell>
          <cell r="C226" t="str">
            <v>DESCRIPCION:</v>
          </cell>
          <cell r="D226" t="str">
            <v>REALCE DE CAJA INSPECCION CIRCULAR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B227" t="str">
            <v>PAR_04</v>
          </cell>
          <cell r="C227">
            <v>0</v>
          </cell>
          <cell r="D227" t="str">
            <v>UNIDAD</v>
          </cell>
          <cell r="E227" t="str">
            <v>UNIDAD</v>
          </cell>
          <cell r="F227" t="str">
            <v>CANTIDAD</v>
          </cell>
          <cell r="G227">
            <v>9</v>
          </cell>
          <cell r="H227" t="str">
            <v>V. UNITARIO:</v>
          </cell>
          <cell r="I227">
            <v>374943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 t="str">
            <v>Tarifa/Hora</v>
          </cell>
          <cell r="G229" t="str">
            <v>Rendimiento</v>
          </cell>
          <cell r="H229" t="str">
            <v>Valor-Unit.</v>
          </cell>
          <cell r="I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 t="str">
            <v>Sub-Total</v>
          </cell>
          <cell r="G231" t="str">
            <v>2.4</v>
          </cell>
          <cell r="H231" t="str">
            <v>EQUI-2.4</v>
          </cell>
          <cell r="I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 t="str">
            <v>UNIDAD</v>
          </cell>
          <cell r="F233" t="str">
            <v>V.UNIT</v>
          </cell>
          <cell r="G233" t="str">
            <v>CANT</v>
          </cell>
          <cell r="H233" t="str">
            <v>V.TOTAL</v>
          </cell>
          <cell r="I233">
            <v>0</v>
          </cell>
        </row>
        <row r="234">
          <cell r="B234" t="str">
            <v>M018</v>
          </cell>
          <cell r="C234" t="str">
            <v>HERRAJE PARA CAMARA DE INSPECCION TIPO MH</v>
          </cell>
          <cell r="D234">
            <v>0</v>
          </cell>
          <cell r="E234" t="str">
            <v>Unidad</v>
          </cell>
          <cell r="F234">
            <v>350000</v>
          </cell>
          <cell r="G234">
            <v>1</v>
          </cell>
          <cell r="H234">
            <v>350000</v>
          </cell>
          <cell r="I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 t="str">
            <v>Sub-Total</v>
          </cell>
          <cell r="G235" t="str">
            <v>2.4</v>
          </cell>
          <cell r="H235" t="str">
            <v>MAT-2.4</v>
          </cell>
          <cell r="I235">
            <v>350000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B237">
            <v>0</v>
          </cell>
          <cell r="C237">
            <v>0</v>
          </cell>
          <cell r="D237" t="str">
            <v xml:space="preserve">CAN </v>
          </cell>
          <cell r="E237" t="str">
            <v>DISTANCIA</v>
          </cell>
          <cell r="F237" t="str">
            <v>M3-Km / UN-KM</v>
          </cell>
          <cell r="G237" t="str">
            <v>TARIFA</v>
          </cell>
          <cell r="H237" t="str">
            <v>Valor-Unit.</v>
          </cell>
          <cell r="I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 t="str">
            <v>Sub-Total</v>
          </cell>
          <cell r="G239" t="str">
            <v>2.4</v>
          </cell>
          <cell r="H239" t="str">
            <v>TRAN-2.4</v>
          </cell>
          <cell r="I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B241">
            <v>0</v>
          </cell>
          <cell r="C241">
            <v>0</v>
          </cell>
          <cell r="D241" t="str">
            <v>JORNAL-HORA</v>
          </cell>
          <cell r="E241" t="str">
            <v>PRES</v>
          </cell>
          <cell r="F241" t="str">
            <v>Jornal Total</v>
          </cell>
          <cell r="G241" t="str">
            <v>Rendimiento</v>
          </cell>
          <cell r="H241" t="str">
            <v>Valor-Unit.</v>
          </cell>
          <cell r="I241">
            <v>0</v>
          </cell>
        </row>
        <row r="242">
          <cell r="B242" t="str">
            <v>MO004</v>
          </cell>
          <cell r="C242" t="str">
            <v>OFICIAL ENTUBADOR</v>
          </cell>
          <cell r="D242">
            <v>3785.5250000000001</v>
          </cell>
          <cell r="E242">
            <v>0</v>
          </cell>
          <cell r="F242">
            <v>3785.5250000000001</v>
          </cell>
          <cell r="G242">
            <v>2</v>
          </cell>
          <cell r="H242">
            <v>7571.05</v>
          </cell>
          <cell r="I242">
            <v>0</v>
          </cell>
        </row>
        <row r="243">
          <cell r="B243" t="str">
            <v>MO005</v>
          </cell>
          <cell r="C243" t="str">
            <v>AYUDANTE ENTENDIDO PAV</v>
          </cell>
          <cell r="D243">
            <v>3785.5250000000001</v>
          </cell>
          <cell r="E243">
            <v>0</v>
          </cell>
          <cell r="F243">
            <v>3785.5250000000001</v>
          </cell>
          <cell r="G243">
            <v>2</v>
          </cell>
          <cell r="H243">
            <v>7571.05</v>
          </cell>
          <cell r="I243">
            <v>0</v>
          </cell>
        </row>
        <row r="244">
          <cell r="B244" t="str">
            <v>MO006</v>
          </cell>
          <cell r="C244" t="str">
            <v>AYUDANTE ENTUBADOR</v>
          </cell>
          <cell r="D244">
            <v>3785.5250000000001</v>
          </cell>
          <cell r="E244">
            <v>0</v>
          </cell>
          <cell r="F244">
            <v>3785.5250000000001</v>
          </cell>
          <cell r="G244">
            <v>2</v>
          </cell>
          <cell r="H244">
            <v>7571.05</v>
          </cell>
          <cell r="I244">
            <v>0</v>
          </cell>
        </row>
        <row r="245">
          <cell r="B245" t="str">
            <v>MO007</v>
          </cell>
          <cell r="C245" t="str">
            <v>CONTRAMAESTRO</v>
          </cell>
          <cell r="D245">
            <v>5208.333333333333</v>
          </cell>
          <cell r="E245">
            <v>0</v>
          </cell>
          <cell r="F245">
            <v>5208.333333333333</v>
          </cell>
          <cell r="G245">
            <v>0.2</v>
          </cell>
          <cell r="H245">
            <v>1041.6666666666667</v>
          </cell>
          <cell r="I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 t="str">
            <v>Sub-Total</v>
          </cell>
          <cell r="G247" t="str">
            <v>2.4</v>
          </cell>
          <cell r="H247" t="str">
            <v>MDEO-2.4</v>
          </cell>
          <cell r="I247">
            <v>23754.816666666669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1187.7408333333335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 t="str">
            <v>Total Costo Directo</v>
          </cell>
          <cell r="G249">
            <v>0</v>
          </cell>
          <cell r="H249">
            <v>0</v>
          </cell>
          <cell r="I249">
            <v>374943</v>
          </cell>
        </row>
        <row r="250">
          <cell r="B250">
            <v>0</v>
          </cell>
          <cell r="C250">
            <v>0</v>
          </cell>
          <cell r="D250">
            <v>0</v>
          </cell>
          <cell r="E250" t="str">
            <v>PORCENTAJE</v>
          </cell>
          <cell r="F250">
            <v>0</v>
          </cell>
          <cell r="G250" t="str">
            <v>V. COSTO INDERECTO</v>
          </cell>
          <cell r="H250">
            <v>0</v>
          </cell>
          <cell r="I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0.02</v>
          </cell>
          <cell r="F251">
            <v>0</v>
          </cell>
          <cell r="G251">
            <v>7498.8600000000006</v>
          </cell>
          <cell r="H251">
            <v>0</v>
          </cell>
          <cell r="I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0.23</v>
          </cell>
          <cell r="F252">
            <v>0</v>
          </cell>
          <cell r="G252">
            <v>86236.89</v>
          </cell>
          <cell r="H252">
            <v>0</v>
          </cell>
          <cell r="I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0.05</v>
          </cell>
          <cell r="F253">
            <v>0</v>
          </cell>
          <cell r="G253">
            <v>18747.150000000001</v>
          </cell>
          <cell r="H253">
            <v>0</v>
          </cell>
          <cell r="I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0.02</v>
          </cell>
          <cell r="F254">
            <v>0</v>
          </cell>
          <cell r="G254">
            <v>7498.8600000000006</v>
          </cell>
          <cell r="H254">
            <v>0</v>
          </cell>
          <cell r="I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119981.75999999999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494924.76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 t="str">
            <v>REVISA</v>
          </cell>
          <cell r="G258">
            <v>0</v>
          </cell>
          <cell r="H258">
            <v>0</v>
          </cell>
          <cell r="I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 t="str">
            <v>FIRMA:</v>
          </cell>
          <cell r="G259">
            <v>0</v>
          </cell>
          <cell r="H259">
            <v>0</v>
          </cell>
          <cell r="I259">
            <v>0</v>
          </cell>
        </row>
        <row r="260">
          <cell r="B260" t="str">
            <v>LINA MARCELA</v>
          </cell>
          <cell r="C260">
            <v>0</v>
          </cell>
          <cell r="F260" t="str">
            <v>NOMBRE</v>
          </cell>
          <cell r="G260">
            <v>0</v>
          </cell>
          <cell r="H260">
            <v>0</v>
          </cell>
          <cell r="I260">
            <v>0</v>
          </cell>
        </row>
        <row r="261">
          <cell r="B261" t="str">
            <v>05202-316814 ANT</v>
          </cell>
          <cell r="C261">
            <v>0</v>
          </cell>
          <cell r="F261" t="str">
            <v>MAT:</v>
          </cell>
          <cell r="G261">
            <v>0</v>
          </cell>
          <cell r="H261">
            <v>0</v>
          </cell>
          <cell r="I261">
            <v>0</v>
          </cell>
        </row>
        <row r="262">
          <cell r="B262">
            <v>0</v>
          </cell>
          <cell r="C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B267" t="str">
            <v>2.5</v>
          </cell>
          <cell r="C267" t="str">
            <v>DESCRIPCION:</v>
          </cell>
          <cell r="D267" t="str">
            <v>REALCE DE CAJAS DOMICILIARIAS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B268" t="str">
            <v>PAR_05</v>
          </cell>
          <cell r="C268">
            <v>0</v>
          </cell>
          <cell r="D268" t="str">
            <v>UNIDAD</v>
          </cell>
          <cell r="E268" t="str">
            <v>UNIDAD</v>
          </cell>
          <cell r="F268" t="str">
            <v>CANTIDAD</v>
          </cell>
          <cell r="G268">
            <v>185</v>
          </cell>
          <cell r="H268" t="str">
            <v>V. UNITARIO:</v>
          </cell>
          <cell r="I268">
            <v>262187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 t="str">
            <v>Tarifa/Hora</v>
          </cell>
          <cell r="G270" t="str">
            <v>Rendimiento</v>
          </cell>
          <cell r="H270" t="str">
            <v>Valor-Unit.</v>
          </cell>
          <cell r="I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 t="str">
            <v>Sub-Total</v>
          </cell>
          <cell r="G272" t="str">
            <v>2.5</v>
          </cell>
          <cell r="H272" t="str">
            <v>EQUI-2.5</v>
          </cell>
          <cell r="I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 t="str">
            <v>UNIDAD</v>
          </cell>
          <cell r="F274" t="str">
            <v>V.UNIT</v>
          </cell>
          <cell r="G274" t="str">
            <v>CANT</v>
          </cell>
          <cell r="H274" t="str">
            <v>V.TOTAL</v>
          </cell>
          <cell r="I274">
            <v>0</v>
          </cell>
        </row>
        <row r="275">
          <cell r="B275" t="str">
            <v>M006</v>
          </cell>
          <cell r="C275" t="str">
            <v>CONCRETO 2500 PSI</v>
          </cell>
          <cell r="D275">
            <v>0</v>
          </cell>
          <cell r="E275" t="str">
            <v>M3</v>
          </cell>
          <cell r="F275">
            <v>310000</v>
          </cell>
          <cell r="G275">
            <v>0.10799999999999998</v>
          </cell>
          <cell r="H275">
            <v>33479.999999999993</v>
          </cell>
          <cell r="I275">
            <v>0</v>
          </cell>
        </row>
        <row r="276">
          <cell r="B276" t="str">
            <v>M017</v>
          </cell>
          <cell r="C276" t="str">
            <v>HERRAJE PARA CAJA DOMICILIARIA INC REF</v>
          </cell>
          <cell r="D276">
            <v>0</v>
          </cell>
          <cell r="E276" t="str">
            <v>UN</v>
          </cell>
          <cell r="F276">
            <v>210000</v>
          </cell>
          <cell r="G276">
            <v>1</v>
          </cell>
          <cell r="H276">
            <v>210000</v>
          </cell>
          <cell r="I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 t="str">
            <v>Sub-Total</v>
          </cell>
          <cell r="G277" t="str">
            <v>2.5</v>
          </cell>
          <cell r="H277" t="str">
            <v>MAT-2.5</v>
          </cell>
          <cell r="I277">
            <v>243480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B279">
            <v>0</v>
          </cell>
          <cell r="C279">
            <v>0</v>
          </cell>
          <cell r="D279" t="str">
            <v xml:space="preserve">CAN </v>
          </cell>
          <cell r="E279" t="str">
            <v>DISTANCIA</v>
          </cell>
          <cell r="F279" t="str">
            <v>M3-Km / UN-KM</v>
          </cell>
          <cell r="G279" t="str">
            <v>TARIFA</v>
          </cell>
          <cell r="H279" t="str">
            <v>Valor-Unit.</v>
          </cell>
          <cell r="I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 t="str">
            <v>Sub-Total</v>
          </cell>
          <cell r="G281" t="str">
            <v>2.5</v>
          </cell>
          <cell r="H281" t="str">
            <v>TRAN-2.5</v>
          </cell>
          <cell r="I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B283">
            <v>0</v>
          </cell>
          <cell r="C283">
            <v>0</v>
          </cell>
          <cell r="D283" t="str">
            <v>JORNAL-HORA</v>
          </cell>
          <cell r="E283" t="str">
            <v>PRES</v>
          </cell>
          <cell r="F283" t="str">
            <v>Jornal Total</v>
          </cell>
          <cell r="G283" t="str">
            <v>Rendimiento</v>
          </cell>
          <cell r="H283" t="str">
            <v>Valor-Unit.</v>
          </cell>
          <cell r="I283">
            <v>0</v>
          </cell>
        </row>
        <row r="284">
          <cell r="B284" t="str">
            <v>MO004</v>
          </cell>
          <cell r="C284" t="str">
            <v>OFICIAL ENTUBADOR</v>
          </cell>
          <cell r="D284">
            <v>3785.5250000000001</v>
          </cell>
          <cell r="E284">
            <v>0</v>
          </cell>
          <cell r="F284">
            <v>3785.5250000000001</v>
          </cell>
          <cell r="G284">
            <v>1.5</v>
          </cell>
          <cell r="H284">
            <v>5678.2875000000004</v>
          </cell>
          <cell r="I284">
            <v>0</v>
          </cell>
        </row>
        <row r="285">
          <cell r="B285" t="str">
            <v>MO005</v>
          </cell>
          <cell r="C285" t="str">
            <v>AYUDANTE ENTENDIDO PAV</v>
          </cell>
          <cell r="D285">
            <v>3785.5250000000001</v>
          </cell>
          <cell r="E285">
            <v>0</v>
          </cell>
          <cell r="F285">
            <v>3785.5250000000001</v>
          </cell>
          <cell r="G285">
            <v>1.5</v>
          </cell>
          <cell r="H285">
            <v>5678.2875000000004</v>
          </cell>
          <cell r="I285">
            <v>0</v>
          </cell>
        </row>
        <row r="286">
          <cell r="B286" t="str">
            <v>MO006</v>
          </cell>
          <cell r="C286" t="str">
            <v>AYUDANTE ENTUBADOR</v>
          </cell>
          <cell r="D286">
            <v>3785.5250000000001</v>
          </cell>
          <cell r="E286">
            <v>0</v>
          </cell>
          <cell r="F286">
            <v>3785.5250000000001</v>
          </cell>
          <cell r="G286">
            <v>1.5</v>
          </cell>
          <cell r="H286">
            <v>5678.2875000000004</v>
          </cell>
          <cell r="I286">
            <v>0</v>
          </cell>
        </row>
        <row r="287">
          <cell r="B287" t="str">
            <v>MO007</v>
          </cell>
          <cell r="C287" t="str">
            <v>CONTRAMAESTRO</v>
          </cell>
          <cell r="D287">
            <v>5208.333333333333</v>
          </cell>
          <cell r="E287">
            <v>0</v>
          </cell>
          <cell r="F287">
            <v>5208.333333333333</v>
          </cell>
          <cell r="G287">
            <v>0.15000000000000002</v>
          </cell>
          <cell r="H287">
            <v>781.25000000000011</v>
          </cell>
          <cell r="I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 t="str">
            <v>Sub-Total</v>
          </cell>
          <cell r="G289" t="str">
            <v>2.5</v>
          </cell>
          <cell r="H289" t="str">
            <v>MDEO-2.5</v>
          </cell>
          <cell r="I289">
            <v>17816.112500000003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890.80562500000019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 t="str">
            <v>Total Costo Directo</v>
          </cell>
          <cell r="G291">
            <v>0</v>
          </cell>
          <cell r="H291">
            <v>0</v>
          </cell>
          <cell r="I291">
            <v>262187</v>
          </cell>
        </row>
        <row r="292">
          <cell r="B292">
            <v>0</v>
          </cell>
          <cell r="C292">
            <v>0</v>
          </cell>
          <cell r="D292">
            <v>0</v>
          </cell>
          <cell r="E292" t="str">
            <v>PORCENTAJE</v>
          </cell>
          <cell r="F292">
            <v>0</v>
          </cell>
          <cell r="G292" t="str">
            <v>V. COSTO INDERECTO</v>
          </cell>
          <cell r="H292">
            <v>0</v>
          </cell>
          <cell r="I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0.02</v>
          </cell>
          <cell r="F293">
            <v>0</v>
          </cell>
          <cell r="G293">
            <v>5243.74</v>
          </cell>
          <cell r="H293">
            <v>0</v>
          </cell>
          <cell r="I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0.23</v>
          </cell>
          <cell r="F294">
            <v>0</v>
          </cell>
          <cell r="G294">
            <v>60303.01</v>
          </cell>
          <cell r="H294">
            <v>0</v>
          </cell>
          <cell r="I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0.05</v>
          </cell>
          <cell r="F295">
            <v>0</v>
          </cell>
          <cell r="G295">
            <v>13109.35</v>
          </cell>
          <cell r="H295">
            <v>0</v>
          </cell>
          <cell r="I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0.02</v>
          </cell>
          <cell r="F296">
            <v>0</v>
          </cell>
          <cell r="G296">
            <v>5243.74</v>
          </cell>
          <cell r="H296">
            <v>0</v>
          </cell>
          <cell r="I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83899.840000000011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346086.84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 t="str">
            <v>REVISA</v>
          </cell>
          <cell r="G300">
            <v>0</v>
          </cell>
          <cell r="H300">
            <v>0</v>
          </cell>
          <cell r="I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 t="str">
            <v>FIRMA:</v>
          </cell>
          <cell r="G301">
            <v>0</v>
          </cell>
          <cell r="H301">
            <v>0</v>
          </cell>
          <cell r="I301">
            <v>0</v>
          </cell>
        </row>
        <row r="302">
          <cell r="B302" t="str">
            <v>LINA MARCELA</v>
          </cell>
          <cell r="C302">
            <v>0</v>
          </cell>
          <cell r="F302" t="str">
            <v>NOMBRE</v>
          </cell>
          <cell r="G302">
            <v>0</v>
          </cell>
          <cell r="H302">
            <v>0</v>
          </cell>
          <cell r="I302">
            <v>0</v>
          </cell>
        </row>
        <row r="303">
          <cell r="B303" t="str">
            <v>05202-316814 ANT</v>
          </cell>
          <cell r="C303">
            <v>0</v>
          </cell>
          <cell r="F303" t="str">
            <v>MAT:</v>
          </cell>
          <cell r="G303">
            <v>0</v>
          </cell>
          <cell r="H303">
            <v>0</v>
          </cell>
          <cell r="I303">
            <v>0</v>
          </cell>
        </row>
        <row r="304">
          <cell r="B304">
            <v>0</v>
          </cell>
          <cell r="C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B309" t="str">
            <v>2.6</v>
          </cell>
          <cell r="C309" t="str">
            <v>DESCRIPCION:</v>
          </cell>
          <cell r="D309" t="str">
            <v>REALCE DE CAJAS DOMICILIARIAS MEDIDOR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B310" t="str">
            <v>812-EPM</v>
          </cell>
          <cell r="C310">
            <v>0</v>
          </cell>
          <cell r="D310" t="str">
            <v>UNIDAD</v>
          </cell>
          <cell r="E310" t="str">
            <v>UNIDAD</v>
          </cell>
          <cell r="F310" t="str">
            <v>CANTIDAD</v>
          </cell>
          <cell r="G310">
            <v>185</v>
          </cell>
          <cell r="H310" t="str">
            <v>V. UNITARIO:</v>
          </cell>
          <cell r="I310">
            <v>52187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 t="str">
            <v>Tarifa/Hora</v>
          </cell>
          <cell r="G312" t="str">
            <v>Rendimiento</v>
          </cell>
          <cell r="H312" t="str">
            <v>Valor-Unit.</v>
          </cell>
          <cell r="I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 t="str">
            <v>Sub-Total</v>
          </cell>
          <cell r="G314" t="str">
            <v>2.6</v>
          </cell>
          <cell r="H314" t="str">
            <v>EQUI-2.6</v>
          </cell>
          <cell r="I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 t="str">
            <v>UNIDAD</v>
          </cell>
          <cell r="F316" t="str">
            <v>V.UNIT</v>
          </cell>
          <cell r="G316" t="str">
            <v>CANT</v>
          </cell>
          <cell r="H316" t="str">
            <v>V.TOTAL</v>
          </cell>
          <cell r="I316">
            <v>0</v>
          </cell>
        </row>
        <row r="317">
          <cell r="B317" t="str">
            <v>M006</v>
          </cell>
          <cell r="C317" t="str">
            <v>CONCRETO 2500 PSI</v>
          </cell>
          <cell r="D317">
            <v>0</v>
          </cell>
          <cell r="E317" t="str">
            <v>M3</v>
          </cell>
          <cell r="F317">
            <v>310000</v>
          </cell>
          <cell r="G317">
            <v>0.10799999999999998</v>
          </cell>
          <cell r="H317">
            <v>33479.999999999993</v>
          </cell>
          <cell r="I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 t="str">
            <v>Sub-Total</v>
          </cell>
          <cell r="G318" t="str">
            <v>2.6</v>
          </cell>
          <cell r="H318" t="str">
            <v>MAT-2.6</v>
          </cell>
          <cell r="I318">
            <v>33479.999999999993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 t="str">
            <v xml:space="preserve">CAN </v>
          </cell>
          <cell r="E320" t="str">
            <v>DISTANCIA</v>
          </cell>
          <cell r="F320" t="str">
            <v>M3-Km / UN-KM</v>
          </cell>
          <cell r="G320" t="str">
            <v>TARIFA</v>
          </cell>
          <cell r="H320" t="str">
            <v>Valor-Unit.</v>
          </cell>
          <cell r="I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 t="str">
            <v>Sub-Total</v>
          </cell>
          <cell r="G322" t="str">
            <v>2.6</v>
          </cell>
          <cell r="H322" t="str">
            <v>TRAN-2.6</v>
          </cell>
          <cell r="I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B324">
            <v>0</v>
          </cell>
          <cell r="C324">
            <v>0</v>
          </cell>
          <cell r="D324" t="str">
            <v>JORNAL-HORA</v>
          </cell>
          <cell r="E324" t="str">
            <v>PRES</v>
          </cell>
          <cell r="F324" t="str">
            <v>Jornal Total</v>
          </cell>
          <cell r="G324" t="str">
            <v>Rendimiento</v>
          </cell>
          <cell r="H324" t="str">
            <v>Valor-Unit.</v>
          </cell>
          <cell r="I324">
            <v>0</v>
          </cell>
        </row>
        <row r="325">
          <cell r="B325" t="str">
            <v>MO004</v>
          </cell>
          <cell r="C325" t="str">
            <v>OFICIAL ENTUBADOR</v>
          </cell>
          <cell r="D325">
            <v>3785.5250000000001</v>
          </cell>
          <cell r="E325">
            <v>0</v>
          </cell>
          <cell r="F325">
            <v>3785.5250000000001</v>
          </cell>
          <cell r="G325">
            <v>1.5</v>
          </cell>
          <cell r="H325">
            <v>5678.2875000000004</v>
          </cell>
          <cell r="I325">
            <v>0</v>
          </cell>
        </row>
        <row r="326">
          <cell r="B326" t="str">
            <v>MO005</v>
          </cell>
          <cell r="C326" t="str">
            <v>AYUDANTE ENTENDIDO PAV</v>
          </cell>
          <cell r="D326">
            <v>3785.5250000000001</v>
          </cell>
          <cell r="E326">
            <v>0</v>
          </cell>
          <cell r="F326">
            <v>3785.5250000000001</v>
          </cell>
          <cell r="G326">
            <v>1.5</v>
          </cell>
          <cell r="H326">
            <v>5678.2875000000004</v>
          </cell>
          <cell r="I326">
            <v>0</v>
          </cell>
        </row>
        <row r="327">
          <cell r="B327" t="str">
            <v>MO006</v>
          </cell>
          <cell r="C327" t="str">
            <v>AYUDANTE ENTUBADOR</v>
          </cell>
          <cell r="D327">
            <v>3785.5250000000001</v>
          </cell>
          <cell r="E327">
            <v>0</v>
          </cell>
          <cell r="F327">
            <v>3785.5250000000001</v>
          </cell>
          <cell r="G327">
            <v>1.5</v>
          </cell>
          <cell r="H327">
            <v>5678.2875000000004</v>
          </cell>
          <cell r="I327">
            <v>0</v>
          </cell>
        </row>
        <row r="328">
          <cell r="B328" t="str">
            <v>MO007</v>
          </cell>
          <cell r="C328" t="str">
            <v>CONTRAMAESTRO</v>
          </cell>
          <cell r="D328">
            <v>5208.333333333333</v>
          </cell>
          <cell r="E328">
            <v>0</v>
          </cell>
          <cell r="F328">
            <v>5208.333333333333</v>
          </cell>
          <cell r="G328">
            <v>0.15000000000000002</v>
          </cell>
          <cell r="H328">
            <v>781.25000000000011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 t="str">
            <v>Sub-Total</v>
          </cell>
          <cell r="G330" t="str">
            <v>2.6</v>
          </cell>
          <cell r="H330" t="str">
            <v>MDEO-2.6</v>
          </cell>
          <cell r="I330">
            <v>17816.112500000003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890.80562500000019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 t="str">
            <v>Total Costo Directo</v>
          </cell>
          <cell r="G332">
            <v>0</v>
          </cell>
          <cell r="H332">
            <v>0</v>
          </cell>
          <cell r="I332">
            <v>52187</v>
          </cell>
        </row>
        <row r="333">
          <cell r="B333">
            <v>0</v>
          </cell>
          <cell r="C333">
            <v>0</v>
          </cell>
          <cell r="D333">
            <v>0</v>
          </cell>
          <cell r="E333" t="str">
            <v>PORCENTAJE</v>
          </cell>
          <cell r="F333">
            <v>0</v>
          </cell>
          <cell r="G333" t="str">
            <v>V. COSTO INDERECTO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0.02</v>
          </cell>
          <cell r="F334">
            <v>0</v>
          </cell>
          <cell r="G334">
            <v>1043.74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0.23</v>
          </cell>
          <cell r="F335">
            <v>0</v>
          </cell>
          <cell r="G335">
            <v>12003.01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0.05</v>
          </cell>
          <cell r="F336">
            <v>0</v>
          </cell>
          <cell r="G336">
            <v>2609.3500000000004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0.02</v>
          </cell>
          <cell r="F337">
            <v>0</v>
          </cell>
          <cell r="G337">
            <v>1043.74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16699.84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68886.84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 t="str">
            <v>REVISA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 t="str">
            <v>FIRMA:</v>
          </cell>
          <cell r="G342">
            <v>0</v>
          </cell>
          <cell r="H342">
            <v>0</v>
          </cell>
          <cell r="I342">
            <v>0</v>
          </cell>
        </row>
        <row r="343">
          <cell r="B343" t="str">
            <v>LINA MARCELA</v>
          </cell>
          <cell r="C343">
            <v>0</v>
          </cell>
          <cell r="F343" t="str">
            <v>NOMBRE</v>
          </cell>
          <cell r="G343">
            <v>0</v>
          </cell>
          <cell r="H343">
            <v>0</v>
          </cell>
          <cell r="I343">
            <v>0</v>
          </cell>
        </row>
        <row r="344">
          <cell r="B344" t="str">
            <v>05202-316814 ANT</v>
          </cell>
          <cell r="C344">
            <v>0</v>
          </cell>
          <cell r="F344" t="str">
            <v>MAT: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 t="str">
            <v>2.7</v>
          </cell>
          <cell r="C350" t="str">
            <v>DESCRIPCION:</v>
          </cell>
          <cell r="D350" t="str">
            <v>TUBERIA NOVAFORT 300MM  PARA SUMIDEROS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 t="str">
            <v>803A-EPM</v>
          </cell>
          <cell r="C351">
            <v>0</v>
          </cell>
          <cell r="D351" t="str">
            <v>UNIDAD</v>
          </cell>
          <cell r="E351" t="str">
            <v>ML</v>
          </cell>
          <cell r="F351" t="str">
            <v>CANTIDAD</v>
          </cell>
          <cell r="G351">
            <v>1950</v>
          </cell>
          <cell r="H351" t="str">
            <v>V. UNITARIO:</v>
          </cell>
          <cell r="I351">
            <v>115982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 t="str">
            <v>Tarifa/Hora</v>
          </cell>
          <cell r="G353" t="str">
            <v>Rendimiento</v>
          </cell>
          <cell r="H353" t="str">
            <v>Valor-Unit.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 t="str">
            <v>Sub-Total</v>
          </cell>
          <cell r="G355" t="str">
            <v>2.7</v>
          </cell>
          <cell r="H355" t="str">
            <v>EQUI-2.7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 t="str">
            <v>UNIDAD</v>
          </cell>
          <cell r="F357" t="str">
            <v>V.UNIT</v>
          </cell>
          <cell r="G357" t="str">
            <v>CANT</v>
          </cell>
          <cell r="H357" t="str">
            <v>V.TOTAL</v>
          </cell>
          <cell r="I357">
            <v>0</v>
          </cell>
        </row>
        <row r="358">
          <cell r="B358" t="str">
            <v>M018</v>
          </cell>
          <cell r="C358" t="str">
            <v>TUBERIA NOVAFORT 12"</v>
          </cell>
          <cell r="D358">
            <v>0</v>
          </cell>
          <cell r="E358" t="str">
            <v>ML</v>
          </cell>
          <cell r="F358">
            <v>102263.16666666667</v>
          </cell>
          <cell r="G358">
            <v>1</v>
          </cell>
          <cell r="H358">
            <v>102263.16666666667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 t="str">
            <v>Sub-Total</v>
          </cell>
          <cell r="G359" t="str">
            <v>2.7</v>
          </cell>
          <cell r="H359" t="str">
            <v>MAT-2.7</v>
          </cell>
          <cell r="I359">
            <v>102263.16666666667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 t="str">
            <v xml:space="preserve">CAN </v>
          </cell>
          <cell r="E361" t="str">
            <v>DISTANCIA</v>
          </cell>
          <cell r="F361" t="str">
            <v>M3-Km / UN-KM</v>
          </cell>
          <cell r="G361" t="str">
            <v>TARIFA</v>
          </cell>
          <cell r="H361" t="str">
            <v>Valor-Unit.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 t="str">
            <v>Sub-Total</v>
          </cell>
          <cell r="G363" t="str">
            <v>2.7</v>
          </cell>
          <cell r="H363" t="str">
            <v>TRAN-2.7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 t="str">
            <v>JORNAL-HORA</v>
          </cell>
          <cell r="E365" t="str">
            <v>PRES</v>
          </cell>
          <cell r="F365" t="str">
            <v>Jornal Total</v>
          </cell>
          <cell r="G365" t="str">
            <v>Rendimiento</v>
          </cell>
          <cell r="H365" t="str">
            <v>Valor-Unit.</v>
          </cell>
          <cell r="I365">
            <v>0</v>
          </cell>
        </row>
        <row r="366">
          <cell r="B366" t="str">
            <v>MO004</v>
          </cell>
          <cell r="C366" t="str">
            <v>OFICIAL ENTUBADOR</v>
          </cell>
          <cell r="D366">
            <v>3785.5250000000001</v>
          </cell>
          <cell r="E366">
            <v>0</v>
          </cell>
          <cell r="F366">
            <v>3785.5250000000001</v>
          </cell>
          <cell r="G366">
            <v>1.1000000000000001</v>
          </cell>
          <cell r="H366">
            <v>4164.0775000000003</v>
          </cell>
          <cell r="I366">
            <v>0</v>
          </cell>
        </row>
        <row r="367">
          <cell r="B367" t="str">
            <v>MO005</v>
          </cell>
          <cell r="C367" t="str">
            <v>AYUDANTE ENTENDIDO PAV</v>
          </cell>
          <cell r="D367">
            <v>3785.5250000000001</v>
          </cell>
          <cell r="E367">
            <v>0</v>
          </cell>
          <cell r="F367">
            <v>3785.5250000000001</v>
          </cell>
          <cell r="G367">
            <v>1.1000000000000001</v>
          </cell>
          <cell r="H367">
            <v>4164.0775000000003</v>
          </cell>
          <cell r="I367">
            <v>0</v>
          </cell>
        </row>
        <row r="368">
          <cell r="B368" t="str">
            <v>MO006</v>
          </cell>
          <cell r="C368" t="str">
            <v>AYUDANTE ENTUBADOR</v>
          </cell>
          <cell r="D368">
            <v>3785.5250000000001</v>
          </cell>
          <cell r="E368">
            <v>0</v>
          </cell>
          <cell r="F368">
            <v>3785.5250000000001</v>
          </cell>
          <cell r="G368">
            <v>1.1000000000000001</v>
          </cell>
          <cell r="H368">
            <v>4164.0775000000003</v>
          </cell>
          <cell r="I368">
            <v>0</v>
          </cell>
        </row>
        <row r="369">
          <cell r="B369" t="str">
            <v>MO007</v>
          </cell>
          <cell r="C369" t="str">
            <v>CONTRAMAESTRO</v>
          </cell>
          <cell r="D369">
            <v>5208.333333333333</v>
          </cell>
          <cell r="E369">
            <v>0</v>
          </cell>
          <cell r="F369">
            <v>5208.333333333333</v>
          </cell>
          <cell r="G369">
            <v>0.11000000000000001</v>
          </cell>
          <cell r="H369">
            <v>572.91666666666674</v>
          </cell>
          <cell r="I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 t="str">
            <v>Sub-Total</v>
          </cell>
          <cell r="G371" t="str">
            <v>2.7</v>
          </cell>
          <cell r="H371" t="str">
            <v>MDEO-2.7</v>
          </cell>
          <cell r="I371">
            <v>13065.149166666668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653.25745833333349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 t="str">
            <v>Total Costo Directo</v>
          </cell>
          <cell r="G373">
            <v>0</v>
          </cell>
          <cell r="H373">
            <v>0</v>
          </cell>
          <cell r="I373">
            <v>115982</v>
          </cell>
        </row>
        <row r="374">
          <cell r="B374">
            <v>0</v>
          </cell>
          <cell r="C374">
            <v>0</v>
          </cell>
          <cell r="D374">
            <v>0</v>
          </cell>
          <cell r="E374" t="str">
            <v>PORCENTAJE</v>
          </cell>
          <cell r="F374">
            <v>0</v>
          </cell>
          <cell r="G374" t="str">
            <v>V. COSTO INDERECTO</v>
          </cell>
          <cell r="H374">
            <v>0</v>
          </cell>
          <cell r="I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0.02</v>
          </cell>
          <cell r="F375">
            <v>0</v>
          </cell>
          <cell r="G375">
            <v>2319.64</v>
          </cell>
          <cell r="H375">
            <v>0</v>
          </cell>
          <cell r="I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0.23</v>
          </cell>
          <cell r="F376">
            <v>0</v>
          </cell>
          <cell r="G376">
            <v>26675.86</v>
          </cell>
          <cell r="H376">
            <v>0</v>
          </cell>
          <cell r="I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0.05</v>
          </cell>
          <cell r="F377">
            <v>0</v>
          </cell>
          <cell r="G377">
            <v>5799.1</v>
          </cell>
          <cell r="H377">
            <v>0</v>
          </cell>
          <cell r="I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0.02</v>
          </cell>
          <cell r="F378">
            <v>0</v>
          </cell>
          <cell r="G378">
            <v>2319.64</v>
          </cell>
          <cell r="H378">
            <v>0</v>
          </cell>
          <cell r="I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37114.239999999998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153096.24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 t="str">
            <v>REVISA</v>
          </cell>
          <cell r="G382">
            <v>0</v>
          </cell>
          <cell r="H382">
            <v>0</v>
          </cell>
          <cell r="I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 t="str">
            <v>FIRMA:</v>
          </cell>
          <cell r="G383">
            <v>0</v>
          </cell>
          <cell r="H383">
            <v>0</v>
          </cell>
          <cell r="I383">
            <v>0</v>
          </cell>
        </row>
        <row r="384">
          <cell r="B384" t="str">
            <v>JHON EMIR GAMBOA MENA</v>
          </cell>
          <cell r="C384">
            <v>0</v>
          </cell>
          <cell r="F384" t="str">
            <v>NOMBRE</v>
          </cell>
          <cell r="G384">
            <v>0</v>
          </cell>
          <cell r="H384">
            <v>0</v>
          </cell>
          <cell r="I384">
            <v>0</v>
          </cell>
        </row>
        <row r="385">
          <cell r="B385" t="str">
            <v>05202-316814 ANT</v>
          </cell>
          <cell r="C385">
            <v>0</v>
          </cell>
          <cell r="F385" t="str">
            <v>MAT:</v>
          </cell>
          <cell r="G385">
            <v>0</v>
          </cell>
          <cell r="H385">
            <v>0</v>
          </cell>
          <cell r="I385">
            <v>0</v>
          </cell>
        </row>
        <row r="386">
          <cell r="B386">
            <v>0</v>
          </cell>
          <cell r="C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B392" t="str">
            <v>2.8</v>
          </cell>
          <cell r="C392" t="str">
            <v>DESCRIPCION:</v>
          </cell>
          <cell r="D392" t="str">
            <v>TUBERIA NOVAFORT 400MM  PARA RED AGUAS LLUVIAS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B393" t="str">
            <v>803B-EPM</v>
          </cell>
          <cell r="C393">
            <v>0</v>
          </cell>
          <cell r="D393" t="str">
            <v>UNIDAD</v>
          </cell>
          <cell r="E393" t="str">
            <v>ML</v>
          </cell>
          <cell r="F393" t="str">
            <v>CANTIDAD</v>
          </cell>
          <cell r="G393">
            <v>1428.02</v>
          </cell>
          <cell r="H393" t="str">
            <v>V. UNITARIO:</v>
          </cell>
          <cell r="I393">
            <v>202413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 t="str">
            <v>Tarifa/Hora</v>
          </cell>
          <cell r="G395" t="str">
            <v>Rendimiento</v>
          </cell>
          <cell r="H395" t="str">
            <v>Valor-Unit.</v>
          </cell>
          <cell r="I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 t="str">
            <v>Sub-Total</v>
          </cell>
          <cell r="G397" t="str">
            <v>2.8</v>
          </cell>
          <cell r="H397" t="str">
            <v>EQUI-2.8</v>
          </cell>
          <cell r="I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 t="str">
            <v>UNIDAD</v>
          </cell>
          <cell r="F399" t="str">
            <v>V.UNIT</v>
          </cell>
          <cell r="G399" t="str">
            <v>CANT</v>
          </cell>
          <cell r="H399" t="str">
            <v>V.TOTAL</v>
          </cell>
          <cell r="I399">
            <v>0</v>
          </cell>
        </row>
        <row r="400">
          <cell r="B400" t="str">
            <v>M020</v>
          </cell>
          <cell r="C400" t="str">
            <v>TUBERIA NOVAFORT 16"</v>
          </cell>
          <cell r="D400">
            <v>0</v>
          </cell>
          <cell r="E400" t="str">
            <v>ML</v>
          </cell>
          <cell r="F400">
            <v>187447.5</v>
          </cell>
          <cell r="G400">
            <v>1</v>
          </cell>
          <cell r="H400">
            <v>187447.5</v>
          </cell>
          <cell r="I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 t="str">
            <v>Sub-Total</v>
          </cell>
          <cell r="G401" t="str">
            <v>2.8</v>
          </cell>
          <cell r="H401" t="str">
            <v>MAT-2.8</v>
          </cell>
          <cell r="I401">
            <v>187447.5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</row>
        <row r="403">
          <cell r="B403">
            <v>0</v>
          </cell>
          <cell r="C403">
            <v>0</v>
          </cell>
          <cell r="D403" t="str">
            <v xml:space="preserve">CAN </v>
          </cell>
          <cell r="E403" t="str">
            <v>DISTANCIA</v>
          </cell>
          <cell r="F403" t="str">
            <v>M3-Km / UN-KM</v>
          </cell>
          <cell r="G403" t="str">
            <v>TARIFA</v>
          </cell>
          <cell r="H403" t="str">
            <v>Valor-Unit.</v>
          </cell>
          <cell r="I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 t="str">
            <v>Sub-Total</v>
          </cell>
          <cell r="G405" t="str">
            <v>2.8</v>
          </cell>
          <cell r="H405" t="str">
            <v>TRAN-2.8</v>
          </cell>
          <cell r="I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B407">
            <v>0</v>
          </cell>
          <cell r="C407">
            <v>0</v>
          </cell>
          <cell r="D407" t="str">
            <v>JORNAL-HORA</v>
          </cell>
          <cell r="E407" t="str">
            <v>PRES</v>
          </cell>
          <cell r="F407" t="str">
            <v>Jornal Total</v>
          </cell>
          <cell r="G407" t="str">
            <v>Rendimiento</v>
          </cell>
          <cell r="H407" t="str">
            <v>Valor-Unit.</v>
          </cell>
          <cell r="I407">
            <v>0</v>
          </cell>
        </row>
        <row r="408">
          <cell r="B408" t="str">
            <v>MO004</v>
          </cell>
          <cell r="C408" t="str">
            <v>OFICIAL ENTUBADOR</v>
          </cell>
          <cell r="D408">
            <v>3785.5250000000001</v>
          </cell>
          <cell r="E408">
            <v>0</v>
          </cell>
          <cell r="F408">
            <v>3785.5250000000001</v>
          </cell>
          <cell r="G408">
            <v>1.2</v>
          </cell>
          <cell r="H408">
            <v>4542.63</v>
          </cell>
          <cell r="I408">
            <v>0</v>
          </cell>
        </row>
        <row r="409">
          <cell r="B409" t="str">
            <v>MO005</v>
          </cell>
          <cell r="C409" t="str">
            <v>AYUDANTE ENTENDIDO PAV</v>
          </cell>
          <cell r="D409">
            <v>3785.5250000000001</v>
          </cell>
          <cell r="E409">
            <v>0</v>
          </cell>
          <cell r="F409">
            <v>3785.5250000000001</v>
          </cell>
          <cell r="G409">
            <v>1.2</v>
          </cell>
          <cell r="H409">
            <v>4542.63</v>
          </cell>
          <cell r="I409">
            <v>0</v>
          </cell>
        </row>
        <row r="410">
          <cell r="B410" t="str">
            <v>MO006</v>
          </cell>
          <cell r="C410" t="str">
            <v>AYUDANTE ENTUBADOR</v>
          </cell>
          <cell r="D410">
            <v>3785.5250000000001</v>
          </cell>
          <cell r="E410">
            <v>0</v>
          </cell>
          <cell r="F410">
            <v>3785.5250000000001</v>
          </cell>
          <cell r="G410">
            <v>1.2</v>
          </cell>
          <cell r="H410">
            <v>4542.63</v>
          </cell>
          <cell r="I410">
            <v>0</v>
          </cell>
        </row>
        <row r="411">
          <cell r="B411" t="str">
            <v>MO007</v>
          </cell>
          <cell r="C411" t="str">
            <v>CONTRAMAESTRO</v>
          </cell>
          <cell r="D411">
            <v>5208.333333333333</v>
          </cell>
          <cell r="E411">
            <v>0</v>
          </cell>
          <cell r="F411">
            <v>5208.333333333333</v>
          </cell>
          <cell r="G411">
            <v>0.12</v>
          </cell>
          <cell r="H411">
            <v>624.99999999999989</v>
          </cell>
          <cell r="I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 t="str">
            <v>Sub-Total</v>
          </cell>
          <cell r="G412" t="str">
            <v>2.8</v>
          </cell>
          <cell r="H412" t="str">
            <v>MDEO-2.8</v>
          </cell>
          <cell r="I412">
            <v>14252.89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712.64449999999999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 t="str">
            <v>Total Costo Directo</v>
          </cell>
          <cell r="G414">
            <v>0</v>
          </cell>
          <cell r="H414">
            <v>0</v>
          </cell>
          <cell r="I414">
            <v>202413</v>
          </cell>
        </row>
        <row r="415">
          <cell r="B415">
            <v>0</v>
          </cell>
          <cell r="C415">
            <v>0</v>
          </cell>
          <cell r="D415">
            <v>0</v>
          </cell>
          <cell r="E415" t="str">
            <v>PORCENTAJE</v>
          </cell>
          <cell r="F415">
            <v>0</v>
          </cell>
          <cell r="G415" t="str">
            <v>V. COSTO INDERECTO</v>
          </cell>
          <cell r="H415">
            <v>0</v>
          </cell>
          <cell r="I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0.02</v>
          </cell>
          <cell r="F416">
            <v>0</v>
          </cell>
          <cell r="G416">
            <v>4048.26</v>
          </cell>
          <cell r="H416">
            <v>0</v>
          </cell>
          <cell r="I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0.23</v>
          </cell>
          <cell r="F417">
            <v>0</v>
          </cell>
          <cell r="G417">
            <v>46554.990000000005</v>
          </cell>
          <cell r="H417">
            <v>0</v>
          </cell>
          <cell r="I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0.05</v>
          </cell>
          <cell r="F418">
            <v>0</v>
          </cell>
          <cell r="G418">
            <v>10120.650000000001</v>
          </cell>
          <cell r="H418">
            <v>0</v>
          </cell>
          <cell r="I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0.02</v>
          </cell>
          <cell r="F419">
            <v>0</v>
          </cell>
          <cell r="G419">
            <v>4048.26</v>
          </cell>
          <cell r="H419">
            <v>0</v>
          </cell>
          <cell r="I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64772.160000000011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267185.16000000003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 t="str">
            <v>REVISA</v>
          </cell>
          <cell r="G423">
            <v>0</v>
          </cell>
          <cell r="H423">
            <v>0</v>
          </cell>
          <cell r="I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 t="str">
            <v>FIRMA:</v>
          </cell>
          <cell r="G424">
            <v>0</v>
          </cell>
          <cell r="H424">
            <v>0</v>
          </cell>
          <cell r="I424">
            <v>0</v>
          </cell>
        </row>
        <row r="425">
          <cell r="B425" t="str">
            <v>JHON EMIR GAMBOA MENA</v>
          </cell>
          <cell r="C425">
            <v>0</v>
          </cell>
          <cell r="F425" t="str">
            <v>NOMBRE</v>
          </cell>
          <cell r="G425">
            <v>0</v>
          </cell>
          <cell r="H425">
            <v>0</v>
          </cell>
          <cell r="I425">
            <v>0</v>
          </cell>
        </row>
        <row r="426">
          <cell r="B426" t="str">
            <v>05202-316814 ANT</v>
          </cell>
          <cell r="C426">
            <v>0</v>
          </cell>
          <cell r="F426" t="str">
            <v>MAT:</v>
          </cell>
          <cell r="G426">
            <v>0</v>
          </cell>
          <cell r="H426">
            <v>0</v>
          </cell>
          <cell r="I426">
            <v>0</v>
          </cell>
        </row>
        <row r="427">
          <cell r="B427">
            <v>0</v>
          </cell>
          <cell r="C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</row>
        <row r="433">
          <cell r="B433" t="str">
            <v>2.9</v>
          </cell>
          <cell r="C433" t="str">
            <v>DESCRIPCION:</v>
          </cell>
          <cell r="D433" t="str">
            <v>TUBERIA NOVAFORT 450MM  PARA RED AGUAS LLUVIAS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</row>
        <row r="434">
          <cell r="B434" t="str">
            <v>804C-EPM</v>
          </cell>
          <cell r="C434">
            <v>0</v>
          </cell>
          <cell r="D434" t="str">
            <v>UNIDAD</v>
          </cell>
          <cell r="E434" t="str">
            <v>ML</v>
          </cell>
          <cell r="F434" t="str">
            <v>CANTIDAD</v>
          </cell>
          <cell r="G434">
            <v>1228.6500000000001</v>
          </cell>
          <cell r="H434" t="str">
            <v>V. UNITARIO:</v>
          </cell>
          <cell r="I434">
            <v>258301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 t="str">
            <v>Tarifa/Hora</v>
          </cell>
          <cell r="G436" t="str">
            <v>Rendimiento</v>
          </cell>
          <cell r="H436" t="str">
            <v>Valor-Unit.</v>
          </cell>
          <cell r="I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 t="str">
            <v>Sub-Total</v>
          </cell>
          <cell r="G438" t="str">
            <v>2.9</v>
          </cell>
          <cell r="H438" t="str">
            <v>EQUI-2.9</v>
          </cell>
          <cell r="I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 t="str">
            <v>UNIDAD</v>
          </cell>
          <cell r="F440" t="str">
            <v>V.UNIT</v>
          </cell>
          <cell r="G440" t="str">
            <v>CANT</v>
          </cell>
          <cell r="H440" t="str">
            <v>V.TOTAL</v>
          </cell>
          <cell r="I440">
            <v>0</v>
          </cell>
        </row>
        <row r="441">
          <cell r="B441" t="str">
            <v>M021</v>
          </cell>
          <cell r="C441" t="str">
            <v>TUBERIA NOVAFORT 18"</v>
          </cell>
          <cell r="D441">
            <v>0</v>
          </cell>
          <cell r="E441" t="str">
            <v>ML</v>
          </cell>
          <cell r="F441">
            <v>242088.5</v>
          </cell>
          <cell r="G441">
            <v>1</v>
          </cell>
          <cell r="H441">
            <v>242088.5</v>
          </cell>
          <cell r="I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 t="str">
            <v>Sub-Total</v>
          </cell>
          <cell r="G442" t="str">
            <v>2.9</v>
          </cell>
          <cell r="H442" t="str">
            <v>MAT-2.9</v>
          </cell>
          <cell r="I442">
            <v>242088.5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B444">
            <v>0</v>
          </cell>
          <cell r="C444">
            <v>0</v>
          </cell>
          <cell r="D444" t="str">
            <v xml:space="preserve">CAN </v>
          </cell>
          <cell r="E444" t="str">
            <v>DISTANCIA</v>
          </cell>
          <cell r="F444" t="str">
            <v>M3-Km / UN-KM</v>
          </cell>
          <cell r="G444" t="str">
            <v>TARIFA</v>
          </cell>
          <cell r="H444" t="str">
            <v>Valor-Unit.</v>
          </cell>
          <cell r="I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 t="str">
            <v>Sub-Total</v>
          </cell>
          <cell r="G446" t="str">
            <v>2.9</v>
          </cell>
          <cell r="H446" t="str">
            <v>TRAN-2.9</v>
          </cell>
          <cell r="I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</row>
        <row r="448">
          <cell r="B448">
            <v>0</v>
          </cell>
          <cell r="C448">
            <v>0</v>
          </cell>
          <cell r="D448" t="str">
            <v>JORNAL-HORA</v>
          </cell>
          <cell r="E448" t="str">
            <v>PRES</v>
          </cell>
          <cell r="F448" t="str">
            <v>Jornal Total</v>
          </cell>
          <cell r="G448" t="str">
            <v>Rendimiento</v>
          </cell>
          <cell r="H448" t="str">
            <v>Valor-Unit.</v>
          </cell>
          <cell r="I448">
            <v>0</v>
          </cell>
        </row>
        <row r="449">
          <cell r="B449" t="str">
            <v>MO004</v>
          </cell>
          <cell r="C449" t="str">
            <v>OFICIAL ENTUBADOR</v>
          </cell>
          <cell r="D449">
            <v>3785.5250000000001</v>
          </cell>
          <cell r="E449">
            <v>0</v>
          </cell>
          <cell r="F449">
            <v>3785.5250000000001</v>
          </cell>
          <cell r="G449">
            <v>1.3</v>
          </cell>
          <cell r="H449">
            <v>4921.1824999999999</v>
          </cell>
          <cell r="I449">
            <v>0</v>
          </cell>
        </row>
        <row r="450">
          <cell r="B450" t="str">
            <v>MO005</v>
          </cell>
          <cell r="C450" t="str">
            <v>AYUDANTE ENTENDIDO PAV</v>
          </cell>
          <cell r="D450">
            <v>3785.5250000000001</v>
          </cell>
          <cell r="E450">
            <v>0</v>
          </cell>
          <cell r="F450">
            <v>3785.5250000000001</v>
          </cell>
          <cell r="G450">
            <v>1.3</v>
          </cell>
          <cell r="H450">
            <v>4921.1824999999999</v>
          </cell>
          <cell r="I450">
            <v>0</v>
          </cell>
        </row>
        <row r="451">
          <cell r="B451" t="str">
            <v>MO006</v>
          </cell>
          <cell r="C451" t="str">
            <v>AYUDANTE ENTUBADOR</v>
          </cell>
          <cell r="D451">
            <v>3785.5250000000001</v>
          </cell>
          <cell r="E451">
            <v>0</v>
          </cell>
          <cell r="F451">
            <v>3785.5250000000001</v>
          </cell>
          <cell r="G451">
            <v>1.3</v>
          </cell>
          <cell r="H451">
            <v>4921.1824999999999</v>
          </cell>
          <cell r="I451">
            <v>0</v>
          </cell>
        </row>
        <row r="452">
          <cell r="B452" t="str">
            <v>MO007</v>
          </cell>
          <cell r="C452" t="str">
            <v>CONTRAMAESTRO</v>
          </cell>
          <cell r="D452">
            <v>5208.333333333333</v>
          </cell>
          <cell r="E452">
            <v>0</v>
          </cell>
          <cell r="F452">
            <v>5208.333333333333</v>
          </cell>
          <cell r="G452">
            <v>0.13</v>
          </cell>
          <cell r="H452">
            <v>677.08333333333337</v>
          </cell>
          <cell r="I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 t="str">
            <v>Sub-Total</v>
          </cell>
          <cell r="G453" t="str">
            <v>2.9</v>
          </cell>
          <cell r="H453" t="str">
            <v>MDEO-2.9</v>
          </cell>
          <cell r="I453">
            <v>15440.630833333335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772.03154166666673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 t="str">
            <v>Total Costo Directo</v>
          </cell>
          <cell r="G455">
            <v>0</v>
          </cell>
          <cell r="H455">
            <v>0</v>
          </cell>
          <cell r="I455">
            <v>258301</v>
          </cell>
        </row>
        <row r="456">
          <cell r="B456">
            <v>0</v>
          </cell>
          <cell r="C456">
            <v>0</v>
          </cell>
          <cell r="D456">
            <v>0</v>
          </cell>
          <cell r="E456" t="str">
            <v>PORCENTAJE</v>
          </cell>
          <cell r="F456">
            <v>0</v>
          </cell>
          <cell r="G456" t="str">
            <v>V. COSTO INDERECTO</v>
          </cell>
          <cell r="H456">
            <v>0</v>
          </cell>
          <cell r="I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0.02</v>
          </cell>
          <cell r="F457">
            <v>0</v>
          </cell>
          <cell r="G457">
            <v>5166.0200000000004</v>
          </cell>
          <cell r="H457">
            <v>0</v>
          </cell>
          <cell r="I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0.23</v>
          </cell>
          <cell r="F458">
            <v>0</v>
          </cell>
          <cell r="G458">
            <v>59409.23</v>
          </cell>
          <cell r="H458">
            <v>0</v>
          </cell>
          <cell r="I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0.05</v>
          </cell>
          <cell r="F459">
            <v>0</v>
          </cell>
          <cell r="G459">
            <v>12915.050000000001</v>
          </cell>
          <cell r="H459">
            <v>0</v>
          </cell>
          <cell r="I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0.02</v>
          </cell>
          <cell r="F460">
            <v>0</v>
          </cell>
          <cell r="G460">
            <v>5166.0200000000004</v>
          </cell>
          <cell r="H460">
            <v>0</v>
          </cell>
          <cell r="I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82656.320000000007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340957.32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 t="str">
            <v>REVISA</v>
          </cell>
          <cell r="G464">
            <v>0</v>
          </cell>
          <cell r="H464">
            <v>0</v>
          </cell>
          <cell r="I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 t="str">
            <v>FIRMA:</v>
          </cell>
          <cell r="G465">
            <v>0</v>
          </cell>
          <cell r="H465">
            <v>0</v>
          </cell>
          <cell r="I465">
            <v>0</v>
          </cell>
        </row>
        <row r="466">
          <cell r="B466" t="str">
            <v>JHON EMIR GAMBOA MENA</v>
          </cell>
          <cell r="C466">
            <v>0</v>
          </cell>
          <cell r="F466" t="str">
            <v>NOMBRE</v>
          </cell>
          <cell r="G466">
            <v>0</v>
          </cell>
          <cell r="H466">
            <v>0</v>
          </cell>
          <cell r="I466">
            <v>0</v>
          </cell>
        </row>
        <row r="467">
          <cell r="B467" t="str">
            <v>05202-316814 ANT</v>
          </cell>
          <cell r="C467">
            <v>0</v>
          </cell>
          <cell r="F467" t="str">
            <v>MAT:</v>
          </cell>
          <cell r="G467">
            <v>0</v>
          </cell>
          <cell r="H467">
            <v>0</v>
          </cell>
          <cell r="I467">
            <v>0</v>
          </cell>
        </row>
        <row r="468">
          <cell r="B468">
            <v>0</v>
          </cell>
          <cell r="C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</row>
        <row r="474">
          <cell r="B474" t="str">
            <v>2.10</v>
          </cell>
          <cell r="C474" t="str">
            <v>DESCRIPCION:</v>
          </cell>
          <cell r="D474" t="str">
            <v>TUBERIA NOVAFORT 600MM  PARA RED AGUAS LLUVIAS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B475" t="str">
            <v>803D-EPM</v>
          </cell>
          <cell r="C475">
            <v>0</v>
          </cell>
          <cell r="D475" t="str">
            <v>UNIDAD</v>
          </cell>
          <cell r="E475" t="str">
            <v>ML</v>
          </cell>
          <cell r="F475" t="str">
            <v>CANTIDAD</v>
          </cell>
          <cell r="G475">
            <v>560</v>
          </cell>
          <cell r="H475" t="str">
            <v>V. UNITARIO:</v>
          </cell>
          <cell r="I475">
            <v>465614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 t="str">
            <v>Tarifa/Hora</v>
          </cell>
          <cell r="G477" t="str">
            <v>Rendimiento</v>
          </cell>
          <cell r="H477" t="str">
            <v>Valor-Unit.</v>
          </cell>
          <cell r="I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 t="str">
            <v>Sub-Total</v>
          </cell>
          <cell r="G479" t="str">
            <v>2.10</v>
          </cell>
          <cell r="H479" t="str">
            <v>EQUI-2.10</v>
          </cell>
          <cell r="I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 t="str">
            <v>UNIDAD</v>
          </cell>
          <cell r="F481" t="str">
            <v>V.UNIT</v>
          </cell>
          <cell r="G481" t="str">
            <v>CANT</v>
          </cell>
          <cell r="H481" t="str">
            <v>V.TOTAL</v>
          </cell>
          <cell r="I481">
            <v>0</v>
          </cell>
        </row>
        <row r="482">
          <cell r="B482" t="str">
            <v>M022</v>
          </cell>
          <cell r="C482" t="str">
            <v>TUBERIA NOVAFORT 24"</v>
          </cell>
          <cell r="D482">
            <v>0</v>
          </cell>
          <cell r="E482" t="str">
            <v>ML</v>
          </cell>
          <cell r="F482">
            <v>448153.84615384613</v>
          </cell>
          <cell r="G482">
            <v>1</v>
          </cell>
          <cell r="H482">
            <v>448153.84615384613</v>
          </cell>
          <cell r="I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 t="str">
            <v>Sub-Total</v>
          </cell>
          <cell r="G483" t="str">
            <v>2.10</v>
          </cell>
          <cell r="H483" t="str">
            <v>MAT-2.10</v>
          </cell>
          <cell r="I483">
            <v>448153.84615384613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B485">
            <v>0</v>
          </cell>
          <cell r="C485">
            <v>0</v>
          </cell>
          <cell r="D485" t="str">
            <v xml:space="preserve">CAN </v>
          </cell>
          <cell r="E485" t="str">
            <v>DISTANCIA</v>
          </cell>
          <cell r="F485" t="str">
            <v>M3-Km / UN-KM</v>
          </cell>
          <cell r="G485" t="str">
            <v>TARIFA</v>
          </cell>
          <cell r="H485" t="str">
            <v>Valor-Unit.</v>
          </cell>
          <cell r="I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 t="str">
            <v>Sub-Total</v>
          </cell>
          <cell r="G487" t="str">
            <v>2.10</v>
          </cell>
          <cell r="H487" t="str">
            <v>TRAN-2.10</v>
          </cell>
          <cell r="I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B489">
            <v>0</v>
          </cell>
          <cell r="C489">
            <v>0</v>
          </cell>
          <cell r="D489" t="str">
            <v>JORNAL-HORA</v>
          </cell>
          <cell r="E489" t="str">
            <v>PRES</v>
          </cell>
          <cell r="F489" t="str">
            <v>Jornal Total</v>
          </cell>
          <cell r="G489" t="str">
            <v>Rendimiento</v>
          </cell>
          <cell r="H489" t="str">
            <v>Valor-Unit.</v>
          </cell>
          <cell r="I489">
            <v>0</v>
          </cell>
        </row>
        <row r="490">
          <cell r="B490" t="str">
            <v>MO004</v>
          </cell>
          <cell r="C490" t="str">
            <v>OFICIAL ENTUBADOR</v>
          </cell>
          <cell r="D490">
            <v>3785.5250000000001</v>
          </cell>
          <cell r="E490">
            <v>0</v>
          </cell>
          <cell r="F490">
            <v>3785.5250000000001</v>
          </cell>
          <cell r="G490">
            <v>1.4</v>
          </cell>
          <cell r="H490">
            <v>5299.7349999999997</v>
          </cell>
          <cell r="I490">
            <v>0</v>
          </cell>
        </row>
        <row r="491">
          <cell r="B491" t="str">
            <v>MO005</v>
          </cell>
          <cell r="C491" t="str">
            <v>AYUDANTE ENTENDIDO PAV</v>
          </cell>
          <cell r="D491">
            <v>3785.5250000000001</v>
          </cell>
          <cell r="E491">
            <v>0</v>
          </cell>
          <cell r="F491">
            <v>3785.5250000000001</v>
          </cell>
          <cell r="G491">
            <v>1.4</v>
          </cell>
          <cell r="H491">
            <v>5299.7349999999997</v>
          </cell>
          <cell r="I491">
            <v>0</v>
          </cell>
        </row>
        <row r="492">
          <cell r="B492" t="str">
            <v>MO006</v>
          </cell>
          <cell r="C492" t="str">
            <v>AYUDANTE ENTUBADOR</v>
          </cell>
          <cell r="D492">
            <v>3785.5250000000001</v>
          </cell>
          <cell r="E492">
            <v>0</v>
          </cell>
          <cell r="F492">
            <v>3785.5250000000001</v>
          </cell>
          <cell r="G492">
            <v>1.4</v>
          </cell>
          <cell r="H492">
            <v>5299.7349999999997</v>
          </cell>
          <cell r="I492">
            <v>0</v>
          </cell>
        </row>
        <row r="493">
          <cell r="B493" t="str">
            <v>MO007</v>
          </cell>
          <cell r="C493" t="str">
            <v>CONTRAMAESTRO</v>
          </cell>
          <cell r="D493">
            <v>5208.333333333333</v>
          </cell>
          <cell r="E493">
            <v>0</v>
          </cell>
          <cell r="F493">
            <v>5208.333333333333</v>
          </cell>
          <cell r="G493">
            <v>0.13999999999999999</v>
          </cell>
          <cell r="H493">
            <v>729.16666666666652</v>
          </cell>
          <cell r="I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 t="str">
            <v>Sub-Total</v>
          </cell>
          <cell r="G494" t="str">
            <v>2.10</v>
          </cell>
          <cell r="H494" t="str">
            <v>MDEO-2.10</v>
          </cell>
          <cell r="I494">
            <v>16628.371666666666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831.41858333333334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 t="str">
            <v>Total Costo Directo</v>
          </cell>
          <cell r="G496">
            <v>0</v>
          </cell>
          <cell r="H496">
            <v>0</v>
          </cell>
          <cell r="I496">
            <v>465614</v>
          </cell>
        </row>
        <row r="497">
          <cell r="B497">
            <v>0</v>
          </cell>
          <cell r="C497">
            <v>0</v>
          </cell>
          <cell r="D497">
            <v>0</v>
          </cell>
          <cell r="E497" t="str">
            <v>PORCENTAJE</v>
          </cell>
          <cell r="F497">
            <v>0</v>
          </cell>
          <cell r="G497" t="str">
            <v>V. COSTO INDERECTO</v>
          </cell>
          <cell r="H497">
            <v>0</v>
          </cell>
          <cell r="I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0.02</v>
          </cell>
          <cell r="F498">
            <v>0</v>
          </cell>
          <cell r="G498">
            <v>9312.2800000000007</v>
          </cell>
          <cell r="H498">
            <v>0</v>
          </cell>
          <cell r="I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0.23</v>
          </cell>
          <cell r="F499">
            <v>0</v>
          </cell>
          <cell r="G499">
            <v>107091.22</v>
          </cell>
          <cell r="H499">
            <v>0</v>
          </cell>
          <cell r="I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0.05</v>
          </cell>
          <cell r="F500">
            <v>0</v>
          </cell>
          <cell r="G500">
            <v>23280.7</v>
          </cell>
          <cell r="H500">
            <v>0</v>
          </cell>
          <cell r="I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0.02</v>
          </cell>
          <cell r="F501">
            <v>0</v>
          </cell>
          <cell r="G501">
            <v>9312.2800000000007</v>
          </cell>
          <cell r="H501">
            <v>0</v>
          </cell>
          <cell r="I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148996.48000000001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614610.48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 t="str">
            <v>REVISA</v>
          </cell>
          <cell r="G505">
            <v>0</v>
          </cell>
          <cell r="H505">
            <v>0</v>
          </cell>
          <cell r="I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 t="str">
            <v>FIRMA:</v>
          </cell>
          <cell r="G506">
            <v>0</v>
          </cell>
          <cell r="H506">
            <v>0</v>
          </cell>
          <cell r="I506">
            <v>0</v>
          </cell>
        </row>
        <row r="507">
          <cell r="B507" t="str">
            <v>JHON EMIR GAMBOA MENA</v>
          </cell>
          <cell r="C507">
            <v>0</v>
          </cell>
          <cell r="F507" t="str">
            <v>NOMBRE</v>
          </cell>
          <cell r="G507">
            <v>0</v>
          </cell>
          <cell r="H507">
            <v>0</v>
          </cell>
          <cell r="I507">
            <v>0</v>
          </cell>
        </row>
        <row r="508">
          <cell r="B508" t="str">
            <v>05202-316814 ANT</v>
          </cell>
          <cell r="C508">
            <v>0</v>
          </cell>
          <cell r="F508" t="str">
            <v>MAT:</v>
          </cell>
          <cell r="G508">
            <v>0</v>
          </cell>
          <cell r="H508">
            <v>0</v>
          </cell>
          <cell r="I508">
            <v>0</v>
          </cell>
        </row>
        <row r="509">
          <cell r="B509">
            <v>0</v>
          </cell>
          <cell r="C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</row>
        <row r="515">
          <cell r="B515" t="str">
            <v>2.11</v>
          </cell>
          <cell r="C515" t="str">
            <v>DESCRIPCION:</v>
          </cell>
          <cell r="D515" t="str">
            <v>CAJA DE INSPECCION RECTANGULAR 1*1 H=1.2M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</row>
        <row r="516">
          <cell r="B516" t="str">
            <v>PAR-19</v>
          </cell>
          <cell r="C516">
            <v>0</v>
          </cell>
          <cell r="D516" t="str">
            <v>UNIDAD</v>
          </cell>
          <cell r="E516" t="str">
            <v>UNIDAD</v>
          </cell>
          <cell r="F516" t="str">
            <v>CANTIDAD</v>
          </cell>
          <cell r="G516">
            <v>622</v>
          </cell>
          <cell r="H516" t="str">
            <v>V. UNITARIO:</v>
          </cell>
          <cell r="I516">
            <v>743367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 t="str">
            <v>Tarifa/Hora</v>
          </cell>
          <cell r="G518" t="str">
            <v>Rendimiento</v>
          </cell>
          <cell r="H518" t="str">
            <v>Valor-Unit.</v>
          </cell>
          <cell r="I518">
            <v>0</v>
          </cell>
        </row>
        <row r="519">
          <cell r="B519" t="str">
            <v>E016</v>
          </cell>
          <cell r="C519" t="str">
            <v>FORMALETA PARA CAJA INT 60*60</v>
          </cell>
          <cell r="D519">
            <v>0</v>
          </cell>
          <cell r="E519" t="str">
            <v>HORA</v>
          </cell>
          <cell r="F519">
            <v>7500</v>
          </cell>
          <cell r="G519">
            <v>1</v>
          </cell>
          <cell r="H519">
            <v>7500</v>
          </cell>
          <cell r="I519">
            <v>0</v>
          </cell>
        </row>
        <row r="520">
          <cell r="B520" t="str">
            <v>E017</v>
          </cell>
          <cell r="C520" t="str">
            <v>FORMALETA PARA TAPA</v>
          </cell>
          <cell r="D520">
            <v>0</v>
          </cell>
          <cell r="E520" t="str">
            <v>HORA</v>
          </cell>
          <cell r="F520">
            <v>7500</v>
          </cell>
          <cell r="G520">
            <v>1</v>
          </cell>
          <cell r="H520">
            <v>7500</v>
          </cell>
          <cell r="I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 t="str">
            <v>Sub-Total</v>
          </cell>
          <cell r="G521" t="str">
            <v>2.11</v>
          </cell>
          <cell r="H521" t="str">
            <v>EQUI-2.11</v>
          </cell>
          <cell r="I521">
            <v>15000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 t="str">
            <v>UNIDAD</v>
          </cell>
          <cell r="F523" t="str">
            <v>V.UNIT</v>
          </cell>
          <cell r="G523" t="str">
            <v>CANT</v>
          </cell>
          <cell r="H523" t="str">
            <v>V.TOTAL</v>
          </cell>
          <cell r="I523">
            <v>0</v>
          </cell>
        </row>
        <row r="524">
          <cell r="B524" t="str">
            <v>M007</v>
          </cell>
          <cell r="C524" t="str">
            <v>CONCRETO 3000PSI EN OBRA</v>
          </cell>
          <cell r="D524">
            <v>0</v>
          </cell>
          <cell r="E524" t="str">
            <v>M3</v>
          </cell>
          <cell r="F524">
            <v>350000</v>
          </cell>
          <cell r="G524">
            <v>0.6</v>
          </cell>
          <cell r="H524">
            <v>210000</v>
          </cell>
          <cell r="I524">
            <v>0</v>
          </cell>
        </row>
        <row r="525">
          <cell r="B525" t="str">
            <v>M016</v>
          </cell>
          <cell r="C525" t="str">
            <v>HERRAJE PARA CAJ REG 1X1 CON TAPA</v>
          </cell>
          <cell r="D525">
            <v>0</v>
          </cell>
          <cell r="E525" t="str">
            <v>UND</v>
          </cell>
          <cell r="F525">
            <v>290000</v>
          </cell>
          <cell r="G525">
            <v>1</v>
          </cell>
          <cell r="H525">
            <v>290000</v>
          </cell>
          <cell r="I525">
            <v>0</v>
          </cell>
        </row>
        <row r="526">
          <cell r="B526" t="str">
            <v>M002</v>
          </cell>
          <cell r="C526" t="str">
            <v>ACERO  60000 PSI</v>
          </cell>
          <cell r="D526">
            <v>0</v>
          </cell>
          <cell r="E526" t="str">
            <v>KG</v>
          </cell>
          <cell r="F526">
            <v>5400</v>
          </cell>
          <cell r="G526">
            <v>14.4</v>
          </cell>
          <cell r="H526">
            <v>77760</v>
          </cell>
          <cell r="I526">
            <v>0</v>
          </cell>
        </row>
        <row r="527">
          <cell r="B527" t="str">
            <v>M001</v>
          </cell>
          <cell r="C527" t="str">
            <v>ALAMBRE QUEMADO</v>
          </cell>
          <cell r="D527">
            <v>0</v>
          </cell>
          <cell r="E527" t="str">
            <v>KG</v>
          </cell>
          <cell r="F527">
            <v>4500</v>
          </cell>
          <cell r="G527">
            <v>0.57600000000000007</v>
          </cell>
          <cell r="H527">
            <v>2592.0000000000005</v>
          </cell>
          <cell r="I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 t="str">
            <v>Sub-Total</v>
          </cell>
          <cell r="G528" t="str">
            <v>2.11</v>
          </cell>
          <cell r="H528" t="str">
            <v>MAT-2.11</v>
          </cell>
          <cell r="I528">
            <v>580352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</row>
        <row r="530">
          <cell r="B530">
            <v>0</v>
          </cell>
          <cell r="C530">
            <v>0</v>
          </cell>
          <cell r="D530" t="str">
            <v xml:space="preserve">CAN </v>
          </cell>
          <cell r="E530" t="str">
            <v>DISTANCIA</v>
          </cell>
          <cell r="F530" t="str">
            <v>M3-Km / UN-KM</v>
          </cell>
          <cell r="G530" t="str">
            <v>TARIFA</v>
          </cell>
          <cell r="H530" t="str">
            <v>Valor-Unit.</v>
          </cell>
          <cell r="I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 t="str">
            <v>Sub-Total</v>
          </cell>
          <cell r="G532" t="str">
            <v>2.11</v>
          </cell>
          <cell r="H532" t="str">
            <v>TRAN-2.11</v>
          </cell>
          <cell r="I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</row>
        <row r="534">
          <cell r="B534">
            <v>0</v>
          </cell>
          <cell r="C534">
            <v>0</v>
          </cell>
          <cell r="D534" t="str">
            <v>JORNAL-HORA</v>
          </cell>
          <cell r="E534" t="str">
            <v>PRES</v>
          </cell>
          <cell r="F534" t="str">
            <v>Jornal Total</v>
          </cell>
          <cell r="G534" t="str">
            <v>Rendimiento</v>
          </cell>
          <cell r="H534" t="str">
            <v>Valor-Unit.</v>
          </cell>
          <cell r="I534">
            <v>0</v>
          </cell>
        </row>
        <row r="535">
          <cell r="B535" t="str">
            <v>MO004</v>
          </cell>
          <cell r="C535" t="str">
            <v>OFICIAL ENTUBADOR</v>
          </cell>
          <cell r="D535">
            <v>3785.5250000000001</v>
          </cell>
          <cell r="E535">
            <v>0</v>
          </cell>
          <cell r="F535">
            <v>3785.5250000000001</v>
          </cell>
          <cell r="G535">
            <v>9</v>
          </cell>
          <cell r="H535">
            <v>34069.724999999999</v>
          </cell>
          <cell r="I535">
            <v>0</v>
          </cell>
        </row>
        <row r="536">
          <cell r="B536" t="str">
            <v>MO005</v>
          </cell>
          <cell r="C536" t="str">
            <v>AYUDANTE ENTENDIDO PAV</v>
          </cell>
          <cell r="D536">
            <v>3785.5250000000001</v>
          </cell>
          <cell r="E536">
            <v>0</v>
          </cell>
          <cell r="F536">
            <v>3785.5250000000001</v>
          </cell>
          <cell r="G536">
            <v>9</v>
          </cell>
          <cell r="H536">
            <v>34069.724999999999</v>
          </cell>
          <cell r="I536">
            <v>0</v>
          </cell>
        </row>
        <row r="537">
          <cell r="B537" t="str">
            <v>MO006</v>
          </cell>
          <cell r="C537" t="str">
            <v>AYUDANTE ENTUBADOR</v>
          </cell>
          <cell r="D537">
            <v>3785.5250000000001</v>
          </cell>
          <cell r="E537">
            <v>0</v>
          </cell>
          <cell r="F537">
            <v>3785.5250000000001</v>
          </cell>
          <cell r="G537">
            <v>18</v>
          </cell>
          <cell r="H537">
            <v>68139.45</v>
          </cell>
          <cell r="I537">
            <v>0</v>
          </cell>
        </row>
        <row r="538">
          <cell r="B538" t="str">
            <v>MO007</v>
          </cell>
          <cell r="C538" t="str">
            <v>CONTRAMAESTRO</v>
          </cell>
          <cell r="D538">
            <v>5208.333333333333</v>
          </cell>
          <cell r="E538">
            <v>0</v>
          </cell>
          <cell r="F538">
            <v>5208.333333333333</v>
          </cell>
          <cell r="G538">
            <v>0.9</v>
          </cell>
          <cell r="H538">
            <v>4687.5</v>
          </cell>
          <cell r="I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 t="str">
            <v>Sub-Total</v>
          </cell>
          <cell r="G539" t="str">
            <v>2.11</v>
          </cell>
          <cell r="H539" t="str">
            <v>MDEO-2.11</v>
          </cell>
          <cell r="I539">
            <v>140966.39999999999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7048.32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 t="str">
            <v>Total Costo Directo</v>
          </cell>
          <cell r="G541">
            <v>0</v>
          </cell>
          <cell r="H541">
            <v>0</v>
          </cell>
          <cell r="I541">
            <v>743367</v>
          </cell>
        </row>
        <row r="542">
          <cell r="B542">
            <v>0</v>
          </cell>
          <cell r="C542">
            <v>0</v>
          </cell>
          <cell r="D542">
            <v>0</v>
          </cell>
          <cell r="E542" t="str">
            <v>PORCENTAJE</v>
          </cell>
          <cell r="F542">
            <v>0</v>
          </cell>
          <cell r="G542" t="str">
            <v>V. COSTO INDERECTO</v>
          </cell>
          <cell r="H542">
            <v>0</v>
          </cell>
          <cell r="I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0.02</v>
          </cell>
          <cell r="F543">
            <v>0</v>
          </cell>
          <cell r="G543">
            <v>14867.34</v>
          </cell>
          <cell r="H543">
            <v>0</v>
          </cell>
          <cell r="I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0.23</v>
          </cell>
          <cell r="F544">
            <v>0</v>
          </cell>
          <cell r="G544">
            <v>170974.41</v>
          </cell>
          <cell r="H544">
            <v>0</v>
          </cell>
          <cell r="I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0.05</v>
          </cell>
          <cell r="F545">
            <v>0</v>
          </cell>
          <cell r="G545">
            <v>37168.35</v>
          </cell>
          <cell r="H545">
            <v>0</v>
          </cell>
          <cell r="I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0.02</v>
          </cell>
          <cell r="F546">
            <v>0</v>
          </cell>
          <cell r="G546">
            <v>14867.34</v>
          </cell>
          <cell r="H546">
            <v>0</v>
          </cell>
          <cell r="I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237877.44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981244.44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 t="str">
            <v>REVISA</v>
          </cell>
          <cell r="G550">
            <v>0</v>
          </cell>
          <cell r="H550">
            <v>0</v>
          </cell>
          <cell r="I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 t="str">
            <v>FIRMA:</v>
          </cell>
          <cell r="G551">
            <v>0</v>
          </cell>
          <cell r="H551">
            <v>0</v>
          </cell>
          <cell r="I551">
            <v>0</v>
          </cell>
        </row>
        <row r="552">
          <cell r="B552" t="str">
            <v>JHON EMIR GAMBOA MENA</v>
          </cell>
          <cell r="C552">
            <v>0</v>
          </cell>
          <cell r="F552" t="str">
            <v>NOMBRE</v>
          </cell>
          <cell r="G552">
            <v>0</v>
          </cell>
          <cell r="H552">
            <v>0</v>
          </cell>
          <cell r="I552">
            <v>0</v>
          </cell>
        </row>
        <row r="553">
          <cell r="B553" t="str">
            <v>05202-316814 ANT</v>
          </cell>
          <cell r="C553">
            <v>0</v>
          </cell>
          <cell r="F553" t="str">
            <v>MAT:</v>
          </cell>
          <cell r="G553">
            <v>0</v>
          </cell>
          <cell r="H553">
            <v>0</v>
          </cell>
          <cell r="I553">
            <v>0</v>
          </cell>
        </row>
        <row r="554">
          <cell r="B554">
            <v>0</v>
          </cell>
          <cell r="C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</row>
        <row r="560">
          <cell r="B560" t="str">
            <v>2.12</v>
          </cell>
          <cell r="C560" t="str">
            <v>DESCRIPCION:</v>
          </cell>
          <cell r="D560" t="str">
            <v>LLENO DE MATERIAL GRANULAR RIO PARA CIMIENTO DE LA TUBERIA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</row>
        <row r="561">
          <cell r="B561" t="str">
            <v>803C-EPM</v>
          </cell>
          <cell r="C561">
            <v>0</v>
          </cell>
          <cell r="D561" t="str">
            <v>UNIDAD</v>
          </cell>
          <cell r="E561" t="str">
            <v>M3</v>
          </cell>
          <cell r="F561" t="str">
            <v>CANTIDAD</v>
          </cell>
          <cell r="G561">
            <v>1936</v>
          </cell>
          <cell r="H561" t="str">
            <v>V. UNITARIO:</v>
          </cell>
          <cell r="I561">
            <v>76261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 t="str">
            <v>Tarifa/Hora</v>
          </cell>
          <cell r="G563" t="str">
            <v>Rendimiento</v>
          </cell>
          <cell r="H563" t="str">
            <v>Valor-Unit.</v>
          </cell>
          <cell r="I563">
            <v>0</v>
          </cell>
        </row>
        <row r="564">
          <cell r="B564" t="str">
            <v>E001</v>
          </cell>
          <cell r="C564" t="str">
            <v>COMPACTADOR TIPO CANGURO</v>
          </cell>
          <cell r="D564">
            <v>0</v>
          </cell>
          <cell r="E564">
            <v>0</v>
          </cell>
          <cell r="F564">
            <v>7500</v>
          </cell>
          <cell r="G564">
            <v>0.5</v>
          </cell>
          <cell r="H564">
            <v>3750</v>
          </cell>
          <cell r="I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 t="str">
            <v>Sub-Total</v>
          </cell>
          <cell r="G565" t="str">
            <v>2.12</v>
          </cell>
          <cell r="H565" t="str">
            <v>EQUI-2.12</v>
          </cell>
          <cell r="I565">
            <v>3750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 t="str">
            <v>UNIDAD</v>
          </cell>
          <cell r="F567" t="str">
            <v>V.UNIT</v>
          </cell>
          <cell r="G567" t="str">
            <v>CANT</v>
          </cell>
          <cell r="H567" t="str">
            <v>V.TOTAL</v>
          </cell>
          <cell r="I567">
            <v>0</v>
          </cell>
        </row>
        <row r="568">
          <cell r="B568" t="str">
            <v>M010</v>
          </cell>
          <cell r="C568" t="str">
            <v>MATERIAL GRANULAR DE PRESTAMO</v>
          </cell>
          <cell r="D568">
            <v>0</v>
          </cell>
          <cell r="E568" t="str">
            <v>M3</v>
          </cell>
          <cell r="F568">
            <v>29500</v>
          </cell>
          <cell r="G568">
            <v>1.25</v>
          </cell>
          <cell r="H568">
            <v>36875</v>
          </cell>
          <cell r="I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 t="str">
            <v>Sub-Total</v>
          </cell>
          <cell r="G569" t="str">
            <v>2.12</v>
          </cell>
          <cell r="H569" t="str">
            <v>MAT-2.12</v>
          </cell>
          <cell r="I569">
            <v>36875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B571">
            <v>0</v>
          </cell>
          <cell r="C571">
            <v>0</v>
          </cell>
          <cell r="D571" t="str">
            <v xml:space="preserve">CAN </v>
          </cell>
          <cell r="E571" t="str">
            <v>DISTANCIA</v>
          </cell>
          <cell r="F571" t="str">
            <v>M3-Km / UN-KM</v>
          </cell>
          <cell r="G571" t="str">
            <v>TARIFA</v>
          </cell>
          <cell r="H571" t="str">
            <v>Valor-Unit.</v>
          </cell>
          <cell r="I571">
            <v>0</v>
          </cell>
        </row>
        <row r="572">
          <cell r="B572" t="str">
            <v>T008</v>
          </cell>
          <cell r="C572" t="str">
            <v>TRANS MATERIAL &gt; 10 KM</v>
          </cell>
          <cell r="D572">
            <v>1.25</v>
          </cell>
          <cell r="E572">
            <v>24</v>
          </cell>
          <cell r="F572">
            <v>30</v>
          </cell>
          <cell r="G572">
            <v>980</v>
          </cell>
          <cell r="H572">
            <v>29400</v>
          </cell>
          <cell r="I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 t="str">
            <v>Sub-Total</v>
          </cell>
          <cell r="G573" t="str">
            <v>2.12</v>
          </cell>
          <cell r="H573" t="str">
            <v>TRAN-2.12</v>
          </cell>
          <cell r="I573">
            <v>29400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B575">
            <v>0</v>
          </cell>
          <cell r="C575">
            <v>0</v>
          </cell>
          <cell r="D575" t="str">
            <v>JORNAL-HORA</v>
          </cell>
          <cell r="E575" t="str">
            <v>PRES</v>
          </cell>
          <cell r="F575" t="str">
            <v>Jornal Total</v>
          </cell>
          <cell r="G575" t="str">
            <v>Rendimiento</v>
          </cell>
          <cell r="H575" t="str">
            <v>Valor-Unit.</v>
          </cell>
          <cell r="I575">
            <v>0</v>
          </cell>
        </row>
        <row r="576">
          <cell r="B576" t="str">
            <v>MO004</v>
          </cell>
          <cell r="C576" t="str">
            <v>OFICIAL ENTUBADOR</v>
          </cell>
          <cell r="D576">
            <v>3785.5250000000001</v>
          </cell>
          <cell r="E576">
            <v>0</v>
          </cell>
          <cell r="F576">
            <v>3785.5250000000001</v>
          </cell>
          <cell r="G576">
            <v>0.5</v>
          </cell>
          <cell r="H576">
            <v>1892.7625</v>
          </cell>
          <cell r="I576">
            <v>0</v>
          </cell>
        </row>
        <row r="577">
          <cell r="B577" t="str">
            <v>MO005</v>
          </cell>
          <cell r="C577" t="str">
            <v>AYUDANTE ENTENDIDO PAV</v>
          </cell>
          <cell r="D577">
            <v>3785.5250000000001</v>
          </cell>
          <cell r="E577">
            <v>0</v>
          </cell>
          <cell r="F577">
            <v>3785.5250000000001</v>
          </cell>
          <cell r="G577">
            <v>0.5</v>
          </cell>
          <cell r="H577">
            <v>1892.7625</v>
          </cell>
          <cell r="I577">
            <v>0</v>
          </cell>
        </row>
        <row r="578">
          <cell r="B578" t="str">
            <v>MO006</v>
          </cell>
          <cell r="C578" t="str">
            <v>AYUDANTE ENTUBADOR</v>
          </cell>
          <cell r="D578">
            <v>3785.5250000000001</v>
          </cell>
          <cell r="E578">
            <v>0</v>
          </cell>
          <cell r="F578">
            <v>3785.5250000000001</v>
          </cell>
          <cell r="G578">
            <v>0.5</v>
          </cell>
          <cell r="H578">
            <v>1892.7625</v>
          </cell>
          <cell r="I578">
            <v>0</v>
          </cell>
        </row>
        <row r="579">
          <cell r="B579" t="str">
            <v>MO007</v>
          </cell>
          <cell r="C579" t="str">
            <v>CONTRAMAESTRO</v>
          </cell>
          <cell r="D579">
            <v>5208.333333333333</v>
          </cell>
          <cell r="E579">
            <v>0</v>
          </cell>
          <cell r="F579">
            <v>5208.333333333333</v>
          </cell>
          <cell r="G579">
            <v>0.05</v>
          </cell>
          <cell r="H579">
            <v>260.41666666666669</v>
          </cell>
          <cell r="I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 t="str">
            <v>Sub-Total</v>
          </cell>
          <cell r="G581" t="str">
            <v>2.12</v>
          </cell>
          <cell r="H581" t="str">
            <v>MDEO-2.12</v>
          </cell>
          <cell r="I581">
            <v>5938.7041666666673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296.93520833333338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 t="str">
            <v>Total Costo Directo</v>
          </cell>
          <cell r="G583">
            <v>0</v>
          </cell>
          <cell r="H583">
            <v>0</v>
          </cell>
          <cell r="I583">
            <v>76261</v>
          </cell>
        </row>
        <row r="584">
          <cell r="B584">
            <v>0</v>
          </cell>
          <cell r="C584">
            <v>0</v>
          </cell>
          <cell r="D584">
            <v>0</v>
          </cell>
          <cell r="E584" t="str">
            <v>PORCENTAJE</v>
          </cell>
          <cell r="F584">
            <v>0</v>
          </cell>
          <cell r="G584" t="str">
            <v>V. COSTO INDERECTO</v>
          </cell>
          <cell r="H584">
            <v>0</v>
          </cell>
          <cell r="I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0.02</v>
          </cell>
          <cell r="F585">
            <v>0</v>
          </cell>
          <cell r="G585">
            <v>1525.22</v>
          </cell>
          <cell r="H585">
            <v>0</v>
          </cell>
          <cell r="I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0.23</v>
          </cell>
          <cell r="F586">
            <v>0</v>
          </cell>
          <cell r="G586">
            <v>17540.030000000002</v>
          </cell>
          <cell r="H586">
            <v>0</v>
          </cell>
          <cell r="I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0.05</v>
          </cell>
          <cell r="F587">
            <v>0</v>
          </cell>
          <cell r="G587">
            <v>3813.05</v>
          </cell>
          <cell r="H587">
            <v>0</v>
          </cell>
          <cell r="I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0.02</v>
          </cell>
          <cell r="F588">
            <v>0</v>
          </cell>
          <cell r="G588">
            <v>1525.22</v>
          </cell>
          <cell r="H588">
            <v>0</v>
          </cell>
          <cell r="I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24403.520000000004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100664.52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 t="str">
            <v>REVISA</v>
          </cell>
          <cell r="G592">
            <v>0</v>
          </cell>
          <cell r="H592">
            <v>0</v>
          </cell>
          <cell r="I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 t="str">
            <v>FIRMA:</v>
          </cell>
          <cell r="G593">
            <v>0</v>
          </cell>
          <cell r="H593">
            <v>0</v>
          </cell>
          <cell r="I593">
            <v>0</v>
          </cell>
        </row>
        <row r="594">
          <cell r="B594" t="str">
            <v>JHON EMIR GAMBOA MENA</v>
          </cell>
          <cell r="C594">
            <v>0</v>
          </cell>
          <cell r="F594" t="str">
            <v>NOMBRE</v>
          </cell>
          <cell r="G594">
            <v>0</v>
          </cell>
          <cell r="H594">
            <v>0</v>
          </cell>
          <cell r="I594">
            <v>0</v>
          </cell>
        </row>
        <row r="595">
          <cell r="B595" t="str">
            <v>05202-316814 ANT</v>
          </cell>
          <cell r="C595">
            <v>0</v>
          </cell>
          <cell r="F595" t="str">
            <v>MAT:</v>
          </cell>
          <cell r="G595">
            <v>0</v>
          </cell>
          <cell r="H595">
            <v>0</v>
          </cell>
          <cell r="I595">
            <v>0</v>
          </cell>
        </row>
        <row r="596">
          <cell r="B596">
            <v>0</v>
          </cell>
          <cell r="C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</row>
        <row r="601">
          <cell r="B601" t="str">
            <v>2.13</v>
          </cell>
          <cell r="C601" t="str">
            <v>DESCRIPCION:</v>
          </cell>
          <cell r="D601" t="str">
            <v xml:space="preserve">LLENO CON MATERIAL DE PRESTAMO LIMO 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</row>
        <row r="602">
          <cell r="B602" t="str">
            <v>PAR-20</v>
          </cell>
          <cell r="C602">
            <v>0</v>
          </cell>
          <cell r="D602" t="str">
            <v>UNIDAD</v>
          </cell>
          <cell r="E602" t="str">
            <v>M3</v>
          </cell>
          <cell r="F602" t="str">
            <v>CANTIDAD</v>
          </cell>
          <cell r="G602">
            <v>6</v>
          </cell>
          <cell r="H602" t="str">
            <v>V. UNITARIO:</v>
          </cell>
          <cell r="I602">
            <v>42810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 t="str">
            <v>Tarifa/Hora</v>
          </cell>
          <cell r="G604" t="str">
            <v>Rendimiento</v>
          </cell>
          <cell r="H604" t="str">
            <v>Valor-Unit.</v>
          </cell>
          <cell r="I604">
            <v>0</v>
          </cell>
        </row>
        <row r="605">
          <cell r="B605" t="str">
            <v>E001</v>
          </cell>
          <cell r="C605" t="str">
            <v>COMPACTADOR TIPO CANGURO</v>
          </cell>
          <cell r="D605">
            <v>0</v>
          </cell>
          <cell r="E605" t="str">
            <v>HORA</v>
          </cell>
          <cell r="F605">
            <v>7500</v>
          </cell>
          <cell r="G605">
            <v>0.5</v>
          </cell>
          <cell r="H605">
            <v>3750</v>
          </cell>
          <cell r="I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 t="str">
            <v>Sub-Total</v>
          </cell>
          <cell r="G606" t="str">
            <v>2.13</v>
          </cell>
          <cell r="H606" t="str">
            <v>EQUI-2.13</v>
          </cell>
          <cell r="I606">
            <v>3750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 t="str">
            <v>UNIDAD</v>
          </cell>
          <cell r="F608" t="str">
            <v>V.UNIT</v>
          </cell>
          <cell r="G608" t="str">
            <v>CANT</v>
          </cell>
          <cell r="H608" t="str">
            <v>V.TOTAL</v>
          </cell>
          <cell r="I608">
            <v>0</v>
          </cell>
        </row>
        <row r="609">
          <cell r="B609" t="str">
            <v>M012</v>
          </cell>
          <cell r="C609" t="str">
            <v>MATERIAL TIPO LIMO DE PRESTAMO</v>
          </cell>
          <cell r="D609">
            <v>0</v>
          </cell>
          <cell r="E609" t="str">
            <v>M3</v>
          </cell>
          <cell r="F609">
            <v>22000</v>
          </cell>
          <cell r="G609">
            <v>1.1000000000000001</v>
          </cell>
          <cell r="H609">
            <v>24200.000000000004</v>
          </cell>
          <cell r="I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 t="str">
            <v>Sub-Total</v>
          </cell>
          <cell r="G610" t="str">
            <v>2.13</v>
          </cell>
          <cell r="H610" t="str">
            <v>MAT-2.13</v>
          </cell>
          <cell r="I610">
            <v>24200.000000000004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</row>
        <row r="612">
          <cell r="B612">
            <v>0</v>
          </cell>
          <cell r="C612">
            <v>0</v>
          </cell>
          <cell r="D612" t="str">
            <v xml:space="preserve">CAN </v>
          </cell>
          <cell r="E612" t="str">
            <v>DISTANCIA</v>
          </cell>
          <cell r="F612" t="str">
            <v>M3-Km / UN-KM</v>
          </cell>
          <cell r="G612" t="str">
            <v>TARIFA</v>
          </cell>
          <cell r="H612" t="str">
            <v>Valor-Unit.</v>
          </cell>
          <cell r="I612">
            <v>0</v>
          </cell>
        </row>
        <row r="613">
          <cell r="B613" t="str">
            <v>T008</v>
          </cell>
          <cell r="C613" t="str">
            <v>TRANS MATERIAL &gt; 10 KM</v>
          </cell>
          <cell r="D613">
            <v>1.1000000000000001</v>
          </cell>
          <cell r="E613">
            <v>8</v>
          </cell>
          <cell r="F613">
            <v>8.8000000000000007</v>
          </cell>
          <cell r="G613">
            <v>980</v>
          </cell>
          <cell r="H613">
            <v>8624</v>
          </cell>
          <cell r="I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 t="str">
            <v>Sub-Total</v>
          </cell>
          <cell r="G614" t="str">
            <v>2.13</v>
          </cell>
          <cell r="H614" t="str">
            <v>TRAN-2.13</v>
          </cell>
          <cell r="I614">
            <v>8624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</row>
        <row r="616">
          <cell r="B616">
            <v>0</v>
          </cell>
          <cell r="C616">
            <v>0</v>
          </cell>
          <cell r="D616" t="str">
            <v>JORNAL-HORA</v>
          </cell>
          <cell r="E616" t="str">
            <v>PRES</v>
          </cell>
          <cell r="F616" t="str">
            <v>Jornal Total</v>
          </cell>
          <cell r="G616" t="str">
            <v>Rendimiento</v>
          </cell>
          <cell r="H616" t="str">
            <v>Valor-Unit.</v>
          </cell>
          <cell r="I616">
            <v>0</v>
          </cell>
        </row>
        <row r="617">
          <cell r="B617" t="str">
            <v>MO004</v>
          </cell>
          <cell r="C617" t="str">
            <v>OFICIAL ENTUBADOR</v>
          </cell>
          <cell r="D617">
            <v>3785.5250000000001</v>
          </cell>
          <cell r="E617">
            <v>0</v>
          </cell>
          <cell r="F617">
            <v>3785.5250000000001</v>
          </cell>
          <cell r="G617">
            <v>0.5</v>
          </cell>
          <cell r="H617">
            <v>1892.7625</v>
          </cell>
          <cell r="I617">
            <v>0</v>
          </cell>
        </row>
        <row r="618">
          <cell r="B618" t="str">
            <v>MO005</v>
          </cell>
          <cell r="C618" t="str">
            <v>AYUDANTE ENTENDIDO PAV</v>
          </cell>
          <cell r="D618">
            <v>3785.5250000000001</v>
          </cell>
          <cell r="E618">
            <v>0</v>
          </cell>
          <cell r="F618">
            <v>3785.5250000000001</v>
          </cell>
          <cell r="G618">
            <v>0</v>
          </cell>
          <cell r="H618">
            <v>0</v>
          </cell>
          <cell r="I618">
            <v>0</v>
          </cell>
        </row>
        <row r="619">
          <cell r="B619" t="str">
            <v>MO006</v>
          </cell>
          <cell r="C619" t="str">
            <v>AYUDANTE ENTUBADOR</v>
          </cell>
          <cell r="D619">
            <v>3785.5250000000001</v>
          </cell>
          <cell r="E619">
            <v>0</v>
          </cell>
          <cell r="F619">
            <v>3785.5250000000001</v>
          </cell>
          <cell r="G619">
            <v>1</v>
          </cell>
          <cell r="H619">
            <v>3785.5250000000001</v>
          </cell>
          <cell r="I619">
            <v>0</v>
          </cell>
        </row>
        <row r="620">
          <cell r="B620" t="str">
            <v>MO007</v>
          </cell>
          <cell r="C620" t="str">
            <v>CONTRAMAESTRO</v>
          </cell>
          <cell r="D620">
            <v>5208.333333333333</v>
          </cell>
          <cell r="E620">
            <v>0</v>
          </cell>
          <cell r="F620">
            <v>5208.333333333333</v>
          </cell>
          <cell r="G620">
            <v>0.05</v>
          </cell>
          <cell r="H620">
            <v>260.41666666666669</v>
          </cell>
          <cell r="I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 t="str">
            <v>Sub-Total</v>
          </cell>
          <cell r="G622" t="str">
            <v>2.13</v>
          </cell>
          <cell r="H622" t="str">
            <v>MDEO-2.13</v>
          </cell>
          <cell r="I622">
            <v>5938.7041666666673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296.93520833333338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 t="str">
            <v>Total Costo Directo</v>
          </cell>
          <cell r="G624">
            <v>0</v>
          </cell>
          <cell r="H624">
            <v>0</v>
          </cell>
          <cell r="I624">
            <v>42810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 t="str">
            <v>PORCENTAJE</v>
          </cell>
          <cell r="F625">
            <v>0</v>
          </cell>
          <cell r="G625" t="str">
            <v>V. COSTO INDERECTO</v>
          </cell>
          <cell r="H625">
            <v>0</v>
          </cell>
          <cell r="I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0.02</v>
          </cell>
          <cell r="F626">
            <v>0</v>
          </cell>
          <cell r="G626">
            <v>856.2</v>
          </cell>
          <cell r="H626">
            <v>0</v>
          </cell>
          <cell r="I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0.23</v>
          </cell>
          <cell r="F627">
            <v>0</v>
          </cell>
          <cell r="G627">
            <v>9846.3000000000011</v>
          </cell>
          <cell r="H627">
            <v>0</v>
          </cell>
          <cell r="I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0.05</v>
          </cell>
          <cell r="F628">
            <v>0</v>
          </cell>
          <cell r="G628">
            <v>2140.5</v>
          </cell>
          <cell r="H628">
            <v>0</v>
          </cell>
          <cell r="I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0.02</v>
          </cell>
          <cell r="F629">
            <v>0</v>
          </cell>
          <cell r="G629">
            <v>856.2</v>
          </cell>
          <cell r="H629">
            <v>0</v>
          </cell>
          <cell r="I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13699.200000000003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56509.200000000004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 t="str">
            <v>REVISA</v>
          </cell>
          <cell r="G633">
            <v>0</v>
          </cell>
          <cell r="H633">
            <v>0</v>
          </cell>
          <cell r="I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 t="str">
            <v>FIRMA:</v>
          </cell>
          <cell r="G634">
            <v>0</v>
          </cell>
          <cell r="H634">
            <v>0</v>
          </cell>
          <cell r="I634">
            <v>0</v>
          </cell>
        </row>
        <row r="635">
          <cell r="B635" t="str">
            <v>JHON EMIR GAMBOA MENA</v>
          </cell>
          <cell r="C635">
            <v>0</v>
          </cell>
          <cell r="F635" t="str">
            <v>NOMBRE</v>
          </cell>
          <cell r="G635">
            <v>0</v>
          </cell>
          <cell r="H635">
            <v>0</v>
          </cell>
          <cell r="I635">
            <v>0</v>
          </cell>
        </row>
        <row r="636">
          <cell r="B636" t="str">
            <v>05202-316814 ANT</v>
          </cell>
          <cell r="C636">
            <v>0</v>
          </cell>
          <cell r="F636" t="str">
            <v>MAT:</v>
          </cell>
          <cell r="G636">
            <v>0</v>
          </cell>
          <cell r="H636">
            <v>0</v>
          </cell>
          <cell r="I636">
            <v>0</v>
          </cell>
        </row>
        <row r="637">
          <cell r="B637">
            <v>0</v>
          </cell>
          <cell r="C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</row>
        <row r="643">
          <cell r="B643" t="str">
            <v>2.14</v>
          </cell>
          <cell r="C643" t="str">
            <v>DESCRIPCION:</v>
          </cell>
          <cell r="D643" t="str">
            <v xml:space="preserve">CAJA TIPO SUMIDERO 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</row>
        <row r="644">
          <cell r="B644" t="str">
            <v>PAR-17</v>
          </cell>
          <cell r="C644">
            <v>0</v>
          </cell>
          <cell r="D644" t="str">
            <v>UNIDAD</v>
          </cell>
          <cell r="E644" t="str">
            <v>UNIDAD</v>
          </cell>
          <cell r="F644" t="str">
            <v>CANTIDAD</v>
          </cell>
          <cell r="G644">
            <v>464</v>
          </cell>
          <cell r="H644" t="str">
            <v>V. UNITARIO:</v>
          </cell>
          <cell r="I644">
            <v>843132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 t="str">
            <v>Tarifa/Hora</v>
          </cell>
          <cell r="G646" t="str">
            <v>Rendimiento</v>
          </cell>
          <cell r="H646" t="str">
            <v>Valor-Unit.</v>
          </cell>
          <cell r="I646">
            <v>0</v>
          </cell>
        </row>
        <row r="647">
          <cell r="B647" t="str">
            <v>E016</v>
          </cell>
          <cell r="C647" t="str">
            <v>FORMALETA PARA CAJA</v>
          </cell>
          <cell r="D647">
            <v>0</v>
          </cell>
          <cell r="E647">
            <v>0</v>
          </cell>
          <cell r="F647">
            <v>7500</v>
          </cell>
          <cell r="G647">
            <v>2</v>
          </cell>
          <cell r="H647">
            <v>15000</v>
          </cell>
          <cell r="I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 t="str">
            <v>Sub-Total</v>
          </cell>
          <cell r="G648" t="str">
            <v>2.14</v>
          </cell>
          <cell r="H648" t="str">
            <v>EQUI-2.14</v>
          </cell>
          <cell r="I648">
            <v>15000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 t="str">
            <v>UNIDAD</v>
          </cell>
          <cell r="F650" t="str">
            <v>V.UNIT</v>
          </cell>
          <cell r="G650" t="str">
            <v>CANT</v>
          </cell>
          <cell r="H650" t="str">
            <v>V.TOTAL</v>
          </cell>
          <cell r="I650">
            <v>0</v>
          </cell>
        </row>
        <row r="651">
          <cell r="B651" t="str">
            <v>M028</v>
          </cell>
          <cell r="C651" t="str">
            <v>REJILLA TIPO SUMIDERO</v>
          </cell>
          <cell r="D651">
            <v>0</v>
          </cell>
          <cell r="E651" t="str">
            <v>Unidad</v>
          </cell>
          <cell r="F651">
            <v>480000</v>
          </cell>
          <cell r="G651">
            <v>1</v>
          </cell>
          <cell r="H651">
            <v>480000</v>
          </cell>
          <cell r="I651">
            <v>0</v>
          </cell>
        </row>
        <row r="652">
          <cell r="B652" t="str">
            <v>M007</v>
          </cell>
          <cell r="C652" t="str">
            <v>CONCRETO 3000PSI EN OBRA</v>
          </cell>
          <cell r="D652">
            <v>0</v>
          </cell>
          <cell r="E652" t="str">
            <v>M3</v>
          </cell>
          <cell r="F652">
            <v>350000</v>
          </cell>
          <cell r="G652">
            <v>0.5</v>
          </cell>
          <cell r="H652">
            <v>175000</v>
          </cell>
          <cell r="I652">
            <v>0</v>
          </cell>
        </row>
        <row r="653">
          <cell r="B653" t="str">
            <v>M002</v>
          </cell>
          <cell r="C653" t="str">
            <v>ACERO  60000 PSI</v>
          </cell>
          <cell r="D653">
            <v>0</v>
          </cell>
          <cell r="E653" t="str">
            <v>KG</v>
          </cell>
          <cell r="F653">
            <v>5400</v>
          </cell>
          <cell r="G653">
            <v>6</v>
          </cell>
          <cell r="H653">
            <v>32400</v>
          </cell>
          <cell r="I653">
            <v>0</v>
          </cell>
        </row>
        <row r="654">
          <cell r="B654" t="str">
            <v>M001</v>
          </cell>
          <cell r="C654" t="str">
            <v>ALAMBRE QUEMADO</v>
          </cell>
          <cell r="D654">
            <v>0</v>
          </cell>
          <cell r="E654" t="str">
            <v>KG</v>
          </cell>
          <cell r="F654">
            <v>4500</v>
          </cell>
          <cell r="G654">
            <v>0.24</v>
          </cell>
          <cell r="H654">
            <v>1080</v>
          </cell>
          <cell r="I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 t="str">
            <v>Sub-Total</v>
          </cell>
          <cell r="G655" t="str">
            <v>2.14</v>
          </cell>
          <cell r="H655" t="str">
            <v>MAT-2.14</v>
          </cell>
          <cell r="I655">
            <v>688480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</row>
        <row r="657">
          <cell r="B657">
            <v>0</v>
          </cell>
          <cell r="C657">
            <v>0</v>
          </cell>
          <cell r="D657" t="str">
            <v xml:space="preserve">CAN </v>
          </cell>
          <cell r="E657" t="str">
            <v>DISTANCIA</v>
          </cell>
          <cell r="F657" t="str">
            <v>M3-Km / UN-KM</v>
          </cell>
          <cell r="G657" t="str">
            <v>TARIFA</v>
          </cell>
          <cell r="H657" t="str">
            <v>Valor-Unit.</v>
          </cell>
          <cell r="I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 t="str">
            <v>Sub-Total</v>
          </cell>
          <cell r="G659" t="str">
            <v>2.14</v>
          </cell>
          <cell r="H659" t="str">
            <v>TRAN-2.14</v>
          </cell>
          <cell r="I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</row>
        <row r="661">
          <cell r="B661">
            <v>0</v>
          </cell>
          <cell r="C661">
            <v>0</v>
          </cell>
          <cell r="D661" t="str">
            <v>JORNAL-HORA</v>
          </cell>
          <cell r="E661" t="str">
            <v>PRES</v>
          </cell>
          <cell r="F661" t="str">
            <v>JORNAL TOTAL</v>
          </cell>
          <cell r="G661" t="str">
            <v>RENDIEMIENTO</v>
          </cell>
          <cell r="H661" t="str">
            <v>VALOR-UNIT</v>
          </cell>
          <cell r="I661">
            <v>0</v>
          </cell>
        </row>
        <row r="662">
          <cell r="B662" t="str">
            <v>MO004</v>
          </cell>
          <cell r="C662" t="str">
            <v>OFICIAL ENTUBADOR</v>
          </cell>
          <cell r="D662">
            <v>3785.5250000000001</v>
          </cell>
          <cell r="E662">
            <v>0</v>
          </cell>
          <cell r="F662">
            <v>3785.5250000000001</v>
          </cell>
          <cell r="G662">
            <v>5</v>
          </cell>
          <cell r="H662">
            <v>18927.625</v>
          </cell>
          <cell r="I662">
            <v>0</v>
          </cell>
        </row>
        <row r="663">
          <cell r="B663" t="str">
            <v>MO005</v>
          </cell>
          <cell r="C663" t="str">
            <v>AYUDANTE ENTENDIDO PAV</v>
          </cell>
          <cell r="D663">
            <v>3785.5250000000001</v>
          </cell>
          <cell r="E663">
            <v>0</v>
          </cell>
          <cell r="F663">
            <v>3785.5250000000001</v>
          </cell>
          <cell r="G663">
            <v>5</v>
          </cell>
          <cell r="H663">
            <v>18927.625</v>
          </cell>
          <cell r="I663">
            <v>0</v>
          </cell>
        </row>
        <row r="664">
          <cell r="B664" t="str">
            <v>MO006</v>
          </cell>
          <cell r="C664" t="str">
            <v>AYUDANTE ENTUBADOR</v>
          </cell>
          <cell r="D664">
            <v>3785.5250000000001</v>
          </cell>
          <cell r="E664">
            <v>0</v>
          </cell>
          <cell r="F664">
            <v>3785.5250000000001</v>
          </cell>
          <cell r="G664">
            <v>10</v>
          </cell>
          <cell r="H664">
            <v>37855.25</v>
          </cell>
          <cell r="I664">
            <v>0</v>
          </cell>
        </row>
        <row r="665">
          <cell r="B665" t="str">
            <v>MO007</v>
          </cell>
          <cell r="C665" t="str">
            <v>CONTRAMAESTRO</v>
          </cell>
          <cell r="D665">
            <v>5208.333333333333</v>
          </cell>
          <cell r="E665">
            <v>0</v>
          </cell>
          <cell r="F665">
            <v>5208.333333333333</v>
          </cell>
          <cell r="G665">
            <v>11</v>
          </cell>
          <cell r="H665">
            <v>57291.666666666664</v>
          </cell>
          <cell r="I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 t="str">
            <v>Sub-Total</v>
          </cell>
          <cell r="G666" t="str">
            <v>2.14</v>
          </cell>
          <cell r="H666" t="str">
            <v>MDEO-2.14</v>
          </cell>
          <cell r="I666">
            <v>133002.16666666666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6650.1083333333336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 t="str">
            <v>Total Costo Directo</v>
          </cell>
          <cell r="G668">
            <v>0</v>
          </cell>
          <cell r="H668">
            <v>0</v>
          </cell>
          <cell r="I668">
            <v>843132</v>
          </cell>
        </row>
        <row r="669">
          <cell r="B669">
            <v>0</v>
          </cell>
          <cell r="C669">
            <v>0</v>
          </cell>
          <cell r="D669">
            <v>0</v>
          </cell>
          <cell r="E669" t="str">
            <v>PORCENTAJE</v>
          </cell>
          <cell r="F669">
            <v>0</v>
          </cell>
          <cell r="G669" t="str">
            <v>V. COSTO INDERECTO</v>
          </cell>
          <cell r="H669">
            <v>0</v>
          </cell>
          <cell r="I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0.02</v>
          </cell>
          <cell r="F670">
            <v>0</v>
          </cell>
          <cell r="G670">
            <v>16862.64</v>
          </cell>
          <cell r="H670">
            <v>0</v>
          </cell>
          <cell r="I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0.23</v>
          </cell>
          <cell r="F671">
            <v>0</v>
          </cell>
          <cell r="G671">
            <v>193920.36000000002</v>
          </cell>
          <cell r="H671">
            <v>0</v>
          </cell>
          <cell r="I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0.05</v>
          </cell>
          <cell r="F672">
            <v>0</v>
          </cell>
          <cell r="G672">
            <v>42156.600000000006</v>
          </cell>
          <cell r="H672">
            <v>0</v>
          </cell>
          <cell r="I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0.02</v>
          </cell>
          <cell r="F673">
            <v>0</v>
          </cell>
          <cell r="G673">
            <v>16862.64</v>
          </cell>
          <cell r="H673">
            <v>0</v>
          </cell>
          <cell r="I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269802.23999999999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1112934.24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 t="str">
            <v>REVISA</v>
          </cell>
          <cell r="G677">
            <v>0</v>
          </cell>
          <cell r="H677">
            <v>0</v>
          </cell>
          <cell r="I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 t="str">
            <v>FIRMA:</v>
          </cell>
          <cell r="G678">
            <v>0</v>
          </cell>
          <cell r="H678">
            <v>0</v>
          </cell>
          <cell r="I678">
            <v>0</v>
          </cell>
        </row>
        <row r="679">
          <cell r="B679" t="str">
            <v>JHON EMIR GAMBOA MENA</v>
          </cell>
          <cell r="C679">
            <v>0</v>
          </cell>
          <cell r="F679" t="str">
            <v>NOMBRE</v>
          </cell>
          <cell r="G679">
            <v>0</v>
          </cell>
          <cell r="H679">
            <v>0</v>
          </cell>
          <cell r="I679">
            <v>0</v>
          </cell>
        </row>
        <row r="680">
          <cell r="B680" t="str">
            <v>05202-316814 ANT</v>
          </cell>
          <cell r="C680">
            <v>0</v>
          </cell>
          <cell r="F680" t="str">
            <v>MAT:</v>
          </cell>
          <cell r="G680">
            <v>0</v>
          </cell>
          <cell r="H680">
            <v>0</v>
          </cell>
          <cell r="I680">
            <v>0</v>
          </cell>
        </row>
        <row r="681">
          <cell r="B681">
            <v>0</v>
          </cell>
          <cell r="C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</row>
        <row r="686">
          <cell r="B686" t="str">
            <v>3.1</v>
          </cell>
          <cell r="C686" t="str">
            <v>DESCRIPCION:</v>
          </cell>
          <cell r="D686" t="str">
            <v>EXCAVACION DE LA EXPLANEACION, CANALES Y PRESTAMOS, CAJEOS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</row>
        <row r="687">
          <cell r="B687" t="str">
            <v>210-13</v>
          </cell>
          <cell r="C687">
            <v>0</v>
          </cell>
          <cell r="D687" t="str">
            <v>UNIDAD</v>
          </cell>
          <cell r="E687" t="str">
            <v>M3</v>
          </cell>
          <cell r="F687" t="str">
            <v>CANTIDAD</v>
          </cell>
          <cell r="G687">
            <v>2433</v>
          </cell>
          <cell r="H687" t="str">
            <v>V. UNITARIO:</v>
          </cell>
          <cell r="I687">
            <v>33182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 t="str">
            <v>Tarifa/Hora/DIA</v>
          </cell>
          <cell r="G689" t="str">
            <v>Rendimiento</v>
          </cell>
          <cell r="H689" t="str">
            <v>Valor-Unit.</v>
          </cell>
          <cell r="I689">
            <v>0</v>
          </cell>
        </row>
        <row r="690">
          <cell r="B690" t="str">
            <v>E003</v>
          </cell>
          <cell r="C690" t="str">
            <v>RETROCARGADOR</v>
          </cell>
          <cell r="D690">
            <v>0</v>
          </cell>
          <cell r="E690">
            <v>0</v>
          </cell>
          <cell r="F690">
            <v>120000</v>
          </cell>
          <cell r="G690">
            <v>0.23668639053254434</v>
          </cell>
          <cell r="H690">
            <v>28402.366863905321</v>
          </cell>
          <cell r="I690">
            <v>0</v>
          </cell>
        </row>
        <row r="691">
          <cell r="B691" t="str">
            <v>E005</v>
          </cell>
          <cell r="C691" t="str">
            <v xml:space="preserve">NIVEL DE PRECISION </v>
          </cell>
          <cell r="D691">
            <v>0</v>
          </cell>
          <cell r="E691">
            <v>0</v>
          </cell>
          <cell r="F691">
            <v>25000</v>
          </cell>
          <cell r="G691">
            <v>2.9585798816568001E-2</v>
          </cell>
          <cell r="H691">
            <v>739.64497041419997</v>
          </cell>
          <cell r="I691">
            <v>0</v>
          </cell>
        </row>
        <row r="692">
          <cell r="B692" t="str">
            <v>E028</v>
          </cell>
          <cell r="C692" t="str">
            <v>VIBROCOMPACTADOR</v>
          </cell>
          <cell r="D692">
            <v>0</v>
          </cell>
          <cell r="E692">
            <v>0</v>
          </cell>
          <cell r="F692">
            <v>120000</v>
          </cell>
          <cell r="G692">
            <v>2.9585798816568001E-2</v>
          </cell>
          <cell r="H692">
            <v>3550.2958579881602</v>
          </cell>
          <cell r="I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 t="str">
            <v>Sub-Total</v>
          </cell>
          <cell r="G693" t="str">
            <v>3.1</v>
          </cell>
          <cell r="H693" t="str">
            <v>EQUI-3.1</v>
          </cell>
          <cell r="I693">
            <v>32692.307692307681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 t="str">
            <v>UNIDAD</v>
          </cell>
          <cell r="F695" t="str">
            <v>V.UNIT</v>
          </cell>
          <cell r="G695" t="str">
            <v>CANT</v>
          </cell>
          <cell r="H695" t="str">
            <v>V.TOTAL</v>
          </cell>
          <cell r="I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 t="str">
            <v>Sub-Total</v>
          </cell>
          <cell r="G697" t="str">
            <v>3.1</v>
          </cell>
          <cell r="H697" t="str">
            <v>MAT-3.1</v>
          </cell>
          <cell r="I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</row>
        <row r="699">
          <cell r="B699">
            <v>0</v>
          </cell>
          <cell r="C699">
            <v>0</v>
          </cell>
          <cell r="D699" t="str">
            <v xml:space="preserve">CAN </v>
          </cell>
          <cell r="E699" t="str">
            <v>DISTANCIA</v>
          </cell>
          <cell r="F699" t="str">
            <v>M3-Km / UN-KM</v>
          </cell>
          <cell r="G699" t="str">
            <v>TARIFA</v>
          </cell>
          <cell r="H699" t="str">
            <v>Valor-Unit.</v>
          </cell>
          <cell r="I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 t="str">
            <v>Sub-Total</v>
          </cell>
          <cell r="G701" t="str">
            <v>3.1</v>
          </cell>
          <cell r="H701" t="str">
            <v>TRAN-3.1</v>
          </cell>
          <cell r="I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</row>
        <row r="703">
          <cell r="B703">
            <v>0</v>
          </cell>
          <cell r="C703">
            <v>0</v>
          </cell>
          <cell r="D703" t="str">
            <v>JORNAL-HORA</v>
          </cell>
          <cell r="E703" t="str">
            <v>PRES</v>
          </cell>
          <cell r="F703" t="str">
            <v>Jornal Total</v>
          </cell>
          <cell r="G703" t="str">
            <v>Rendimiento</v>
          </cell>
          <cell r="H703" t="str">
            <v>Valor-Unit.</v>
          </cell>
          <cell r="I703">
            <v>0</v>
          </cell>
        </row>
        <row r="704">
          <cell r="B704" t="str">
            <v>MO004</v>
          </cell>
          <cell r="C704" t="str">
            <v>OFICIAL ENTUBADOR</v>
          </cell>
          <cell r="D704">
            <v>3785.5250000000001</v>
          </cell>
          <cell r="E704">
            <v>0</v>
          </cell>
          <cell r="F704">
            <v>3785.5250000000001</v>
          </cell>
          <cell r="G704">
            <v>0</v>
          </cell>
          <cell r="H704">
            <v>0</v>
          </cell>
          <cell r="I704">
            <v>0</v>
          </cell>
        </row>
        <row r="705">
          <cell r="B705" t="str">
            <v>MO007</v>
          </cell>
          <cell r="C705" t="str">
            <v>CONTRAMAESTRO</v>
          </cell>
          <cell r="D705">
            <v>5208.333333333333</v>
          </cell>
          <cell r="E705">
            <v>0</v>
          </cell>
          <cell r="F705">
            <v>5208.333333333333</v>
          </cell>
          <cell r="G705">
            <v>2.9585798816568003E-3</v>
          </cell>
          <cell r="H705">
            <v>15.409270216962501</v>
          </cell>
          <cell r="I705">
            <v>0</v>
          </cell>
        </row>
        <row r="706">
          <cell r="B706" t="str">
            <v>MO006</v>
          </cell>
          <cell r="C706" t="str">
            <v>AYUDANTE ENTUBADOR</v>
          </cell>
          <cell r="D706">
            <v>3785.5250000000001</v>
          </cell>
          <cell r="E706">
            <v>0</v>
          </cell>
          <cell r="F706">
            <v>3785.5250000000001</v>
          </cell>
          <cell r="G706">
            <v>2.9585798816568001E-2</v>
          </cell>
          <cell r="H706">
            <v>111.99778106508859</v>
          </cell>
          <cell r="I706">
            <v>0</v>
          </cell>
        </row>
        <row r="707">
          <cell r="B707" t="str">
            <v>MO002</v>
          </cell>
          <cell r="C707" t="str">
            <v>CADENERO 1</v>
          </cell>
          <cell r="D707">
            <v>5208.333333333333</v>
          </cell>
          <cell r="E707">
            <v>0</v>
          </cell>
          <cell r="F707">
            <v>5208.333333333333</v>
          </cell>
          <cell r="G707">
            <v>2.9585798816568001E-2</v>
          </cell>
          <cell r="H707">
            <v>154.092702169625</v>
          </cell>
          <cell r="I707">
            <v>0</v>
          </cell>
        </row>
        <row r="708">
          <cell r="B708" t="str">
            <v>MO001</v>
          </cell>
          <cell r="C708" t="str">
            <v>TOPOGRAFO</v>
          </cell>
          <cell r="D708">
            <v>6250</v>
          </cell>
          <cell r="E708">
            <v>0</v>
          </cell>
          <cell r="F708">
            <v>6250</v>
          </cell>
          <cell r="G708">
            <v>2.9585798816568001E-2</v>
          </cell>
          <cell r="H708">
            <v>184.91124260354999</v>
          </cell>
          <cell r="I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 t="str">
            <v>Sub-Total</v>
          </cell>
          <cell r="G710" t="str">
            <v>3.1</v>
          </cell>
          <cell r="H710" t="str">
            <v>MDEO-3.1</v>
          </cell>
          <cell r="I710">
            <v>466.41099605522606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23.320549802761306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 t="str">
            <v>Total Costo Directo</v>
          </cell>
          <cell r="G712">
            <v>0</v>
          </cell>
          <cell r="H712">
            <v>0</v>
          </cell>
          <cell r="I712">
            <v>33182</v>
          </cell>
        </row>
        <row r="713">
          <cell r="B713">
            <v>0</v>
          </cell>
          <cell r="C713">
            <v>0</v>
          </cell>
          <cell r="D713">
            <v>0</v>
          </cell>
          <cell r="E713" t="str">
            <v>PORCENTAJE</v>
          </cell>
          <cell r="F713">
            <v>0</v>
          </cell>
          <cell r="G713" t="str">
            <v>V. COSTO INDERECTO</v>
          </cell>
          <cell r="H713">
            <v>0</v>
          </cell>
          <cell r="I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0.02</v>
          </cell>
          <cell r="F714">
            <v>0</v>
          </cell>
          <cell r="G714">
            <v>663.64</v>
          </cell>
          <cell r="H714">
            <v>0</v>
          </cell>
          <cell r="I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0.23</v>
          </cell>
          <cell r="F715">
            <v>0</v>
          </cell>
          <cell r="G715">
            <v>7631.8600000000006</v>
          </cell>
          <cell r="H715">
            <v>0</v>
          </cell>
          <cell r="I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0.05</v>
          </cell>
          <cell r="F716">
            <v>0</v>
          </cell>
          <cell r="G716">
            <v>1659.1000000000001</v>
          </cell>
          <cell r="H716">
            <v>0</v>
          </cell>
          <cell r="I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0.02</v>
          </cell>
          <cell r="F717">
            <v>0</v>
          </cell>
          <cell r="G717">
            <v>663.64</v>
          </cell>
          <cell r="H717">
            <v>0</v>
          </cell>
          <cell r="I717">
            <v>0</v>
          </cell>
        </row>
        <row r="718"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10618.24</v>
          </cell>
        </row>
        <row r="719"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43800.24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 t="str">
            <v>REVISA</v>
          </cell>
          <cell r="G721">
            <v>0</v>
          </cell>
          <cell r="H721">
            <v>0</v>
          </cell>
          <cell r="I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 t="str">
            <v>FIRMA:</v>
          </cell>
          <cell r="G722">
            <v>0</v>
          </cell>
          <cell r="H722">
            <v>0</v>
          </cell>
          <cell r="I722">
            <v>0</v>
          </cell>
        </row>
        <row r="723">
          <cell r="B723" t="str">
            <v>LINA MARCELA</v>
          </cell>
          <cell r="C723">
            <v>0</v>
          </cell>
          <cell r="F723" t="str">
            <v>NOMBRE</v>
          </cell>
          <cell r="G723">
            <v>0</v>
          </cell>
          <cell r="H723">
            <v>0</v>
          </cell>
          <cell r="I723">
            <v>0</v>
          </cell>
        </row>
        <row r="724">
          <cell r="B724" t="str">
            <v>05202-316814 ANT</v>
          </cell>
          <cell r="C724">
            <v>0</v>
          </cell>
          <cell r="F724" t="str">
            <v>MAT:</v>
          </cell>
          <cell r="G724">
            <v>0</v>
          </cell>
          <cell r="H724">
            <v>0</v>
          </cell>
          <cell r="I724">
            <v>0</v>
          </cell>
        </row>
        <row r="725">
          <cell r="B725">
            <v>0</v>
          </cell>
          <cell r="C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</row>
        <row r="730">
          <cell r="B730" t="str">
            <v>3.2</v>
          </cell>
          <cell r="C730" t="str">
            <v>DESCRIPCION:</v>
          </cell>
          <cell r="D730" t="str">
            <v>ESTABILIZACION DE LOS SUELOS DE SUBRASANTE  CON GEOTEXTIL TEJIDO 2400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</row>
        <row r="731">
          <cell r="B731" t="str">
            <v>232-13</v>
          </cell>
          <cell r="C731">
            <v>0</v>
          </cell>
          <cell r="D731" t="str">
            <v>UNIDAD</v>
          </cell>
          <cell r="E731" t="str">
            <v>M2</v>
          </cell>
          <cell r="F731" t="str">
            <v>CANTIDAD</v>
          </cell>
          <cell r="G731">
            <v>16220</v>
          </cell>
          <cell r="H731" t="str">
            <v>V. UNITARIO:</v>
          </cell>
          <cell r="I731">
            <v>9071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 t="str">
            <v>Tarifa/Hora</v>
          </cell>
          <cell r="G733" t="str">
            <v>Rendimiento</v>
          </cell>
          <cell r="H733" t="str">
            <v>Valor-Unit.</v>
          </cell>
          <cell r="I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 t="str">
            <v>Sub-Total</v>
          </cell>
          <cell r="G735" t="str">
            <v>3.2</v>
          </cell>
          <cell r="H735" t="str">
            <v>EQUI-3.2</v>
          </cell>
          <cell r="I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B737">
            <v>0</v>
          </cell>
          <cell r="C737">
            <v>0</v>
          </cell>
          <cell r="D737">
            <v>0</v>
          </cell>
          <cell r="E737" t="str">
            <v>UNIDAD</v>
          </cell>
          <cell r="F737" t="str">
            <v>V.UNIT</v>
          </cell>
          <cell r="G737" t="str">
            <v>CANT</v>
          </cell>
          <cell r="H737" t="str">
            <v>V.TOTAL</v>
          </cell>
          <cell r="I737">
            <v>0</v>
          </cell>
        </row>
        <row r="738">
          <cell r="B738" t="str">
            <v>M015</v>
          </cell>
          <cell r="C738" t="str">
            <v>GEOTEXTIL TEJIDO 2400 T</v>
          </cell>
          <cell r="D738">
            <v>0</v>
          </cell>
          <cell r="E738" t="str">
            <v>M2</v>
          </cell>
          <cell r="F738">
            <v>8500</v>
          </cell>
          <cell r="G738">
            <v>1</v>
          </cell>
          <cell r="H738">
            <v>8500</v>
          </cell>
          <cell r="I738">
            <v>0</v>
          </cell>
        </row>
        <row r="739">
          <cell r="B739" t="str">
            <v>M019</v>
          </cell>
          <cell r="C739" t="str">
            <v>LISTON 2*2 MADERA TIPO CHOIVA</v>
          </cell>
          <cell r="D739">
            <v>0</v>
          </cell>
          <cell r="E739" t="str">
            <v>UNIDAD</v>
          </cell>
          <cell r="F739">
            <v>10000</v>
          </cell>
          <cell r="G739">
            <v>1E-3</v>
          </cell>
          <cell r="H739">
            <v>10</v>
          </cell>
          <cell r="I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 t="str">
            <v>Sub-Total</v>
          </cell>
          <cell r="G740" t="str">
            <v>3.2</v>
          </cell>
          <cell r="H740" t="str">
            <v>MAT-3.2</v>
          </cell>
          <cell r="I740">
            <v>8510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B742">
            <v>0</v>
          </cell>
          <cell r="C742">
            <v>0</v>
          </cell>
          <cell r="D742" t="str">
            <v xml:space="preserve">CAN </v>
          </cell>
          <cell r="E742" t="str">
            <v>DISTANCIA</v>
          </cell>
          <cell r="F742" t="str">
            <v>M3-Km / UN-KM</v>
          </cell>
          <cell r="G742" t="str">
            <v>TARIFA</v>
          </cell>
          <cell r="H742" t="str">
            <v>Valor-Unit.</v>
          </cell>
          <cell r="I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 t="str">
            <v>Sub-Total</v>
          </cell>
          <cell r="G744" t="str">
            <v>3.2</v>
          </cell>
          <cell r="H744" t="str">
            <v>TRAN-3.2</v>
          </cell>
          <cell r="I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</row>
        <row r="746">
          <cell r="B746">
            <v>0</v>
          </cell>
          <cell r="C746">
            <v>0</v>
          </cell>
          <cell r="D746" t="str">
            <v>JORNAL-HORA</v>
          </cell>
          <cell r="E746" t="str">
            <v>PRES</v>
          </cell>
          <cell r="F746" t="str">
            <v>JORNAL TOTAL</v>
          </cell>
          <cell r="G746" t="str">
            <v>RENDIEMIENTO</v>
          </cell>
          <cell r="H746" t="str">
            <v>VALOR-UNIT</v>
          </cell>
          <cell r="I746">
            <v>0</v>
          </cell>
        </row>
        <row r="747">
          <cell r="B747" t="str">
            <v>MO004</v>
          </cell>
          <cell r="C747" t="str">
            <v>OFICIAL ENTUBADOR</v>
          </cell>
          <cell r="D747">
            <v>3785.5250000000001</v>
          </cell>
          <cell r="E747">
            <v>0</v>
          </cell>
          <cell r="F747">
            <v>3785.5250000000001</v>
          </cell>
          <cell r="G747">
            <v>4.4999999999999998E-2</v>
          </cell>
          <cell r="H747">
            <v>170.348625</v>
          </cell>
          <cell r="I747">
            <v>0</v>
          </cell>
        </row>
        <row r="748">
          <cell r="B748" t="str">
            <v>MO005</v>
          </cell>
          <cell r="C748" t="str">
            <v>AYUDANTE ENTENDIDO PAV</v>
          </cell>
          <cell r="D748">
            <v>3785.5250000000001</v>
          </cell>
          <cell r="E748">
            <v>0</v>
          </cell>
          <cell r="F748">
            <v>3785.5250000000001</v>
          </cell>
          <cell r="G748">
            <v>4.4999999999999998E-2</v>
          </cell>
          <cell r="H748">
            <v>170.348625</v>
          </cell>
          <cell r="I748">
            <v>0</v>
          </cell>
        </row>
        <row r="749">
          <cell r="B749" t="str">
            <v>MO006</v>
          </cell>
          <cell r="C749" t="str">
            <v>AYUDANTE ENTUBADOR</v>
          </cell>
          <cell r="D749">
            <v>3785.5250000000001</v>
          </cell>
          <cell r="E749">
            <v>0</v>
          </cell>
          <cell r="F749">
            <v>3785.5250000000001</v>
          </cell>
          <cell r="G749">
            <v>4.4999999999999998E-2</v>
          </cell>
          <cell r="H749">
            <v>170.348625</v>
          </cell>
          <cell r="I749">
            <v>0</v>
          </cell>
        </row>
        <row r="750">
          <cell r="B750" t="str">
            <v>MO007</v>
          </cell>
          <cell r="C750" t="str">
            <v>CONTRAMAESTRO</v>
          </cell>
          <cell r="D750">
            <v>5208.333333333333</v>
          </cell>
          <cell r="E750">
            <v>0</v>
          </cell>
          <cell r="F750">
            <v>5208.333333333333</v>
          </cell>
          <cell r="G750">
            <v>4.4999999999999997E-3</v>
          </cell>
          <cell r="H750">
            <v>23.437499999999996</v>
          </cell>
          <cell r="I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 t="str">
            <v>Sub-Total</v>
          </cell>
          <cell r="G752" t="str">
            <v>3.2</v>
          </cell>
          <cell r="H752" t="str">
            <v>MDEO-3.2</v>
          </cell>
          <cell r="I752">
            <v>534.48337500000002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26.724168750000004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 t="str">
            <v>Total Costo Directo</v>
          </cell>
          <cell r="G754">
            <v>0</v>
          </cell>
          <cell r="H754">
            <v>0</v>
          </cell>
          <cell r="I754">
            <v>9071</v>
          </cell>
        </row>
        <row r="755">
          <cell r="B755">
            <v>0</v>
          </cell>
          <cell r="C755">
            <v>0</v>
          </cell>
          <cell r="D755">
            <v>0</v>
          </cell>
          <cell r="E755" t="str">
            <v>PORCENTAJE</v>
          </cell>
          <cell r="F755">
            <v>0</v>
          </cell>
          <cell r="G755" t="str">
            <v>V. COSTO INDERECTO</v>
          </cell>
          <cell r="H755">
            <v>0</v>
          </cell>
          <cell r="I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0.02</v>
          </cell>
          <cell r="F756">
            <v>0</v>
          </cell>
          <cell r="G756">
            <v>181.42000000000002</v>
          </cell>
          <cell r="H756">
            <v>0</v>
          </cell>
          <cell r="I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0.23</v>
          </cell>
          <cell r="F757">
            <v>0</v>
          </cell>
          <cell r="G757">
            <v>2086.33</v>
          </cell>
          <cell r="H757">
            <v>0</v>
          </cell>
          <cell r="I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0.05</v>
          </cell>
          <cell r="F758">
            <v>0</v>
          </cell>
          <cell r="G758">
            <v>453.55</v>
          </cell>
          <cell r="H758">
            <v>0</v>
          </cell>
          <cell r="I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0.02</v>
          </cell>
          <cell r="F759">
            <v>0</v>
          </cell>
          <cell r="G759">
            <v>181.42000000000002</v>
          </cell>
          <cell r="H759">
            <v>0</v>
          </cell>
          <cell r="I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2902.7200000000003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11973.720000000001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 t="str">
            <v>REVISA</v>
          </cell>
          <cell r="G763">
            <v>0</v>
          </cell>
          <cell r="H763">
            <v>0</v>
          </cell>
          <cell r="I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 t="str">
            <v>FIRMA:</v>
          </cell>
          <cell r="G764">
            <v>0</v>
          </cell>
          <cell r="H764">
            <v>0</v>
          </cell>
          <cell r="I764">
            <v>0</v>
          </cell>
        </row>
        <row r="765">
          <cell r="B765" t="str">
            <v>LINA MARCELA</v>
          </cell>
          <cell r="C765">
            <v>0</v>
          </cell>
          <cell r="F765" t="str">
            <v>NOMBRE</v>
          </cell>
          <cell r="G765">
            <v>0</v>
          </cell>
          <cell r="H765">
            <v>0</v>
          </cell>
          <cell r="I765">
            <v>0</v>
          </cell>
        </row>
        <row r="766">
          <cell r="B766" t="str">
            <v>05202-316814 ANT</v>
          </cell>
          <cell r="C766">
            <v>0</v>
          </cell>
          <cell r="F766" t="str">
            <v>MAT:</v>
          </cell>
          <cell r="G766">
            <v>0</v>
          </cell>
          <cell r="H766">
            <v>0</v>
          </cell>
          <cell r="I766">
            <v>0</v>
          </cell>
        </row>
        <row r="767">
          <cell r="B767">
            <v>0</v>
          </cell>
          <cell r="C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</row>
        <row r="772">
          <cell r="B772" t="str">
            <v>3.3</v>
          </cell>
          <cell r="C772" t="str">
            <v>DESCRIPCION:</v>
          </cell>
          <cell r="D772" t="str">
            <v xml:space="preserve">MEJORAMIENTO DE LA SUBRASANTE CON ADICION DE MATEIRALES GRANULAR DE PRESTAMO PARA REMPLAZO 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</row>
        <row r="773">
          <cell r="B773" t="str">
            <v>230-13</v>
          </cell>
          <cell r="C773">
            <v>0</v>
          </cell>
          <cell r="D773" t="str">
            <v>UNIDAD</v>
          </cell>
          <cell r="E773" t="str">
            <v>M3</v>
          </cell>
          <cell r="F773" t="str">
            <v>CANTIDAD</v>
          </cell>
          <cell r="G773">
            <v>2433</v>
          </cell>
          <cell r="H773" t="str">
            <v>V. UNITARIO:</v>
          </cell>
          <cell r="I773">
            <v>115292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 t="str">
            <v>Tarifa/Hora</v>
          </cell>
          <cell r="G775" t="str">
            <v>Rendimiento</v>
          </cell>
          <cell r="H775" t="str">
            <v>Valor-Unit.</v>
          </cell>
          <cell r="I775">
            <v>0</v>
          </cell>
        </row>
        <row r="776">
          <cell r="B776" t="str">
            <v>E019</v>
          </cell>
          <cell r="C776" t="str">
            <v>MOTONIVELADORA</v>
          </cell>
          <cell r="D776">
            <v>0</v>
          </cell>
          <cell r="E776">
            <v>0</v>
          </cell>
          <cell r="F776">
            <v>130000</v>
          </cell>
          <cell r="G776">
            <v>0.05</v>
          </cell>
          <cell r="H776">
            <v>6500</v>
          </cell>
          <cell r="I776">
            <v>0</v>
          </cell>
        </row>
        <row r="777">
          <cell r="B777" t="str">
            <v>E028</v>
          </cell>
          <cell r="C777" t="str">
            <v>VIBROCOMPACTADOR</v>
          </cell>
          <cell r="D777">
            <v>0</v>
          </cell>
          <cell r="E777">
            <v>0</v>
          </cell>
          <cell r="F777">
            <v>120000</v>
          </cell>
          <cell r="G777">
            <v>0.05</v>
          </cell>
          <cell r="H777">
            <v>6000</v>
          </cell>
          <cell r="I777">
            <v>0</v>
          </cell>
        </row>
        <row r="778">
          <cell r="B778" t="str">
            <v>E026</v>
          </cell>
          <cell r="C778" t="str">
            <v>TANQUE DE ALMACENAMIENTO DE AGUA</v>
          </cell>
          <cell r="D778">
            <v>0</v>
          </cell>
          <cell r="E778">
            <v>0</v>
          </cell>
          <cell r="F778">
            <v>1000</v>
          </cell>
          <cell r="G778">
            <v>0.04</v>
          </cell>
          <cell r="H778">
            <v>40</v>
          </cell>
          <cell r="I778">
            <v>0</v>
          </cell>
        </row>
        <row r="779">
          <cell r="B779" t="str">
            <v>E005</v>
          </cell>
          <cell r="C779" t="str">
            <v xml:space="preserve">NIVEL DE PRECISION </v>
          </cell>
          <cell r="D779">
            <v>0</v>
          </cell>
          <cell r="E779">
            <v>0</v>
          </cell>
          <cell r="F779">
            <v>25000</v>
          </cell>
          <cell r="G779">
            <v>0.04</v>
          </cell>
          <cell r="H779">
            <v>1000</v>
          </cell>
          <cell r="I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 t="str">
            <v>Sub-Total</v>
          </cell>
          <cell r="G780" t="str">
            <v>3.3</v>
          </cell>
          <cell r="H780" t="str">
            <v>EQUI-3.3</v>
          </cell>
          <cell r="I780">
            <v>13540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  <cell r="E782" t="str">
            <v>UNIDAD</v>
          </cell>
          <cell r="F782" t="str">
            <v>V.UNIT</v>
          </cell>
          <cell r="G782" t="str">
            <v>CANT</v>
          </cell>
          <cell r="H782" t="str">
            <v>V.TOTAL</v>
          </cell>
          <cell r="I782">
            <v>0</v>
          </cell>
        </row>
        <row r="783">
          <cell r="B783" t="str">
            <v>M002</v>
          </cell>
          <cell r="C783" t="str">
            <v>AGUA</v>
          </cell>
          <cell r="D783">
            <v>0</v>
          </cell>
          <cell r="E783" t="str">
            <v>M3</v>
          </cell>
          <cell r="F783">
            <v>2750</v>
          </cell>
          <cell r="G783">
            <v>0.2</v>
          </cell>
          <cell r="H783">
            <v>550</v>
          </cell>
          <cell r="I783">
            <v>0</v>
          </cell>
        </row>
        <row r="784">
          <cell r="B784" t="str">
            <v>M010</v>
          </cell>
          <cell r="C784" t="str">
            <v>MATERIAL GRANULAR DE PRESTAMO</v>
          </cell>
          <cell r="D784">
            <v>0</v>
          </cell>
          <cell r="E784" t="str">
            <v>M3</v>
          </cell>
          <cell r="F784">
            <v>29500</v>
          </cell>
          <cell r="G784">
            <v>0.78</v>
          </cell>
          <cell r="H784">
            <v>23010</v>
          </cell>
          <cell r="I784">
            <v>0</v>
          </cell>
        </row>
        <row r="785">
          <cell r="B785" t="str">
            <v>M011</v>
          </cell>
          <cell r="C785" t="str">
            <v>MATERIAL GRANULAR PIEDRA &gt;3"</v>
          </cell>
          <cell r="D785">
            <v>0</v>
          </cell>
          <cell r="E785" t="str">
            <v>M3</v>
          </cell>
          <cell r="F785">
            <v>44000</v>
          </cell>
          <cell r="G785">
            <v>0.52</v>
          </cell>
          <cell r="H785">
            <v>22880</v>
          </cell>
          <cell r="I785">
            <v>0</v>
          </cell>
        </row>
        <row r="786"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 t="str">
            <v>Sub-Total</v>
          </cell>
          <cell r="G786" t="str">
            <v>3.3</v>
          </cell>
          <cell r="H786" t="str">
            <v>MAT-3.3</v>
          </cell>
          <cell r="I786">
            <v>46440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</row>
        <row r="788">
          <cell r="B788">
            <v>0</v>
          </cell>
          <cell r="C788">
            <v>0</v>
          </cell>
          <cell r="D788" t="str">
            <v xml:space="preserve">CAN </v>
          </cell>
          <cell r="E788" t="str">
            <v>DISTANCIA</v>
          </cell>
          <cell r="F788" t="str">
            <v>M3-Km / UN-KM</v>
          </cell>
          <cell r="G788" t="str">
            <v>TARIFA</v>
          </cell>
          <cell r="H788" t="str">
            <v>Valor-Unit.</v>
          </cell>
          <cell r="I788">
            <v>0</v>
          </cell>
        </row>
        <row r="789">
          <cell r="B789" t="str">
            <v>T003</v>
          </cell>
          <cell r="C789" t="str">
            <v>TRANS AGUA 0-5KM</v>
          </cell>
          <cell r="D789">
            <v>0.2</v>
          </cell>
          <cell r="E789">
            <v>5</v>
          </cell>
          <cell r="F789">
            <v>1</v>
          </cell>
          <cell r="G789">
            <v>1095</v>
          </cell>
          <cell r="H789">
            <v>1095</v>
          </cell>
          <cell r="I789">
            <v>0</v>
          </cell>
        </row>
        <row r="790">
          <cell r="B790" t="str">
            <v>T012</v>
          </cell>
          <cell r="C790" t="str">
            <v>TRANS MATERIAL NECOCLI &gt; 10 KM</v>
          </cell>
          <cell r="D790">
            <v>0.78</v>
          </cell>
          <cell r="E790">
            <v>50</v>
          </cell>
          <cell r="F790">
            <v>39</v>
          </cell>
          <cell r="G790">
            <v>650</v>
          </cell>
          <cell r="H790">
            <v>25350</v>
          </cell>
          <cell r="I790">
            <v>0</v>
          </cell>
        </row>
        <row r="791">
          <cell r="B791" t="str">
            <v>T008</v>
          </cell>
          <cell r="C791" t="str">
            <v>TRANS MATERIAL &gt; 10 KM</v>
          </cell>
          <cell r="D791">
            <v>0.52</v>
          </cell>
          <cell r="E791">
            <v>55</v>
          </cell>
          <cell r="F791">
            <v>28.6</v>
          </cell>
          <cell r="G791">
            <v>980</v>
          </cell>
          <cell r="H791">
            <v>28028</v>
          </cell>
          <cell r="I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 t="str">
            <v>Sub-Total</v>
          </cell>
          <cell r="G792" t="str">
            <v>3.3</v>
          </cell>
          <cell r="H792" t="str">
            <v>TRAN-3.3</v>
          </cell>
          <cell r="I792">
            <v>54473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</row>
        <row r="794">
          <cell r="B794">
            <v>0</v>
          </cell>
          <cell r="C794">
            <v>0</v>
          </cell>
          <cell r="D794" t="str">
            <v>JORNAL-HORA</v>
          </cell>
          <cell r="E794" t="str">
            <v>PRES</v>
          </cell>
          <cell r="F794" t="str">
            <v>JORNAL TOTAL</v>
          </cell>
          <cell r="G794" t="str">
            <v>RENDIEMIENTO</v>
          </cell>
          <cell r="H794" t="str">
            <v>VALOR-UNIT</v>
          </cell>
          <cell r="I794">
            <v>0</v>
          </cell>
        </row>
        <row r="795">
          <cell r="B795" t="str">
            <v>MO004</v>
          </cell>
          <cell r="C795" t="str">
            <v>OFICIAL ENTUBADOR</v>
          </cell>
          <cell r="D795">
            <v>3785.5250000000001</v>
          </cell>
          <cell r="E795">
            <v>0</v>
          </cell>
          <cell r="F795">
            <v>3785.5250000000001</v>
          </cell>
          <cell r="G795">
            <v>0</v>
          </cell>
          <cell r="H795">
            <v>0</v>
          </cell>
          <cell r="I795">
            <v>0</v>
          </cell>
        </row>
        <row r="796">
          <cell r="B796" t="str">
            <v>MO005</v>
          </cell>
          <cell r="C796" t="str">
            <v>AYUDANTE ENTENDIDO PAV</v>
          </cell>
          <cell r="D796">
            <v>3785.5250000000001</v>
          </cell>
          <cell r="E796">
            <v>0</v>
          </cell>
          <cell r="F796">
            <v>3785.5250000000001</v>
          </cell>
          <cell r="G796">
            <v>0</v>
          </cell>
          <cell r="H796">
            <v>0</v>
          </cell>
          <cell r="I796">
            <v>0</v>
          </cell>
        </row>
        <row r="797">
          <cell r="B797" t="str">
            <v>MO006</v>
          </cell>
          <cell r="C797" t="str">
            <v>AYUDANTE ENTUBADOR</v>
          </cell>
          <cell r="D797">
            <v>3785.5250000000001</v>
          </cell>
          <cell r="E797">
            <v>0</v>
          </cell>
          <cell r="F797">
            <v>3785.5250000000001</v>
          </cell>
          <cell r="G797">
            <v>0.04</v>
          </cell>
          <cell r="H797">
            <v>151.42100000000002</v>
          </cell>
          <cell r="I797">
            <v>0</v>
          </cell>
        </row>
        <row r="798">
          <cell r="B798" t="str">
            <v>MO007</v>
          </cell>
          <cell r="C798" t="str">
            <v>CONTRAMAESTRO</v>
          </cell>
          <cell r="D798">
            <v>5208.333333333333</v>
          </cell>
          <cell r="E798">
            <v>0</v>
          </cell>
          <cell r="F798">
            <v>5208.333333333333</v>
          </cell>
          <cell r="G798">
            <v>0.04</v>
          </cell>
          <cell r="H798">
            <v>208.33333333333331</v>
          </cell>
          <cell r="I798">
            <v>0</v>
          </cell>
        </row>
        <row r="799">
          <cell r="B799" t="str">
            <v>MO002</v>
          </cell>
          <cell r="C799" t="str">
            <v>CADENERO 1</v>
          </cell>
          <cell r="D799">
            <v>10985.571938383713</v>
          </cell>
          <cell r="E799">
            <v>0</v>
          </cell>
          <cell r="F799">
            <v>10985.571938383713</v>
          </cell>
          <cell r="G799">
            <v>0.04</v>
          </cell>
          <cell r="H799">
            <v>439.42287753534856</v>
          </cell>
          <cell r="I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 t="str">
            <v>Sub-Total</v>
          </cell>
          <cell r="G801" t="str">
            <v>3.3</v>
          </cell>
          <cell r="H801" t="str">
            <v>MDEO-3.3</v>
          </cell>
          <cell r="I801">
            <v>799.17721086868187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39.958860543434099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 t="str">
            <v>Total Costo Directo</v>
          </cell>
          <cell r="G803">
            <v>0</v>
          </cell>
          <cell r="H803">
            <v>0</v>
          </cell>
          <cell r="I803">
            <v>115292</v>
          </cell>
        </row>
        <row r="804">
          <cell r="B804">
            <v>0</v>
          </cell>
          <cell r="C804">
            <v>0</v>
          </cell>
          <cell r="D804">
            <v>0</v>
          </cell>
          <cell r="E804" t="str">
            <v>PORCENTAJE</v>
          </cell>
          <cell r="F804">
            <v>0</v>
          </cell>
          <cell r="G804" t="str">
            <v>V. COSTO INDERECTO</v>
          </cell>
          <cell r="H804">
            <v>0</v>
          </cell>
          <cell r="I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0.02</v>
          </cell>
          <cell r="F805">
            <v>0</v>
          </cell>
          <cell r="G805">
            <v>2305.84</v>
          </cell>
          <cell r="H805">
            <v>0</v>
          </cell>
          <cell r="I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0.23</v>
          </cell>
          <cell r="F806">
            <v>0</v>
          </cell>
          <cell r="G806">
            <v>26517.16</v>
          </cell>
          <cell r="H806">
            <v>0</v>
          </cell>
          <cell r="I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0.05</v>
          </cell>
          <cell r="F807">
            <v>0</v>
          </cell>
          <cell r="G807">
            <v>5764.6</v>
          </cell>
          <cell r="H807">
            <v>0</v>
          </cell>
          <cell r="I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0.02</v>
          </cell>
          <cell r="F808">
            <v>0</v>
          </cell>
          <cell r="G808">
            <v>2305.84</v>
          </cell>
          <cell r="H808">
            <v>0</v>
          </cell>
          <cell r="I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36893.440000000002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152185.44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 t="str">
            <v>REVISA</v>
          </cell>
          <cell r="G812">
            <v>0</v>
          </cell>
          <cell r="H812">
            <v>0</v>
          </cell>
          <cell r="I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 t="str">
            <v>FIRMA:</v>
          </cell>
          <cell r="G813">
            <v>0</v>
          </cell>
          <cell r="H813">
            <v>0</v>
          </cell>
          <cell r="I813">
            <v>0</v>
          </cell>
        </row>
        <row r="814">
          <cell r="B814" t="str">
            <v>LINA MARCELA</v>
          </cell>
          <cell r="C814">
            <v>0</v>
          </cell>
          <cell r="F814" t="str">
            <v>NOMBRE</v>
          </cell>
          <cell r="G814">
            <v>0</v>
          </cell>
          <cell r="H814">
            <v>0</v>
          </cell>
          <cell r="I814">
            <v>0</v>
          </cell>
        </row>
        <row r="815">
          <cell r="B815" t="str">
            <v>05202-316814 ANT</v>
          </cell>
          <cell r="C815">
            <v>0</v>
          </cell>
          <cell r="F815" t="str">
            <v>MAT:</v>
          </cell>
          <cell r="G815">
            <v>0</v>
          </cell>
          <cell r="H815">
            <v>0</v>
          </cell>
          <cell r="I815">
            <v>0</v>
          </cell>
        </row>
        <row r="816">
          <cell r="B816">
            <v>0</v>
          </cell>
          <cell r="C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</row>
        <row r="819"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</row>
        <row r="821">
          <cell r="B821" t="str">
            <v>3.4</v>
          </cell>
          <cell r="C821" t="str">
            <v>DESCRIPCION:</v>
          </cell>
          <cell r="D821" t="str">
            <v>MEJORAMIENTO CON CEMENTO SUB BASE GRANUALAR MATERIAL GRANULAR EXISTENTE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B822" t="str">
            <v>330-1</v>
          </cell>
          <cell r="C822">
            <v>0</v>
          </cell>
          <cell r="D822" t="str">
            <v>UNIDAD</v>
          </cell>
          <cell r="E822" t="str">
            <v>M3</v>
          </cell>
          <cell r="F822" t="str">
            <v>CANTIDAD</v>
          </cell>
          <cell r="G822">
            <v>7715</v>
          </cell>
          <cell r="H822" t="str">
            <v>V. UNITARIO:</v>
          </cell>
          <cell r="I822">
            <v>81792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 t="str">
            <v>Tarifa/Hora</v>
          </cell>
          <cell r="G824" t="str">
            <v>Rendimiento</v>
          </cell>
          <cell r="H824" t="str">
            <v>Valor-Unit.</v>
          </cell>
          <cell r="I824">
            <v>0</v>
          </cell>
        </row>
        <row r="825">
          <cell r="B825" t="str">
            <v>E019</v>
          </cell>
          <cell r="C825" t="str">
            <v>MOTONIVELADORA</v>
          </cell>
          <cell r="D825">
            <v>0</v>
          </cell>
          <cell r="E825">
            <v>0</v>
          </cell>
          <cell r="F825">
            <v>130000</v>
          </cell>
          <cell r="G825">
            <v>4.6012269938650305E-2</v>
          </cell>
          <cell r="H825">
            <v>5981.5950920245396</v>
          </cell>
          <cell r="I825">
            <v>0</v>
          </cell>
        </row>
        <row r="826">
          <cell r="B826" t="str">
            <v>E034</v>
          </cell>
          <cell r="C826" t="str">
            <v>VIBROCOMPACTADOR  (15 TON)</v>
          </cell>
          <cell r="D826">
            <v>0</v>
          </cell>
          <cell r="E826">
            <v>0</v>
          </cell>
          <cell r="F826">
            <v>127302</v>
          </cell>
          <cell r="G826">
            <v>4.6012269938650305E-2</v>
          </cell>
          <cell r="H826">
            <v>5857.4539877300613</v>
          </cell>
          <cell r="I826">
            <v>0</v>
          </cell>
        </row>
        <row r="827">
          <cell r="B827" t="str">
            <v>E036</v>
          </cell>
          <cell r="C827" t="str">
            <v>CARROTANQUE DE AGUA 10000 LITROS</v>
          </cell>
          <cell r="D827">
            <v>0</v>
          </cell>
          <cell r="E827">
            <v>0</v>
          </cell>
          <cell r="F827">
            <v>90000</v>
          </cell>
          <cell r="G827">
            <v>4.6012269938650305E-2</v>
          </cell>
          <cell r="H827">
            <v>4141.1042944785277</v>
          </cell>
          <cell r="I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 t="str">
            <v>Sub-Total</v>
          </cell>
          <cell r="G828" t="str">
            <v>3.4</v>
          </cell>
          <cell r="H828" t="str">
            <v>EQUI-3.4</v>
          </cell>
          <cell r="I828">
            <v>15980.153374233128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  <cell r="E830" t="str">
            <v>UNIDAD</v>
          </cell>
          <cell r="F830" t="str">
            <v>V.UNIT</v>
          </cell>
          <cell r="G830" t="str">
            <v>CANT</v>
          </cell>
          <cell r="H830" t="str">
            <v>V.TOTAL</v>
          </cell>
          <cell r="I830">
            <v>0</v>
          </cell>
        </row>
        <row r="831">
          <cell r="B831" t="str">
            <v>M002</v>
          </cell>
          <cell r="C831" t="str">
            <v>AGUA</v>
          </cell>
          <cell r="D831">
            <v>0</v>
          </cell>
          <cell r="E831" t="str">
            <v>M3</v>
          </cell>
          <cell r="F831">
            <v>2750</v>
          </cell>
          <cell r="G831">
            <v>0.2</v>
          </cell>
          <cell r="H831">
            <v>550</v>
          </cell>
          <cell r="I831">
            <v>0</v>
          </cell>
        </row>
        <row r="832">
          <cell r="B832" t="str">
            <v>M014</v>
          </cell>
          <cell r="C832" t="str">
            <v xml:space="preserve">SUBBASE GRANULAR </v>
          </cell>
          <cell r="D832">
            <v>0</v>
          </cell>
          <cell r="E832" t="str">
            <v>M3</v>
          </cell>
          <cell r="F832">
            <v>39000</v>
          </cell>
          <cell r="G832">
            <v>0.75</v>
          </cell>
          <cell r="H832">
            <v>29250</v>
          </cell>
          <cell r="I832">
            <v>0</v>
          </cell>
        </row>
        <row r="833">
          <cell r="B833" t="str">
            <v>M005</v>
          </cell>
          <cell r="C833" t="str">
            <v>CEMENTO GRIS</v>
          </cell>
          <cell r="D833">
            <v>0</v>
          </cell>
          <cell r="E833" t="str">
            <v>SACO</v>
          </cell>
          <cell r="F833">
            <v>23192.362200000003</v>
          </cell>
          <cell r="G833">
            <v>1</v>
          </cell>
          <cell r="H833">
            <v>23192.362200000003</v>
          </cell>
          <cell r="I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 t="str">
            <v>Sub-Total</v>
          </cell>
          <cell r="G834" t="str">
            <v>3.4</v>
          </cell>
          <cell r="H834" t="str">
            <v>MAT-3.4</v>
          </cell>
          <cell r="I834">
            <v>52992.362200000003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</row>
        <row r="836">
          <cell r="B836">
            <v>0</v>
          </cell>
          <cell r="C836">
            <v>0</v>
          </cell>
          <cell r="D836" t="str">
            <v xml:space="preserve">CAN </v>
          </cell>
          <cell r="E836" t="str">
            <v>DISTANCIA</v>
          </cell>
          <cell r="F836" t="str">
            <v>M3-Km / UN-KM</v>
          </cell>
          <cell r="G836" t="str">
            <v>TARIFA</v>
          </cell>
          <cell r="H836" t="str">
            <v>Valor-Unit.</v>
          </cell>
          <cell r="I836">
            <v>0</v>
          </cell>
        </row>
        <row r="837">
          <cell r="B837" t="str">
            <v>T008</v>
          </cell>
          <cell r="C837" t="str">
            <v>TRANS MATERIAL &gt; 10 KM</v>
          </cell>
          <cell r="D837">
            <v>0.2</v>
          </cell>
          <cell r="E837">
            <v>55</v>
          </cell>
          <cell r="F837">
            <v>11</v>
          </cell>
          <cell r="G837">
            <v>980</v>
          </cell>
          <cell r="H837">
            <v>10780</v>
          </cell>
          <cell r="I837">
            <v>0</v>
          </cell>
        </row>
        <row r="838">
          <cell r="B838" t="str">
            <v>T003</v>
          </cell>
          <cell r="C838" t="str">
            <v>TRANS AGUA 0-5KM</v>
          </cell>
          <cell r="D838">
            <v>0.2</v>
          </cell>
          <cell r="E838">
            <v>5</v>
          </cell>
          <cell r="F838">
            <v>1</v>
          </cell>
          <cell r="G838">
            <v>1095</v>
          </cell>
          <cell r="H838">
            <v>1095</v>
          </cell>
          <cell r="I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 t="str">
            <v>Sub-Total</v>
          </cell>
          <cell r="G839" t="str">
            <v>3.4</v>
          </cell>
          <cell r="H839" t="str">
            <v>TRAN-3.4</v>
          </cell>
          <cell r="I839">
            <v>11875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B841">
            <v>0</v>
          </cell>
          <cell r="C841">
            <v>0</v>
          </cell>
          <cell r="D841" t="str">
            <v>JORNAL-HORA</v>
          </cell>
          <cell r="E841" t="str">
            <v>PRES</v>
          </cell>
          <cell r="F841" t="str">
            <v>JORNAL TOTAL</v>
          </cell>
          <cell r="G841" t="str">
            <v>RENDIEMIENTO</v>
          </cell>
          <cell r="H841" t="str">
            <v>VALOR-UNIT</v>
          </cell>
          <cell r="I841">
            <v>0</v>
          </cell>
        </row>
        <row r="842">
          <cell r="B842" t="str">
            <v>MO004</v>
          </cell>
          <cell r="C842" t="str">
            <v>OFICIAL ENTUBADOR</v>
          </cell>
          <cell r="D842">
            <v>3785.5250000000001</v>
          </cell>
          <cell r="E842">
            <v>0</v>
          </cell>
          <cell r="F842">
            <v>3785.5250000000001</v>
          </cell>
          <cell r="G842">
            <v>4.6012269938650305E-2</v>
          </cell>
          <cell r="H842">
            <v>174.1805981595092</v>
          </cell>
          <cell r="I842">
            <v>0</v>
          </cell>
        </row>
        <row r="843">
          <cell r="B843" t="str">
            <v>MO007</v>
          </cell>
          <cell r="C843" t="str">
            <v>CONTRAMAESTRO</v>
          </cell>
          <cell r="D843">
            <v>5208.333333333333</v>
          </cell>
          <cell r="E843">
            <v>0</v>
          </cell>
          <cell r="F843">
            <v>5208.333333333333</v>
          </cell>
          <cell r="G843">
            <v>4.601226993865031E-3</v>
          </cell>
          <cell r="H843">
            <v>23.964723926380369</v>
          </cell>
          <cell r="I843">
            <v>0</v>
          </cell>
        </row>
        <row r="844">
          <cell r="B844" t="str">
            <v>MO006</v>
          </cell>
          <cell r="C844" t="str">
            <v>AYUDANTE ENTUBADOR</v>
          </cell>
          <cell r="D844">
            <v>3785.5250000000001</v>
          </cell>
          <cell r="E844">
            <v>0</v>
          </cell>
          <cell r="F844">
            <v>3785.5250000000001</v>
          </cell>
          <cell r="G844">
            <v>4.6012269938650305E-2</v>
          </cell>
          <cell r="H844">
            <v>174.1805981595092</v>
          </cell>
          <cell r="I844">
            <v>0</v>
          </cell>
        </row>
        <row r="845">
          <cell r="B845" t="str">
            <v>MO001</v>
          </cell>
          <cell r="C845" t="str">
            <v>TOPOGRAFO</v>
          </cell>
          <cell r="D845">
            <v>6250</v>
          </cell>
          <cell r="E845">
            <v>0</v>
          </cell>
          <cell r="F845">
            <v>6250</v>
          </cell>
          <cell r="G845">
            <v>4.6012269938650305E-2</v>
          </cell>
          <cell r="H845">
            <v>287.57668711656441</v>
          </cell>
          <cell r="I845">
            <v>0</v>
          </cell>
        </row>
        <row r="846">
          <cell r="B846" t="str">
            <v>MO002</v>
          </cell>
          <cell r="C846" t="str">
            <v>CADENERO 1</v>
          </cell>
          <cell r="D846">
            <v>5208.333333333333</v>
          </cell>
          <cell r="E846">
            <v>0</v>
          </cell>
          <cell r="F846">
            <v>5208.333333333333</v>
          </cell>
          <cell r="G846">
            <v>4.6012269938650305E-2</v>
          </cell>
          <cell r="H846">
            <v>239.64723926380367</v>
          </cell>
          <cell r="I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 t="str">
            <v>Sub-Total</v>
          </cell>
          <cell r="G847" t="str">
            <v>3.4</v>
          </cell>
          <cell r="H847" t="str">
            <v>MDEO-3.4</v>
          </cell>
          <cell r="I847">
            <v>899.5498466257668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44.977492331288346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 t="str">
            <v>Total Costo Directo</v>
          </cell>
          <cell r="G849">
            <v>0</v>
          </cell>
          <cell r="H849">
            <v>0</v>
          </cell>
          <cell r="I849">
            <v>81792</v>
          </cell>
        </row>
        <row r="850">
          <cell r="B850">
            <v>0</v>
          </cell>
          <cell r="C850">
            <v>0</v>
          </cell>
          <cell r="D850">
            <v>0</v>
          </cell>
          <cell r="E850" t="str">
            <v>PORCENTAJE</v>
          </cell>
          <cell r="F850">
            <v>0</v>
          </cell>
          <cell r="G850" t="str">
            <v>V. COSTO INDERECTO</v>
          </cell>
          <cell r="H850">
            <v>0</v>
          </cell>
          <cell r="I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0.02</v>
          </cell>
          <cell r="F851">
            <v>0</v>
          </cell>
          <cell r="G851">
            <v>1635.8400000000001</v>
          </cell>
          <cell r="H851">
            <v>0</v>
          </cell>
          <cell r="I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0.23</v>
          </cell>
          <cell r="F852">
            <v>0</v>
          </cell>
          <cell r="G852">
            <v>18812.16</v>
          </cell>
          <cell r="H852">
            <v>0</v>
          </cell>
          <cell r="I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0.05</v>
          </cell>
          <cell r="F853">
            <v>0</v>
          </cell>
          <cell r="G853">
            <v>4089.6000000000004</v>
          </cell>
          <cell r="H853">
            <v>0</v>
          </cell>
          <cell r="I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0.02</v>
          </cell>
          <cell r="F854">
            <v>0</v>
          </cell>
          <cell r="G854">
            <v>1635.8400000000001</v>
          </cell>
          <cell r="H854">
            <v>0</v>
          </cell>
          <cell r="I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26173.439999999999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107965.44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 t="str">
            <v>REVISA</v>
          </cell>
          <cell r="G858">
            <v>0</v>
          </cell>
          <cell r="H858">
            <v>0</v>
          </cell>
          <cell r="I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 t="str">
            <v>FIRMA:</v>
          </cell>
          <cell r="G859">
            <v>0</v>
          </cell>
          <cell r="H859">
            <v>0</v>
          </cell>
          <cell r="I859">
            <v>0</v>
          </cell>
        </row>
        <row r="860">
          <cell r="B860" t="str">
            <v>LINA MARCELA</v>
          </cell>
          <cell r="C860">
            <v>0</v>
          </cell>
          <cell r="F860" t="str">
            <v>NOMBRE</v>
          </cell>
          <cell r="G860">
            <v>0</v>
          </cell>
          <cell r="H860">
            <v>0</v>
          </cell>
          <cell r="I860">
            <v>0</v>
          </cell>
        </row>
        <row r="861">
          <cell r="B861" t="str">
            <v>05202-316814 ANT</v>
          </cell>
          <cell r="C861">
            <v>0</v>
          </cell>
          <cell r="F861" t="str">
            <v>MAT:</v>
          </cell>
          <cell r="G861">
            <v>0</v>
          </cell>
          <cell r="H861">
            <v>0</v>
          </cell>
          <cell r="I861">
            <v>0</v>
          </cell>
        </row>
        <row r="862">
          <cell r="B862">
            <v>0</v>
          </cell>
          <cell r="C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</row>
        <row r="867">
          <cell r="B867" t="str">
            <v>3.5</v>
          </cell>
          <cell r="C867" t="str">
            <v>DESCRIPCION:</v>
          </cell>
          <cell r="D867" t="str">
            <v>PAVIMENTO EN CONCRETO HIDRAULICO MR 39 Mpa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</row>
        <row r="868">
          <cell r="B868" t="str">
            <v>500-13</v>
          </cell>
          <cell r="C868">
            <v>0</v>
          </cell>
          <cell r="D868" t="str">
            <v>UNIDAD</v>
          </cell>
          <cell r="E868" t="str">
            <v>M3</v>
          </cell>
          <cell r="F868" t="str">
            <v>CANTIDAD</v>
          </cell>
          <cell r="G868">
            <v>10024</v>
          </cell>
          <cell r="H868" t="str">
            <v>V. UNITARIO:</v>
          </cell>
          <cell r="I868">
            <v>692259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 t="str">
            <v>Tarifa/Hora/DIA</v>
          </cell>
          <cell r="G870" t="str">
            <v>Rendimiento</v>
          </cell>
          <cell r="H870" t="str">
            <v>Valor-Unit.</v>
          </cell>
          <cell r="I870">
            <v>0</v>
          </cell>
        </row>
        <row r="871">
          <cell r="B871" t="str">
            <v>E026</v>
          </cell>
          <cell r="C871" t="str">
            <v>TANQUE DE ALMACENAMIENTO DE AGUA</v>
          </cell>
          <cell r="D871">
            <v>0</v>
          </cell>
          <cell r="E871">
            <v>0</v>
          </cell>
          <cell r="F871">
            <v>1000</v>
          </cell>
          <cell r="G871">
            <v>0.3</v>
          </cell>
          <cell r="H871">
            <v>300</v>
          </cell>
          <cell r="I871">
            <v>0</v>
          </cell>
        </row>
        <row r="872">
          <cell r="B872" t="str">
            <v>E005</v>
          </cell>
          <cell r="C872" t="str">
            <v xml:space="preserve">NIVEL DE PRECISION </v>
          </cell>
          <cell r="D872">
            <v>0</v>
          </cell>
          <cell r="E872">
            <v>0</v>
          </cell>
          <cell r="F872">
            <v>25000</v>
          </cell>
          <cell r="G872">
            <v>0.05</v>
          </cell>
          <cell r="H872">
            <v>1250</v>
          </cell>
          <cell r="I872">
            <v>0</v>
          </cell>
        </row>
        <row r="873">
          <cell r="B873" t="str">
            <v>E006</v>
          </cell>
          <cell r="C873" t="str">
            <v>EQUIPO DE PAVIMENTO (FLOTA Y RASTRILLO)</v>
          </cell>
          <cell r="D873">
            <v>0</v>
          </cell>
          <cell r="E873">
            <v>0</v>
          </cell>
          <cell r="F873">
            <v>1500</v>
          </cell>
          <cell r="G873">
            <v>0.4</v>
          </cell>
          <cell r="H873">
            <v>600</v>
          </cell>
          <cell r="I873">
            <v>0</v>
          </cell>
        </row>
        <row r="874">
          <cell r="B874" t="str">
            <v>E027</v>
          </cell>
          <cell r="C874" t="str">
            <v>VIBRADOR DE AGUJA</v>
          </cell>
          <cell r="D874">
            <v>0</v>
          </cell>
          <cell r="E874">
            <v>0</v>
          </cell>
          <cell r="F874">
            <v>4375</v>
          </cell>
          <cell r="G874">
            <v>0.4</v>
          </cell>
          <cell r="H874">
            <v>1750</v>
          </cell>
          <cell r="I874">
            <v>0</v>
          </cell>
        </row>
        <row r="875">
          <cell r="B875" t="str">
            <v>E014</v>
          </cell>
          <cell r="C875" t="str">
            <v>FORMALETA METALICA PARA PAVIMETNO</v>
          </cell>
          <cell r="D875">
            <v>0</v>
          </cell>
          <cell r="E875">
            <v>0</v>
          </cell>
          <cell r="F875">
            <v>1100</v>
          </cell>
          <cell r="G875">
            <v>0.4</v>
          </cell>
          <cell r="H875">
            <v>440</v>
          </cell>
          <cell r="I875">
            <v>0</v>
          </cell>
        </row>
        <row r="876">
          <cell r="B876" t="str">
            <v>E021</v>
          </cell>
          <cell r="C876" t="str">
            <v>REGLA VIBRATORIA</v>
          </cell>
          <cell r="D876">
            <v>0</v>
          </cell>
          <cell r="E876">
            <v>0</v>
          </cell>
          <cell r="F876">
            <v>2500</v>
          </cell>
          <cell r="G876">
            <v>0.4</v>
          </cell>
          <cell r="H876">
            <v>1000</v>
          </cell>
          <cell r="I876">
            <v>0</v>
          </cell>
        </row>
        <row r="877">
          <cell r="B877" t="str">
            <v>E004</v>
          </cell>
          <cell r="C877" t="str">
            <v>CORTADORA DE PAVIMENTO</v>
          </cell>
          <cell r="D877">
            <v>0</v>
          </cell>
          <cell r="E877">
            <v>0</v>
          </cell>
          <cell r="F877">
            <v>7500</v>
          </cell>
          <cell r="G877">
            <v>0.2</v>
          </cell>
          <cell r="H877">
            <v>1500</v>
          </cell>
          <cell r="I877">
            <v>0</v>
          </cell>
        </row>
        <row r="878">
          <cell r="B878" t="str">
            <v>E008</v>
          </cell>
          <cell r="C878" t="str">
            <v>EQUIPO DEMOLEDOR TIPO COMPRESOR</v>
          </cell>
          <cell r="D878">
            <v>0</v>
          </cell>
          <cell r="E878">
            <v>0</v>
          </cell>
          <cell r="F878">
            <v>65000</v>
          </cell>
          <cell r="G878">
            <v>2.5000000000000001E-2</v>
          </cell>
          <cell r="H878">
            <v>1625</v>
          </cell>
          <cell r="I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 t="str">
            <v>Sub-Total</v>
          </cell>
          <cell r="G879" t="str">
            <v>3.5</v>
          </cell>
          <cell r="H879" t="str">
            <v>EQUI-3.5</v>
          </cell>
          <cell r="I879">
            <v>8465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 t="str">
            <v>UNIDAD</v>
          </cell>
          <cell r="F881" t="str">
            <v>V.UNIT</v>
          </cell>
          <cell r="G881" t="str">
            <v>CANT</v>
          </cell>
          <cell r="H881" t="str">
            <v>V.TOTAL</v>
          </cell>
          <cell r="I881">
            <v>0</v>
          </cell>
        </row>
        <row r="882">
          <cell r="B882" t="str">
            <v>M008</v>
          </cell>
          <cell r="C882" t="str">
            <v>CONCRETO PREMEZCLADO MR 3,9 Mpa</v>
          </cell>
          <cell r="D882">
            <v>0</v>
          </cell>
          <cell r="E882" t="str">
            <v>M3</v>
          </cell>
          <cell r="F882">
            <v>474413.73</v>
          </cell>
          <cell r="G882">
            <v>1.05</v>
          </cell>
          <cell r="H882">
            <v>498134.41649999999</v>
          </cell>
          <cell r="I882">
            <v>0</v>
          </cell>
        </row>
        <row r="883">
          <cell r="B883" t="str">
            <v>M009</v>
          </cell>
          <cell r="C883" t="str">
            <v>CURADOR TIPO ANTISOL</v>
          </cell>
          <cell r="D883">
            <v>0</v>
          </cell>
          <cell r="E883" t="str">
            <v>KG</v>
          </cell>
          <cell r="F883">
            <v>7500</v>
          </cell>
          <cell r="G883">
            <v>1.1111111111111112</v>
          </cell>
          <cell r="H883">
            <v>8333.3333333333339</v>
          </cell>
          <cell r="I883">
            <v>0</v>
          </cell>
        </row>
        <row r="884">
          <cell r="B884" t="str">
            <v>M030</v>
          </cell>
          <cell r="C884" t="str">
            <v>SIKAFLEX</v>
          </cell>
          <cell r="D884">
            <v>0</v>
          </cell>
          <cell r="E884" t="str">
            <v>CC</v>
          </cell>
          <cell r="F884">
            <v>31400</v>
          </cell>
          <cell r="G884">
            <v>2.7777777777777776E-2</v>
          </cell>
          <cell r="H884">
            <v>872.22222222222217</v>
          </cell>
          <cell r="I884">
            <v>0</v>
          </cell>
        </row>
        <row r="885">
          <cell r="B885" t="str">
            <v>M031</v>
          </cell>
          <cell r="C885" t="str">
            <v>SIKAROD</v>
          </cell>
          <cell r="D885">
            <v>0</v>
          </cell>
          <cell r="E885" t="str">
            <v>ML</v>
          </cell>
          <cell r="F885">
            <v>3800</v>
          </cell>
          <cell r="G885">
            <v>2.7777777777777777</v>
          </cell>
          <cell r="H885">
            <v>10555.555555555555</v>
          </cell>
          <cell r="I885">
            <v>0</v>
          </cell>
        </row>
        <row r="886">
          <cell r="B886" t="str">
            <v>M002</v>
          </cell>
          <cell r="C886" t="str">
            <v>ACERO  60000 PSI</v>
          </cell>
          <cell r="D886">
            <v>0</v>
          </cell>
          <cell r="E886" t="str">
            <v>KG</v>
          </cell>
          <cell r="F886">
            <v>5400</v>
          </cell>
          <cell r="G886">
            <v>6.1111111111111107</v>
          </cell>
          <cell r="H886">
            <v>33000</v>
          </cell>
          <cell r="I886">
            <v>0</v>
          </cell>
        </row>
        <row r="887">
          <cell r="B887" t="str">
            <v>M022</v>
          </cell>
          <cell r="C887" t="str">
            <v>PASAJUNTAS  1Ø3/4 @0,3l=,35 FABRICACION</v>
          </cell>
          <cell r="D887">
            <v>0</v>
          </cell>
          <cell r="E887" t="str">
            <v>UN</v>
          </cell>
          <cell r="F887">
            <v>17000</v>
          </cell>
          <cell r="G887">
            <v>1</v>
          </cell>
          <cell r="H887">
            <v>17000</v>
          </cell>
          <cell r="I887">
            <v>0</v>
          </cell>
        </row>
        <row r="888">
          <cell r="B888" t="str">
            <v>M010</v>
          </cell>
          <cell r="C888" t="str">
            <v>DISCO DIAMANTADO DE 14"</v>
          </cell>
          <cell r="D888">
            <v>0</v>
          </cell>
          <cell r="E888" t="str">
            <v>UN</v>
          </cell>
          <cell r="F888">
            <v>100000</v>
          </cell>
          <cell r="G888">
            <v>0.06</v>
          </cell>
          <cell r="H888">
            <v>6000</v>
          </cell>
          <cell r="I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 t="str">
            <v>Sub-Total</v>
          </cell>
          <cell r="G889" t="str">
            <v>3.5</v>
          </cell>
          <cell r="H889" t="str">
            <v>MAT-3.5</v>
          </cell>
          <cell r="I889">
            <v>573895.52761111106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</row>
        <row r="891">
          <cell r="B891">
            <v>0</v>
          </cell>
          <cell r="C891">
            <v>0</v>
          </cell>
          <cell r="D891" t="str">
            <v xml:space="preserve">CAN </v>
          </cell>
          <cell r="E891" t="str">
            <v>DISTANCIA</v>
          </cell>
          <cell r="F891" t="str">
            <v>M3-Km / UN-KM</v>
          </cell>
          <cell r="G891" t="str">
            <v>TARIFA</v>
          </cell>
          <cell r="H891" t="str">
            <v>Valor-Unit.</v>
          </cell>
          <cell r="I891">
            <v>0</v>
          </cell>
        </row>
        <row r="892">
          <cell r="B892" t="str">
            <v>T008</v>
          </cell>
          <cell r="C892" t="str">
            <v>TRANS MATERIAL &gt; 10 KM</v>
          </cell>
          <cell r="D892">
            <v>0</v>
          </cell>
          <cell r="E892">
            <v>55</v>
          </cell>
          <cell r="F892">
            <v>0</v>
          </cell>
          <cell r="G892">
            <v>980</v>
          </cell>
          <cell r="H892">
            <v>0</v>
          </cell>
          <cell r="I892">
            <v>0</v>
          </cell>
        </row>
        <row r="893"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 t="str">
            <v>Sub-Total</v>
          </cell>
          <cell r="G893" t="str">
            <v>3.5</v>
          </cell>
          <cell r="H893" t="str">
            <v>TRAN-3.5</v>
          </cell>
          <cell r="I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B895">
            <v>0</v>
          </cell>
          <cell r="C895">
            <v>0</v>
          </cell>
          <cell r="D895" t="str">
            <v>JORNAL-HORA</v>
          </cell>
          <cell r="E895" t="str">
            <v>PRES</v>
          </cell>
          <cell r="F895" t="str">
            <v>JORNAL TOTAL</v>
          </cell>
          <cell r="G895" t="str">
            <v>RENDIEMIENTO</v>
          </cell>
          <cell r="H895" t="str">
            <v>VALOR-UNIT</v>
          </cell>
          <cell r="I895">
            <v>0</v>
          </cell>
        </row>
        <row r="896">
          <cell r="B896" t="str">
            <v>MO004</v>
          </cell>
          <cell r="C896" t="str">
            <v>OFICIAL</v>
          </cell>
          <cell r="D896">
            <v>9301.6465000000026</v>
          </cell>
          <cell r="E896">
            <v>0</v>
          </cell>
          <cell r="F896">
            <v>9301.6465000000026</v>
          </cell>
          <cell r="G896">
            <v>1.6</v>
          </cell>
          <cell r="H896">
            <v>14882.634400000004</v>
          </cell>
          <cell r="I896">
            <v>0</v>
          </cell>
        </row>
        <row r="897">
          <cell r="B897" t="str">
            <v>MO005</v>
          </cell>
          <cell r="C897" t="str">
            <v>AYUDANTE ENTENDIDO</v>
          </cell>
          <cell r="D897">
            <v>8051.6465000000007</v>
          </cell>
          <cell r="E897">
            <v>0</v>
          </cell>
          <cell r="F897">
            <v>8051.6465000000007</v>
          </cell>
          <cell r="G897">
            <v>2.4000000000000004</v>
          </cell>
          <cell r="H897">
            <v>19323.951600000004</v>
          </cell>
          <cell r="I897">
            <v>0</v>
          </cell>
        </row>
        <row r="898">
          <cell r="B898" t="str">
            <v>MO006</v>
          </cell>
          <cell r="C898" t="str">
            <v>AYUDANTE</v>
          </cell>
          <cell r="D898">
            <v>6801.6465000000007</v>
          </cell>
          <cell r="E898">
            <v>0</v>
          </cell>
          <cell r="F898">
            <v>6801.6465000000007</v>
          </cell>
          <cell r="G898">
            <v>9.6000000000000014</v>
          </cell>
          <cell r="H898">
            <v>65295.806400000016</v>
          </cell>
          <cell r="I898">
            <v>0</v>
          </cell>
        </row>
        <row r="899">
          <cell r="B899" t="str">
            <v>MO001</v>
          </cell>
          <cell r="C899" t="str">
            <v>TOPOGRAFO</v>
          </cell>
          <cell r="D899">
            <v>14826.936907575571</v>
          </cell>
          <cell r="E899">
            <v>0</v>
          </cell>
          <cell r="F899">
            <v>14826.936907575571</v>
          </cell>
          <cell r="G899">
            <v>0.2</v>
          </cell>
          <cell r="H899">
            <v>2965.3873815151146</v>
          </cell>
          <cell r="I899">
            <v>0</v>
          </cell>
        </row>
        <row r="900">
          <cell r="B900" t="str">
            <v>MO002</v>
          </cell>
          <cell r="C900" t="str">
            <v>CADENERO 1</v>
          </cell>
          <cell r="D900">
            <v>10985.571938383713</v>
          </cell>
          <cell r="E900">
            <v>0</v>
          </cell>
          <cell r="F900">
            <v>10985.571938383713</v>
          </cell>
          <cell r="G900">
            <v>0.2</v>
          </cell>
          <cell r="H900">
            <v>2197.1143876767428</v>
          </cell>
          <cell r="I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 t="str">
            <v>Sub-Total</v>
          </cell>
          <cell r="G902" t="str">
            <v>3.5</v>
          </cell>
          <cell r="H902" t="str">
            <v>MDEO-3.5</v>
          </cell>
          <cell r="I902">
            <v>104664.89416919189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5233.2447084595951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 t="str">
            <v>Total Costo Directo</v>
          </cell>
          <cell r="G904">
            <v>0</v>
          </cell>
          <cell r="H904">
            <v>0</v>
          </cell>
          <cell r="I904">
            <v>692259</v>
          </cell>
        </row>
        <row r="905">
          <cell r="B905">
            <v>0</v>
          </cell>
          <cell r="C905">
            <v>0</v>
          </cell>
          <cell r="D905">
            <v>0</v>
          </cell>
          <cell r="E905" t="str">
            <v>PORCENTAJE</v>
          </cell>
          <cell r="F905">
            <v>0</v>
          </cell>
          <cell r="G905" t="str">
            <v>V. COSTO INDERECTO</v>
          </cell>
          <cell r="H905">
            <v>0</v>
          </cell>
          <cell r="I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0.02</v>
          </cell>
          <cell r="F906">
            <v>0</v>
          </cell>
          <cell r="G906">
            <v>13845.18</v>
          </cell>
          <cell r="H906">
            <v>0</v>
          </cell>
          <cell r="I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0.23</v>
          </cell>
          <cell r="F907">
            <v>0</v>
          </cell>
          <cell r="G907">
            <v>159219.57</v>
          </cell>
          <cell r="H907">
            <v>0</v>
          </cell>
          <cell r="I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0.05</v>
          </cell>
          <cell r="F908">
            <v>0</v>
          </cell>
          <cell r="G908">
            <v>34612.950000000004</v>
          </cell>
          <cell r="H908">
            <v>0</v>
          </cell>
          <cell r="I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0.02</v>
          </cell>
          <cell r="F909">
            <v>0</v>
          </cell>
          <cell r="G909">
            <v>13845.18</v>
          </cell>
          <cell r="H909">
            <v>0</v>
          </cell>
          <cell r="I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221522.88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913781.88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 t="str">
            <v>REVISA</v>
          </cell>
          <cell r="G913">
            <v>0</v>
          </cell>
          <cell r="H913">
            <v>0</v>
          </cell>
          <cell r="I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 t="str">
            <v>FIRMA:</v>
          </cell>
          <cell r="G914">
            <v>0</v>
          </cell>
          <cell r="H914">
            <v>0</v>
          </cell>
          <cell r="I914">
            <v>0</v>
          </cell>
        </row>
        <row r="915">
          <cell r="B915" t="str">
            <v>LINA MARCELA</v>
          </cell>
          <cell r="C915">
            <v>0</v>
          </cell>
          <cell r="F915" t="str">
            <v>NOMBRE</v>
          </cell>
          <cell r="G915">
            <v>0</v>
          </cell>
          <cell r="H915">
            <v>0</v>
          </cell>
          <cell r="I915">
            <v>0</v>
          </cell>
        </row>
        <row r="916">
          <cell r="B916" t="str">
            <v>05202-316814 ANT</v>
          </cell>
          <cell r="C916">
            <v>0</v>
          </cell>
          <cell r="F916" t="str">
            <v>MAT:</v>
          </cell>
          <cell r="G916">
            <v>0</v>
          </cell>
          <cell r="H916">
            <v>0</v>
          </cell>
          <cell r="I916">
            <v>0</v>
          </cell>
        </row>
        <row r="917">
          <cell r="B917">
            <v>0</v>
          </cell>
          <cell r="C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B922" t="str">
            <v>3.6</v>
          </cell>
          <cell r="C922" t="str">
            <v>DESCRIPCION:</v>
          </cell>
          <cell r="D922" t="str">
            <v>SUMINISTRO CORTE, FIGURACIÓN Y COLOCACIÓN DE ACERO 60000 PSI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</row>
        <row r="923">
          <cell r="B923" t="str">
            <v>641.1-13</v>
          </cell>
          <cell r="C923">
            <v>0</v>
          </cell>
          <cell r="D923" t="str">
            <v>UNIDAD</v>
          </cell>
          <cell r="E923" t="str">
            <v>KG</v>
          </cell>
          <cell r="F923" t="str">
            <v>CANTIDAD</v>
          </cell>
          <cell r="G923">
            <v>2160</v>
          </cell>
          <cell r="H923" t="str">
            <v>V. UNITARIO:</v>
          </cell>
          <cell r="I923">
            <v>8722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 t="str">
            <v>Tarifa/Hora</v>
          </cell>
          <cell r="G925" t="str">
            <v>Rendimiento</v>
          </cell>
          <cell r="H925" t="str">
            <v>Valor-Unit.</v>
          </cell>
          <cell r="I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 t="str">
            <v>Sub-Total</v>
          </cell>
          <cell r="G927" t="str">
            <v>3.6</v>
          </cell>
          <cell r="H927" t="str">
            <v>EQUI-3.6</v>
          </cell>
          <cell r="I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 t="str">
            <v>UNIDAD</v>
          </cell>
          <cell r="F929" t="str">
            <v>V.UNIT</v>
          </cell>
          <cell r="G929" t="str">
            <v>CANT</v>
          </cell>
          <cell r="H929" t="str">
            <v>V.TOTAL</v>
          </cell>
          <cell r="I929">
            <v>0</v>
          </cell>
        </row>
        <row r="930">
          <cell r="B930" t="str">
            <v>M002</v>
          </cell>
          <cell r="C930" t="str">
            <v>ACERO  60000 PSI</v>
          </cell>
          <cell r="D930">
            <v>0</v>
          </cell>
          <cell r="E930" t="str">
            <v>KG</v>
          </cell>
          <cell r="F930">
            <v>5400</v>
          </cell>
          <cell r="G930">
            <v>1</v>
          </cell>
          <cell r="H930">
            <v>5400</v>
          </cell>
          <cell r="I930">
            <v>0</v>
          </cell>
        </row>
        <row r="931">
          <cell r="B931" t="str">
            <v>M001</v>
          </cell>
          <cell r="C931" t="str">
            <v>ALAMBRE QUEMADO</v>
          </cell>
          <cell r="D931">
            <v>0</v>
          </cell>
          <cell r="E931" t="str">
            <v>KG</v>
          </cell>
          <cell r="F931">
            <v>4500</v>
          </cell>
          <cell r="G931">
            <v>0.4</v>
          </cell>
          <cell r="H931">
            <v>1800</v>
          </cell>
          <cell r="I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 t="str">
            <v>Sub-Total</v>
          </cell>
          <cell r="G932" t="str">
            <v>3.6</v>
          </cell>
          <cell r="H932" t="str">
            <v>MAT-3.6</v>
          </cell>
          <cell r="I932">
            <v>7200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B934">
            <v>0</v>
          </cell>
          <cell r="C934">
            <v>0</v>
          </cell>
          <cell r="D934" t="str">
            <v xml:space="preserve">CAN </v>
          </cell>
          <cell r="E934" t="str">
            <v>DISTANCIA</v>
          </cell>
          <cell r="F934" t="str">
            <v>M3-Km / UN-KM</v>
          </cell>
          <cell r="G934" t="str">
            <v>TARIFA</v>
          </cell>
          <cell r="H934" t="str">
            <v>Valor-Unit.</v>
          </cell>
          <cell r="I934">
            <v>0</v>
          </cell>
        </row>
        <row r="935">
          <cell r="B935" t="str">
            <v>T003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</row>
        <row r="936">
          <cell r="B936" t="str">
            <v>T008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B937" t="str">
            <v>T001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 t="str">
            <v>Sub-Total</v>
          </cell>
          <cell r="G938" t="str">
            <v>3.6</v>
          </cell>
          <cell r="H938" t="str">
            <v>TRAN-3.6</v>
          </cell>
          <cell r="I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</row>
        <row r="940">
          <cell r="B940">
            <v>0</v>
          </cell>
          <cell r="C940">
            <v>0</v>
          </cell>
          <cell r="D940" t="str">
            <v>JORNAL-HORA</v>
          </cell>
          <cell r="E940" t="str">
            <v>PRES</v>
          </cell>
          <cell r="F940" t="str">
            <v>JORNAL TOTAL</v>
          </cell>
          <cell r="G940" t="str">
            <v>RENDIEMIENTO</v>
          </cell>
          <cell r="H940" t="str">
            <v>VALOR-UNIT</v>
          </cell>
          <cell r="I940">
            <v>0</v>
          </cell>
        </row>
        <row r="941">
          <cell r="B941" t="str">
            <v>MO004</v>
          </cell>
          <cell r="C941" t="str">
            <v>OFICIAL</v>
          </cell>
          <cell r="D941">
            <v>9301.6465000000026</v>
          </cell>
          <cell r="E941">
            <v>0</v>
          </cell>
          <cell r="F941">
            <v>9301.6465000000026</v>
          </cell>
          <cell r="G941">
            <v>0.06</v>
          </cell>
          <cell r="H941">
            <v>558.09879000000012</v>
          </cell>
          <cell r="I941">
            <v>0</v>
          </cell>
        </row>
        <row r="942">
          <cell r="B942" t="str">
            <v>MO005</v>
          </cell>
          <cell r="C942" t="str">
            <v>AYUDANTE ENTENDIDO</v>
          </cell>
          <cell r="D942">
            <v>8051.6465000000007</v>
          </cell>
          <cell r="E942">
            <v>0</v>
          </cell>
          <cell r="F942">
            <v>8051.6465000000007</v>
          </cell>
          <cell r="G942">
            <v>0.06</v>
          </cell>
          <cell r="H942">
            <v>483.09879000000001</v>
          </cell>
          <cell r="I942">
            <v>0</v>
          </cell>
        </row>
        <row r="943">
          <cell r="B943" t="str">
            <v>MO006</v>
          </cell>
          <cell r="C943" t="str">
            <v>AYUDANTE</v>
          </cell>
          <cell r="D943">
            <v>6801.6465000000007</v>
          </cell>
          <cell r="E943">
            <v>0</v>
          </cell>
          <cell r="F943">
            <v>6801.6465000000007</v>
          </cell>
          <cell r="G943">
            <v>0.06</v>
          </cell>
          <cell r="H943">
            <v>408.09879000000001</v>
          </cell>
          <cell r="I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 t="str">
            <v>Sub-Total</v>
          </cell>
          <cell r="G945" t="str">
            <v>3.6</v>
          </cell>
          <cell r="H945" t="str">
            <v>MDEO-3.6</v>
          </cell>
          <cell r="I945">
            <v>1449.29637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72.464818500000007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 t="str">
            <v>Total Costo Directo</v>
          </cell>
          <cell r="G947">
            <v>0</v>
          </cell>
          <cell r="H947">
            <v>0</v>
          </cell>
          <cell r="I947">
            <v>8722</v>
          </cell>
        </row>
        <row r="948">
          <cell r="B948">
            <v>0</v>
          </cell>
          <cell r="C948">
            <v>0</v>
          </cell>
          <cell r="D948">
            <v>0</v>
          </cell>
          <cell r="E948" t="str">
            <v>PORCENTAJE</v>
          </cell>
          <cell r="F948">
            <v>0</v>
          </cell>
          <cell r="G948" t="str">
            <v>V. COSTO INDERECTO</v>
          </cell>
          <cell r="H948">
            <v>0</v>
          </cell>
          <cell r="I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0.02</v>
          </cell>
          <cell r="F949">
            <v>0</v>
          </cell>
          <cell r="G949">
            <v>174.44</v>
          </cell>
          <cell r="H949">
            <v>0</v>
          </cell>
          <cell r="I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0.23</v>
          </cell>
          <cell r="F950">
            <v>0</v>
          </cell>
          <cell r="G950">
            <v>2006.0600000000002</v>
          </cell>
          <cell r="H950">
            <v>0</v>
          </cell>
          <cell r="I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0.05</v>
          </cell>
          <cell r="F951">
            <v>0</v>
          </cell>
          <cell r="G951">
            <v>436.1</v>
          </cell>
          <cell r="H951">
            <v>0</v>
          </cell>
          <cell r="I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0.02</v>
          </cell>
          <cell r="F952">
            <v>0</v>
          </cell>
          <cell r="G952">
            <v>174.44</v>
          </cell>
          <cell r="H952">
            <v>0</v>
          </cell>
          <cell r="I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2791.04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11513.04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 t="str">
            <v>REVISA</v>
          </cell>
          <cell r="G956">
            <v>0</v>
          </cell>
          <cell r="H956">
            <v>0</v>
          </cell>
          <cell r="I956">
            <v>0</v>
          </cell>
        </row>
        <row r="957"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 t="str">
            <v>FIRMA:</v>
          </cell>
          <cell r="G957">
            <v>0</v>
          </cell>
          <cell r="H957">
            <v>0</v>
          </cell>
          <cell r="I957">
            <v>0</v>
          </cell>
        </row>
        <row r="958">
          <cell r="B958" t="str">
            <v>LINA MARCELA</v>
          </cell>
          <cell r="C958">
            <v>0</v>
          </cell>
          <cell r="F958" t="str">
            <v>NOMBRE</v>
          </cell>
          <cell r="G958">
            <v>0</v>
          </cell>
          <cell r="H958">
            <v>0</v>
          </cell>
          <cell r="I958">
            <v>0</v>
          </cell>
        </row>
        <row r="959">
          <cell r="B959" t="str">
            <v>05202-316814 ANT</v>
          </cell>
          <cell r="C959">
            <v>0</v>
          </cell>
          <cell r="F959" t="str">
            <v>MAT:</v>
          </cell>
          <cell r="G959">
            <v>0</v>
          </cell>
          <cell r="H959">
            <v>0</v>
          </cell>
          <cell r="I959">
            <v>0</v>
          </cell>
        </row>
        <row r="960">
          <cell r="B960">
            <v>0</v>
          </cell>
          <cell r="C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</row>
        <row r="964">
          <cell r="B964">
            <v>0</v>
          </cell>
          <cell r="I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</row>
        <row r="966">
          <cell r="B966" t="str">
            <v>4.1</v>
          </cell>
          <cell r="C966" t="str">
            <v>DESCRIPCION:</v>
          </cell>
          <cell r="D966" t="str">
            <v>BORDILLOS EN CONCRETO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B967" t="str">
            <v>672-13</v>
          </cell>
          <cell r="C967">
            <v>0</v>
          </cell>
          <cell r="D967" t="str">
            <v>UNIDAD</v>
          </cell>
          <cell r="E967" t="str">
            <v>ML</v>
          </cell>
          <cell r="F967" t="str">
            <v>CANTIDAD</v>
          </cell>
          <cell r="G967">
            <v>16647</v>
          </cell>
          <cell r="H967" t="str">
            <v>V. UNITARIO:</v>
          </cell>
          <cell r="I967">
            <v>51307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 t="str">
            <v>Tarifa/Hora</v>
          </cell>
          <cell r="G969" t="str">
            <v>Rendimiento</v>
          </cell>
          <cell r="H969" t="str">
            <v>Valor-Unit.</v>
          </cell>
          <cell r="I969">
            <v>0</v>
          </cell>
        </row>
        <row r="970">
          <cell r="B970" t="str">
            <v>E009</v>
          </cell>
          <cell r="C970" t="str">
            <v xml:space="preserve">EQUIPO PARA COMISION DE TOPOGRAFIA </v>
          </cell>
          <cell r="D970">
            <v>0</v>
          </cell>
          <cell r="E970">
            <v>0</v>
          </cell>
          <cell r="F970">
            <v>60000</v>
          </cell>
          <cell r="G970">
            <v>0.02</v>
          </cell>
          <cell r="H970">
            <v>1200</v>
          </cell>
          <cell r="I970">
            <v>0</v>
          </cell>
        </row>
        <row r="971">
          <cell r="B971" t="str">
            <v>E012</v>
          </cell>
          <cell r="C971" t="str">
            <v>FORMALETA PARA BORDILLO/CUNETA</v>
          </cell>
          <cell r="D971">
            <v>0</v>
          </cell>
          <cell r="E971">
            <v>0</v>
          </cell>
          <cell r="F971">
            <v>2150</v>
          </cell>
          <cell r="G971">
            <v>1</v>
          </cell>
          <cell r="H971">
            <v>2150</v>
          </cell>
          <cell r="I971">
            <v>0</v>
          </cell>
        </row>
        <row r="972">
          <cell r="B972" t="str">
            <v>E027</v>
          </cell>
          <cell r="C972" t="str">
            <v>VIBRADOR DE AGUJA</v>
          </cell>
          <cell r="D972">
            <v>0</v>
          </cell>
          <cell r="E972">
            <v>0</v>
          </cell>
          <cell r="F972">
            <v>4375</v>
          </cell>
          <cell r="G972">
            <v>0.3</v>
          </cell>
          <cell r="H972">
            <v>1312.5</v>
          </cell>
          <cell r="I972">
            <v>0</v>
          </cell>
        </row>
        <row r="973">
          <cell r="B973" t="str">
            <v>E018</v>
          </cell>
          <cell r="C973" t="str">
            <v>LISTON Y VARILLA AJUS. FORMALETA METALICA</v>
          </cell>
          <cell r="D973">
            <v>0</v>
          </cell>
          <cell r="E973">
            <v>0</v>
          </cell>
          <cell r="F973">
            <v>1000</v>
          </cell>
          <cell r="G973">
            <v>1</v>
          </cell>
          <cell r="H973">
            <v>1000</v>
          </cell>
          <cell r="I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 t="str">
            <v>Sub-Total</v>
          </cell>
          <cell r="G974" t="str">
            <v>4.1</v>
          </cell>
          <cell r="H974" t="str">
            <v>EQUI-4.1</v>
          </cell>
          <cell r="I974">
            <v>5662.5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 t="str">
            <v>UNIDAD</v>
          </cell>
          <cell r="F976" t="str">
            <v>V.UNIT</v>
          </cell>
          <cell r="G976" t="str">
            <v>CANT</v>
          </cell>
          <cell r="H976" t="str">
            <v>V.TOTAL</v>
          </cell>
          <cell r="I976">
            <v>0</v>
          </cell>
        </row>
        <row r="977">
          <cell r="B977" t="str">
            <v>M006</v>
          </cell>
          <cell r="C977" t="str">
            <v>CONCRETO 2500 PSI</v>
          </cell>
          <cell r="D977">
            <v>0</v>
          </cell>
          <cell r="E977" t="str">
            <v>M3</v>
          </cell>
          <cell r="F977">
            <v>310000</v>
          </cell>
          <cell r="G977">
            <v>5.2499999999999998E-2</v>
          </cell>
          <cell r="H977">
            <v>16275</v>
          </cell>
          <cell r="I977">
            <v>0</v>
          </cell>
        </row>
        <row r="978">
          <cell r="B978" t="str">
            <v>M013</v>
          </cell>
          <cell r="C978" t="str">
            <v>MORTERO 1:6 PARA PEGA Y REVITADA</v>
          </cell>
          <cell r="D978">
            <v>0</v>
          </cell>
          <cell r="E978" t="str">
            <v>M3</v>
          </cell>
          <cell r="F978">
            <v>370000</v>
          </cell>
          <cell r="G978">
            <v>0.02</v>
          </cell>
          <cell r="H978">
            <v>7400</v>
          </cell>
          <cell r="I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 t="str">
            <v>Sub-Total</v>
          </cell>
          <cell r="G979" t="str">
            <v>4.1</v>
          </cell>
          <cell r="H979" t="str">
            <v>MAT-4.1</v>
          </cell>
          <cell r="I979">
            <v>23675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B981">
            <v>0</v>
          </cell>
          <cell r="C981">
            <v>0</v>
          </cell>
          <cell r="D981" t="str">
            <v xml:space="preserve">CAN </v>
          </cell>
          <cell r="E981" t="str">
            <v>DISTANCIA</v>
          </cell>
          <cell r="F981" t="str">
            <v>M3-Km / UN-KM</v>
          </cell>
          <cell r="G981" t="str">
            <v>TARIFA</v>
          </cell>
          <cell r="H981" t="str">
            <v>Valor-Unit.</v>
          </cell>
          <cell r="I981">
            <v>0</v>
          </cell>
        </row>
        <row r="982">
          <cell r="B982" t="str">
            <v>T005</v>
          </cell>
          <cell r="C982" t="str">
            <v>TRANS INT  BORDILLO UN</v>
          </cell>
          <cell r="D982">
            <v>1</v>
          </cell>
          <cell r="E982">
            <v>1</v>
          </cell>
          <cell r="F982">
            <v>1</v>
          </cell>
          <cell r="G982">
            <v>300</v>
          </cell>
          <cell r="H982">
            <v>300</v>
          </cell>
          <cell r="I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 t="str">
            <v>Sub-Total</v>
          </cell>
          <cell r="G983" t="str">
            <v>4.1</v>
          </cell>
          <cell r="H983" t="str">
            <v>TRAN-4.1</v>
          </cell>
          <cell r="I983">
            <v>300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B985">
            <v>0</v>
          </cell>
          <cell r="C985">
            <v>0</v>
          </cell>
          <cell r="D985" t="str">
            <v>JORNAL-HORA</v>
          </cell>
          <cell r="E985" t="str">
            <v>PRES</v>
          </cell>
          <cell r="F985" t="str">
            <v>JORNAL TOTAL</v>
          </cell>
          <cell r="G985" t="str">
            <v>RENDIEMIENTO</v>
          </cell>
          <cell r="H985" t="str">
            <v>VALOR-UNIT</v>
          </cell>
          <cell r="I985">
            <v>0</v>
          </cell>
        </row>
        <row r="986">
          <cell r="B986" t="str">
            <v>MO004</v>
          </cell>
          <cell r="C986" t="str">
            <v>OFICIAL</v>
          </cell>
          <cell r="D986">
            <v>9301.6465000000026</v>
          </cell>
          <cell r="E986">
            <v>0</v>
          </cell>
          <cell r="F986">
            <v>9301.6465000000026</v>
          </cell>
          <cell r="G986">
            <v>0.65</v>
          </cell>
          <cell r="H986">
            <v>6046.0702250000022</v>
          </cell>
          <cell r="I986">
            <v>0</v>
          </cell>
        </row>
        <row r="987">
          <cell r="B987" t="str">
            <v>MO005</v>
          </cell>
          <cell r="C987" t="str">
            <v>AYUDANTE ENTENDIDO</v>
          </cell>
          <cell r="D987">
            <v>8051.6465000000007</v>
          </cell>
          <cell r="E987">
            <v>0</v>
          </cell>
          <cell r="F987">
            <v>8051.6465000000007</v>
          </cell>
          <cell r="G987">
            <v>0.65</v>
          </cell>
          <cell r="H987">
            <v>5233.5702250000004</v>
          </cell>
          <cell r="I987">
            <v>0</v>
          </cell>
        </row>
        <row r="988">
          <cell r="B988" t="str">
            <v>MO006</v>
          </cell>
          <cell r="C988" t="str">
            <v>AYUDANTE</v>
          </cell>
          <cell r="D988">
            <v>6801.6465000000007</v>
          </cell>
          <cell r="E988">
            <v>0</v>
          </cell>
          <cell r="F988">
            <v>6801.6465000000007</v>
          </cell>
          <cell r="G988">
            <v>1.3</v>
          </cell>
          <cell r="H988">
            <v>8842.1404500000008</v>
          </cell>
          <cell r="I988">
            <v>0</v>
          </cell>
        </row>
        <row r="989">
          <cell r="B989" t="str">
            <v>MO001</v>
          </cell>
          <cell r="C989" t="str">
            <v>TOPOGRAFO</v>
          </cell>
          <cell r="D989">
            <v>14826.936907575571</v>
          </cell>
          <cell r="E989">
            <v>0</v>
          </cell>
          <cell r="F989">
            <v>14826.936907575571</v>
          </cell>
          <cell r="G989">
            <v>0.02</v>
          </cell>
          <cell r="H989">
            <v>296.53873815151144</v>
          </cell>
          <cell r="I989">
            <v>0</v>
          </cell>
        </row>
        <row r="990">
          <cell r="B990" t="str">
            <v>MO002</v>
          </cell>
          <cell r="C990" t="str">
            <v>CADENERO 1</v>
          </cell>
          <cell r="D990">
            <v>10985.571938383713</v>
          </cell>
          <cell r="E990">
            <v>0</v>
          </cell>
          <cell r="F990">
            <v>10985.571938383713</v>
          </cell>
          <cell r="G990">
            <v>0.02</v>
          </cell>
          <cell r="H990">
            <v>219.71143876767428</v>
          </cell>
          <cell r="I990">
            <v>0</v>
          </cell>
        </row>
        <row r="991"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 t="str">
            <v>Sub-Total</v>
          </cell>
          <cell r="G991" t="str">
            <v>4.1</v>
          </cell>
          <cell r="H991" t="str">
            <v>MDEO-4.1</v>
          </cell>
          <cell r="I991">
            <v>20638.031076919189</v>
          </cell>
        </row>
        <row r="992"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1031.9015538459596</v>
          </cell>
        </row>
        <row r="993"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 t="str">
            <v>Total Costo Directo</v>
          </cell>
          <cell r="G993">
            <v>0</v>
          </cell>
          <cell r="H993">
            <v>0</v>
          </cell>
          <cell r="I993">
            <v>51307</v>
          </cell>
        </row>
        <row r="994">
          <cell r="B994">
            <v>0</v>
          </cell>
          <cell r="C994">
            <v>0</v>
          </cell>
          <cell r="D994">
            <v>0</v>
          </cell>
          <cell r="E994" t="str">
            <v>PORCENTAJE</v>
          </cell>
          <cell r="F994">
            <v>0</v>
          </cell>
          <cell r="G994" t="str">
            <v>V. COSTO INDERECTO</v>
          </cell>
          <cell r="H994">
            <v>0</v>
          </cell>
          <cell r="I994">
            <v>0</v>
          </cell>
        </row>
        <row r="995">
          <cell r="B995">
            <v>0</v>
          </cell>
          <cell r="C995">
            <v>0</v>
          </cell>
          <cell r="D995">
            <v>0</v>
          </cell>
          <cell r="E995">
            <v>0.02</v>
          </cell>
          <cell r="F995">
            <v>0</v>
          </cell>
          <cell r="G995">
            <v>1026.1400000000001</v>
          </cell>
          <cell r="H995">
            <v>0</v>
          </cell>
          <cell r="I995">
            <v>0</v>
          </cell>
        </row>
        <row r="996">
          <cell r="B996">
            <v>0</v>
          </cell>
          <cell r="C996">
            <v>0</v>
          </cell>
          <cell r="D996">
            <v>0</v>
          </cell>
          <cell r="E996">
            <v>0.23</v>
          </cell>
          <cell r="F996">
            <v>0</v>
          </cell>
          <cell r="G996">
            <v>11800.61</v>
          </cell>
          <cell r="H996">
            <v>0</v>
          </cell>
          <cell r="I996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0.05</v>
          </cell>
          <cell r="F997">
            <v>0</v>
          </cell>
          <cell r="G997">
            <v>2565.3500000000004</v>
          </cell>
          <cell r="H997">
            <v>0</v>
          </cell>
          <cell r="I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>
            <v>0.02</v>
          </cell>
          <cell r="F998">
            <v>0</v>
          </cell>
          <cell r="G998">
            <v>1026.1400000000001</v>
          </cell>
          <cell r="H998">
            <v>0</v>
          </cell>
          <cell r="I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16418.240000000002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67725.240000000005</v>
          </cell>
        </row>
        <row r="1001"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 t="str">
            <v>REVISA</v>
          </cell>
          <cell r="G1002">
            <v>0</v>
          </cell>
          <cell r="H1002">
            <v>0</v>
          </cell>
          <cell r="I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 t="str">
            <v>FIRMA:</v>
          </cell>
          <cell r="G1003">
            <v>0</v>
          </cell>
          <cell r="H1003">
            <v>0</v>
          </cell>
          <cell r="I1003">
            <v>0</v>
          </cell>
        </row>
        <row r="1004">
          <cell r="B1004" t="str">
            <v>LINA MARCELA</v>
          </cell>
          <cell r="C1004">
            <v>0</v>
          </cell>
          <cell r="F1004" t="str">
            <v>NOMBRE</v>
          </cell>
          <cell r="G1004">
            <v>0</v>
          </cell>
          <cell r="H1004">
            <v>0</v>
          </cell>
          <cell r="I1004">
            <v>0</v>
          </cell>
        </row>
        <row r="1005">
          <cell r="B1005" t="str">
            <v>05202-316814 ANT</v>
          </cell>
          <cell r="C1005">
            <v>0</v>
          </cell>
          <cell r="F1005" t="str">
            <v>MAT:</v>
          </cell>
          <cell r="G1005">
            <v>0</v>
          </cell>
          <cell r="H1005">
            <v>0</v>
          </cell>
          <cell r="I1005">
            <v>0</v>
          </cell>
        </row>
        <row r="1006">
          <cell r="B1006">
            <v>0</v>
          </cell>
          <cell r="C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</row>
        <row r="1011">
          <cell r="B1011" t="str">
            <v>4.2</v>
          </cell>
          <cell r="C1011" t="str">
            <v>DESCRIPCION:</v>
          </cell>
          <cell r="D1011" t="str">
            <v>LLENO DE CONFINAMIENTO PARA BORDILLO CON MATERIAL GRANULAR DE EXCAVACIÓN NO CONTAMINADO AL 60% Y 40% SUBBASE GRANULAR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</row>
        <row r="1012">
          <cell r="B1012" t="str">
            <v>230.1-13</v>
          </cell>
          <cell r="C1012">
            <v>0</v>
          </cell>
          <cell r="D1012" t="str">
            <v>UNIDAD</v>
          </cell>
          <cell r="E1012" t="str">
            <v>M3</v>
          </cell>
          <cell r="F1012" t="str">
            <v>CANTIDAD</v>
          </cell>
          <cell r="G1012">
            <v>4994</v>
          </cell>
          <cell r="H1012" t="str">
            <v>V. UNITARIO:</v>
          </cell>
          <cell r="I1012">
            <v>60221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 t="str">
            <v>Tarifa/Hora</v>
          </cell>
          <cell r="G1014" t="str">
            <v>Rendimiento</v>
          </cell>
          <cell r="H1014" t="str">
            <v>Valor-Unit.</v>
          </cell>
          <cell r="I1014">
            <v>0</v>
          </cell>
        </row>
        <row r="1015">
          <cell r="B1015" t="str">
            <v>E026</v>
          </cell>
          <cell r="C1015" t="str">
            <v>TANQUE DE ALMACENAMIENTO DE AGUA</v>
          </cell>
          <cell r="D1015">
            <v>0</v>
          </cell>
          <cell r="E1015">
            <v>0</v>
          </cell>
          <cell r="F1015">
            <v>1000</v>
          </cell>
          <cell r="G1015">
            <v>0.2</v>
          </cell>
          <cell r="H1015">
            <v>200</v>
          </cell>
          <cell r="I1015">
            <v>0</v>
          </cell>
        </row>
        <row r="1016">
          <cell r="B1016" t="str">
            <v>E009</v>
          </cell>
          <cell r="C1016" t="str">
            <v xml:space="preserve">EQUIPO PARA COMISION DE TOPOGRAFIA </v>
          </cell>
          <cell r="D1016">
            <v>0</v>
          </cell>
          <cell r="E1016">
            <v>0</v>
          </cell>
          <cell r="F1016">
            <v>60000</v>
          </cell>
          <cell r="G1016">
            <v>0.02</v>
          </cell>
          <cell r="H1016">
            <v>1200</v>
          </cell>
          <cell r="I1016">
            <v>0</v>
          </cell>
        </row>
        <row r="1017">
          <cell r="B1017" t="str">
            <v>E002</v>
          </cell>
          <cell r="C1017" t="str">
            <v>COMPACTADOR TIPO RANA</v>
          </cell>
          <cell r="D1017">
            <v>0</v>
          </cell>
          <cell r="E1017">
            <v>0</v>
          </cell>
          <cell r="F1017">
            <v>5000</v>
          </cell>
          <cell r="G1017">
            <v>1</v>
          </cell>
          <cell r="H1017">
            <v>5000</v>
          </cell>
          <cell r="I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 t="str">
            <v>Sub-Total</v>
          </cell>
          <cell r="G1018" t="str">
            <v>4.2</v>
          </cell>
          <cell r="H1018" t="str">
            <v>EQUI-4.2</v>
          </cell>
          <cell r="I1018">
            <v>6400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 t="str">
            <v>UNIDAD</v>
          </cell>
          <cell r="F1020" t="str">
            <v>V.UNIT</v>
          </cell>
          <cell r="G1020" t="str">
            <v>CANT</v>
          </cell>
          <cell r="H1020" t="str">
            <v>V.TOTAL</v>
          </cell>
          <cell r="I1020">
            <v>0</v>
          </cell>
        </row>
        <row r="1021">
          <cell r="B1021" t="str">
            <v>M002</v>
          </cell>
          <cell r="C1021" t="str">
            <v>AGUA</v>
          </cell>
          <cell r="D1021">
            <v>0</v>
          </cell>
          <cell r="E1021" t="str">
            <v>M3</v>
          </cell>
          <cell r="F1021">
            <v>2750</v>
          </cell>
          <cell r="G1021">
            <v>0.2</v>
          </cell>
          <cell r="H1021">
            <v>550</v>
          </cell>
          <cell r="I1021">
            <v>0</v>
          </cell>
        </row>
        <row r="1022">
          <cell r="B1022" t="str">
            <v>M014</v>
          </cell>
          <cell r="C1022" t="str">
            <v xml:space="preserve">SUBBASE GRANULAR </v>
          </cell>
          <cell r="D1022">
            <v>0</v>
          </cell>
          <cell r="E1022" t="str">
            <v>M3</v>
          </cell>
          <cell r="F1022">
            <v>39000</v>
          </cell>
          <cell r="G1022">
            <v>0.52</v>
          </cell>
          <cell r="H1022">
            <v>20280</v>
          </cell>
          <cell r="I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 t="str">
            <v>Sub-Total</v>
          </cell>
          <cell r="G1023" t="str">
            <v>4.2</v>
          </cell>
          <cell r="H1023" t="str">
            <v>MAT-4.2</v>
          </cell>
          <cell r="I1023">
            <v>20830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</row>
        <row r="1025">
          <cell r="B1025">
            <v>0</v>
          </cell>
          <cell r="C1025">
            <v>0</v>
          </cell>
          <cell r="D1025" t="str">
            <v xml:space="preserve">CAN </v>
          </cell>
          <cell r="E1025" t="str">
            <v>DISTANCIA</v>
          </cell>
          <cell r="F1025" t="str">
            <v>M3-Km / UN-KM</v>
          </cell>
          <cell r="G1025" t="str">
            <v>TARIFA</v>
          </cell>
          <cell r="H1025" t="str">
            <v>Valor-Unit.</v>
          </cell>
          <cell r="I1025">
            <v>0</v>
          </cell>
        </row>
        <row r="1026">
          <cell r="B1026" t="str">
            <v>T003</v>
          </cell>
          <cell r="C1026" t="str">
            <v>TRANS AGUA 0-5KM</v>
          </cell>
          <cell r="D1026">
            <v>0.2</v>
          </cell>
          <cell r="E1026">
            <v>5</v>
          </cell>
          <cell r="F1026">
            <v>1</v>
          </cell>
          <cell r="G1026">
            <v>1095</v>
          </cell>
          <cell r="H1026">
            <v>1095</v>
          </cell>
          <cell r="I1026">
            <v>0</v>
          </cell>
        </row>
        <row r="1027">
          <cell r="B1027" t="str">
            <v>T012</v>
          </cell>
          <cell r="C1027" t="str">
            <v>TRANS MATERIAL NECOCLI &gt; 10 KM</v>
          </cell>
          <cell r="D1027">
            <v>0.52</v>
          </cell>
          <cell r="E1027">
            <v>28</v>
          </cell>
          <cell r="F1027">
            <v>14.56</v>
          </cell>
          <cell r="G1027">
            <v>650</v>
          </cell>
          <cell r="H1027">
            <v>9464</v>
          </cell>
          <cell r="I1027">
            <v>0</v>
          </cell>
        </row>
        <row r="1028">
          <cell r="B1028" t="str">
            <v>T002</v>
          </cell>
          <cell r="C1028" t="str">
            <v>TRANS INT  MAT GRANULAR</v>
          </cell>
          <cell r="D1028">
            <v>0.4</v>
          </cell>
          <cell r="E1028">
            <v>1</v>
          </cell>
          <cell r="F1028">
            <v>0.4</v>
          </cell>
          <cell r="G1028">
            <v>4000</v>
          </cell>
          <cell r="H1028">
            <v>1600</v>
          </cell>
          <cell r="I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 t="str">
            <v>Sub-Total</v>
          </cell>
          <cell r="G1029" t="str">
            <v>4.2</v>
          </cell>
          <cell r="H1029" t="str">
            <v>TRAN-4.2</v>
          </cell>
          <cell r="I1029">
            <v>12159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</row>
        <row r="1031">
          <cell r="B1031">
            <v>0</v>
          </cell>
          <cell r="C1031">
            <v>0</v>
          </cell>
          <cell r="D1031" t="str">
            <v>JORNAL-HORA</v>
          </cell>
          <cell r="E1031" t="str">
            <v>PRES</v>
          </cell>
          <cell r="F1031" t="str">
            <v>JORNAL TOTAL</v>
          </cell>
          <cell r="G1031" t="str">
            <v>RENDIEMIENTO</v>
          </cell>
          <cell r="H1031" t="str">
            <v>VALOR-UNIT</v>
          </cell>
          <cell r="I1031">
            <v>0</v>
          </cell>
        </row>
        <row r="1032">
          <cell r="B1032" t="str">
            <v>MO004</v>
          </cell>
          <cell r="C1032" t="str">
            <v>OFICIAL</v>
          </cell>
          <cell r="D1032">
            <v>9301.6465000000026</v>
          </cell>
          <cell r="E1032">
            <v>0</v>
          </cell>
          <cell r="F1032">
            <v>9301.6465000000026</v>
          </cell>
          <cell r="G1032">
            <v>0.8</v>
          </cell>
          <cell r="H1032">
            <v>7441.3172000000022</v>
          </cell>
          <cell r="I1032">
            <v>0</v>
          </cell>
        </row>
        <row r="1033">
          <cell r="B1033" t="str">
            <v>MO005</v>
          </cell>
          <cell r="C1033" t="str">
            <v>AYUDANTE ENTENDIDO</v>
          </cell>
          <cell r="D1033">
            <v>8051.6465000000007</v>
          </cell>
          <cell r="E1033">
            <v>0</v>
          </cell>
          <cell r="F1033">
            <v>8051.6465000000007</v>
          </cell>
          <cell r="G1033">
            <v>0.8</v>
          </cell>
          <cell r="H1033">
            <v>6441.3172000000013</v>
          </cell>
          <cell r="I1033">
            <v>0</v>
          </cell>
        </row>
        <row r="1034">
          <cell r="B1034" t="str">
            <v>MO006</v>
          </cell>
          <cell r="C1034" t="str">
            <v>AYUDANTE</v>
          </cell>
          <cell r="D1034">
            <v>6801.6465000000007</v>
          </cell>
          <cell r="E1034">
            <v>0</v>
          </cell>
          <cell r="F1034">
            <v>6801.6465000000007</v>
          </cell>
          <cell r="G1034">
            <v>0.8</v>
          </cell>
          <cell r="H1034">
            <v>5441.3172000000013</v>
          </cell>
          <cell r="I1034">
            <v>0</v>
          </cell>
        </row>
        <row r="1035">
          <cell r="B1035" t="str">
            <v>MO001</v>
          </cell>
          <cell r="C1035" t="str">
            <v>TOPOGRAFO</v>
          </cell>
          <cell r="D1035">
            <v>14826.936907575571</v>
          </cell>
          <cell r="E1035">
            <v>0</v>
          </cell>
          <cell r="F1035">
            <v>14826.936907575571</v>
          </cell>
          <cell r="G1035">
            <v>0.02</v>
          </cell>
          <cell r="H1035">
            <v>296.53873815151144</v>
          </cell>
          <cell r="I1035">
            <v>0</v>
          </cell>
        </row>
        <row r="1036">
          <cell r="B1036" t="str">
            <v>MO002</v>
          </cell>
          <cell r="C1036" t="str">
            <v>CADENERO 1</v>
          </cell>
          <cell r="D1036">
            <v>10985.571938383713</v>
          </cell>
          <cell r="E1036">
            <v>0</v>
          </cell>
          <cell r="F1036">
            <v>10985.571938383713</v>
          </cell>
          <cell r="G1036">
            <v>0.02</v>
          </cell>
          <cell r="H1036">
            <v>219.71143876767428</v>
          </cell>
          <cell r="I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 t="str">
            <v>Sub-Total</v>
          </cell>
          <cell r="G1038" t="str">
            <v>4.2</v>
          </cell>
          <cell r="H1038" t="str">
            <v>MDEO-4.2</v>
          </cell>
          <cell r="I1038">
            <v>19840.201776919188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992.01008884595944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 t="str">
            <v>Total Costo Directo</v>
          </cell>
          <cell r="G1040">
            <v>0</v>
          </cell>
          <cell r="H1040">
            <v>0</v>
          </cell>
          <cell r="I1040">
            <v>60221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 t="str">
            <v>PORCENTAJE</v>
          </cell>
          <cell r="F1041">
            <v>0</v>
          </cell>
          <cell r="G1041" t="str">
            <v>V. COSTO INDERECTO</v>
          </cell>
          <cell r="H1041">
            <v>0</v>
          </cell>
          <cell r="I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0.02</v>
          </cell>
          <cell r="F1042">
            <v>0</v>
          </cell>
          <cell r="G1042">
            <v>1204.42</v>
          </cell>
          <cell r="H1042">
            <v>0</v>
          </cell>
          <cell r="I1042">
            <v>0</v>
          </cell>
        </row>
        <row r="1043">
          <cell r="B1043">
            <v>0</v>
          </cell>
          <cell r="C1043">
            <v>0</v>
          </cell>
          <cell r="D1043">
            <v>0</v>
          </cell>
          <cell r="E1043">
            <v>0.23</v>
          </cell>
          <cell r="F1043">
            <v>0</v>
          </cell>
          <cell r="G1043">
            <v>13850.83</v>
          </cell>
          <cell r="H1043">
            <v>0</v>
          </cell>
          <cell r="I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  <cell r="E1044">
            <v>0.05</v>
          </cell>
          <cell r="F1044">
            <v>0</v>
          </cell>
          <cell r="G1044">
            <v>3011.05</v>
          </cell>
          <cell r="H1044">
            <v>0</v>
          </cell>
          <cell r="I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0.02</v>
          </cell>
          <cell r="F1045">
            <v>0</v>
          </cell>
          <cell r="G1045">
            <v>1204.42</v>
          </cell>
          <cell r="H1045">
            <v>0</v>
          </cell>
          <cell r="I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19270.72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79491.72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 t="str">
            <v>REVISA</v>
          </cell>
          <cell r="G1049">
            <v>0</v>
          </cell>
          <cell r="H1049">
            <v>0</v>
          </cell>
          <cell r="I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 t="str">
            <v>FIRMA:</v>
          </cell>
          <cell r="G1050">
            <v>0</v>
          </cell>
          <cell r="H1050">
            <v>0</v>
          </cell>
          <cell r="I1050">
            <v>0</v>
          </cell>
        </row>
        <row r="1051">
          <cell r="B1051" t="str">
            <v>LINA MARCELA</v>
          </cell>
          <cell r="C1051">
            <v>0</v>
          </cell>
          <cell r="F1051" t="str">
            <v>NOMBRE</v>
          </cell>
          <cell r="G1051">
            <v>0</v>
          </cell>
          <cell r="H1051">
            <v>0</v>
          </cell>
          <cell r="I1051">
            <v>0</v>
          </cell>
        </row>
        <row r="1052">
          <cell r="B1052" t="str">
            <v>05202-316814 ANT</v>
          </cell>
          <cell r="C1052">
            <v>0</v>
          </cell>
          <cell r="F1052" t="str">
            <v>MAT:</v>
          </cell>
          <cell r="G1052">
            <v>0</v>
          </cell>
          <cell r="H1052">
            <v>0</v>
          </cell>
          <cell r="I1052">
            <v>0</v>
          </cell>
        </row>
        <row r="1053">
          <cell r="B1053">
            <v>0</v>
          </cell>
          <cell r="C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</row>
        <row r="1056"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</row>
        <row r="1057">
          <cell r="I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</row>
        <row r="1059">
          <cell r="B1059" t="str">
            <v>4.3</v>
          </cell>
          <cell r="C1059" t="str">
            <v>DESCRIPCION:</v>
          </cell>
          <cell r="D1059" t="str">
            <v>ANDEN EN CONCRE TEXTURIADO CON TABLETA 20*20 TACTIL Y 10*20 SEÑALIZADO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</row>
        <row r="1060">
          <cell r="B1060" t="str">
            <v>PAR-07</v>
          </cell>
          <cell r="C1060">
            <v>0</v>
          </cell>
          <cell r="D1060" t="str">
            <v>UNIDAD</v>
          </cell>
          <cell r="E1060" t="str">
            <v>M2</v>
          </cell>
          <cell r="F1060" t="str">
            <v>CANTIDAD</v>
          </cell>
          <cell r="G1060">
            <v>16647</v>
          </cell>
          <cell r="H1060" t="str">
            <v>V. UNITARIO:</v>
          </cell>
          <cell r="I1060">
            <v>78493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 t="str">
            <v>Tarifa/Hora</v>
          </cell>
          <cell r="G1062" t="str">
            <v>Rendimiento</v>
          </cell>
          <cell r="H1062" t="str">
            <v>Valor-Unit.</v>
          </cell>
          <cell r="I1062">
            <v>0</v>
          </cell>
        </row>
        <row r="1063">
          <cell r="B1063" t="str">
            <v>E018</v>
          </cell>
          <cell r="C1063" t="str">
            <v>LISTON Y VARILLA AJUS. FORMALETA METALICA</v>
          </cell>
          <cell r="D1063">
            <v>0</v>
          </cell>
          <cell r="E1063">
            <v>0</v>
          </cell>
          <cell r="F1063">
            <v>1000</v>
          </cell>
          <cell r="G1063">
            <v>0.5</v>
          </cell>
          <cell r="H1063">
            <v>500</v>
          </cell>
          <cell r="I1063">
            <v>0</v>
          </cell>
        </row>
        <row r="1064">
          <cell r="B1064" t="str">
            <v>E012</v>
          </cell>
          <cell r="C1064" t="str">
            <v>FORMALETA PARA BORDILLO/CUNETA</v>
          </cell>
          <cell r="D1064">
            <v>0</v>
          </cell>
          <cell r="E1064">
            <v>0</v>
          </cell>
          <cell r="F1064">
            <v>2150</v>
          </cell>
          <cell r="G1064">
            <v>1</v>
          </cell>
          <cell r="H1064">
            <v>2150</v>
          </cell>
          <cell r="I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</row>
        <row r="1066"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 t="str">
            <v>Sub-Total</v>
          </cell>
          <cell r="G1068" t="str">
            <v>4.3</v>
          </cell>
          <cell r="H1068" t="str">
            <v>EQUI-4.3</v>
          </cell>
          <cell r="I1068">
            <v>2650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 t="str">
            <v>UNIDAD</v>
          </cell>
          <cell r="F1070" t="str">
            <v>V.UNIT</v>
          </cell>
          <cell r="G1070" t="str">
            <v>CANT</v>
          </cell>
          <cell r="H1070" t="str">
            <v>V.TOTAL</v>
          </cell>
          <cell r="I1070">
            <v>0</v>
          </cell>
        </row>
        <row r="1071">
          <cell r="B1071" t="str">
            <v>M007</v>
          </cell>
          <cell r="C1071" t="str">
            <v>CONCRETO 3000PSI EN OBRA</v>
          </cell>
          <cell r="D1071">
            <v>0</v>
          </cell>
          <cell r="E1071" t="str">
            <v>M3</v>
          </cell>
          <cell r="F1071">
            <v>350000</v>
          </cell>
          <cell r="G1071">
            <v>0.08</v>
          </cell>
          <cell r="H1071">
            <v>28000</v>
          </cell>
          <cell r="I1071">
            <v>0</v>
          </cell>
        </row>
        <row r="1072">
          <cell r="B1072" t="str">
            <v>M034</v>
          </cell>
          <cell r="C1072" t="str">
            <v>TABLETA SEÑALIZACION 0,1*20 M GRIS</v>
          </cell>
          <cell r="D1072">
            <v>0</v>
          </cell>
          <cell r="E1072" t="str">
            <v>UN</v>
          </cell>
          <cell r="F1072">
            <v>1300</v>
          </cell>
          <cell r="G1072">
            <v>5</v>
          </cell>
          <cell r="H1072">
            <v>6500</v>
          </cell>
          <cell r="I1072">
            <v>0</v>
          </cell>
        </row>
        <row r="1073">
          <cell r="B1073" t="str">
            <v>M035</v>
          </cell>
          <cell r="C1073" t="str">
            <v>TABLETA TACTIL  GUIA 0,2*,2 M COLOR GRIS</v>
          </cell>
          <cell r="D1073">
            <v>0</v>
          </cell>
          <cell r="E1073" t="str">
            <v>UN</v>
          </cell>
          <cell r="F1073">
            <v>2100</v>
          </cell>
          <cell r="G1073">
            <v>5</v>
          </cell>
          <cell r="H1073">
            <v>10500</v>
          </cell>
          <cell r="I1073">
            <v>0</v>
          </cell>
        </row>
        <row r="1074">
          <cell r="B1074" t="str">
            <v>M009</v>
          </cell>
          <cell r="C1074" t="str">
            <v>MALLA ELECTROSOLDADA</v>
          </cell>
          <cell r="D1074">
            <v>0</v>
          </cell>
          <cell r="E1074" t="str">
            <v>KG</v>
          </cell>
          <cell r="F1074">
            <v>4550</v>
          </cell>
          <cell r="G1074">
            <v>0.05</v>
          </cell>
          <cell r="H1074">
            <v>227.5</v>
          </cell>
          <cell r="I1074">
            <v>0</v>
          </cell>
        </row>
        <row r="1075">
          <cell r="B1075" t="str">
            <v>M013</v>
          </cell>
          <cell r="C1075" t="str">
            <v>MORTERO 1:6 PARA PEGA Y REVITADA</v>
          </cell>
          <cell r="D1075">
            <v>0</v>
          </cell>
          <cell r="E1075" t="str">
            <v>M3</v>
          </cell>
          <cell r="F1075">
            <v>370000</v>
          </cell>
          <cell r="G1075">
            <v>6.0000000000000001E-3</v>
          </cell>
          <cell r="H1075">
            <v>2220</v>
          </cell>
          <cell r="I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 t="str">
            <v>Sub-Total</v>
          </cell>
          <cell r="G1076" t="str">
            <v>4.3</v>
          </cell>
          <cell r="H1076" t="str">
            <v>MAT-4.3</v>
          </cell>
          <cell r="I1076">
            <v>47447.5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</row>
        <row r="1078">
          <cell r="B1078">
            <v>0</v>
          </cell>
          <cell r="C1078">
            <v>0</v>
          </cell>
          <cell r="D1078" t="str">
            <v xml:space="preserve">CAN </v>
          </cell>
          <cell r="E1078" t="str">
            <v>DISTANCIA</v>
          </cell>
          <cell r="F1078" t="str">
            <v>M3-Km / UN-KM</v>
          </cell>
          <cell r="G1078" t="str">
            <v>TARIFA</v>
          </cell>
          <cell r="H1078" t="str">
            <v>Valor-Unit.</v>
          </cell>
          <cell r="I1078">
            <v>0</v>
          </cell>
        </row>
        <row r="1079">
          <cell r="B1079" t="str">
            <v>T007</v>
          </cell>
          <cell r="C1079" t="str">
            <v>TRANS INT TABLETA-ADOQUIN UN</v>
          </cell>
          <cell r="D1079">
            <v>10</v>
          </cell>
          <cell r="E1079">
            <v>1</v>
          </cell>
          <cell r="F1079">
            <v>20</v>
          </cell>
          <cell r="G1079">
            <v>200</v>
          </cell>
          <cell r="H1079">
            <v>4000</v>
          </cell>
          <cell r="I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 t="str">
            <v>Sub-Total</v>
          </cell>
          <cell r="G1080" t="str">
            <v>4.3</v>
          </cell>
          <cell r="H1080" t="str">
            <v>TRAN-4.3</v>
          </cell>
          <cell r="I1080">
            <v>4000</v>
          </cell>
        </row>
        <row r="1081"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</row>
        <row r="1082">
          <cell r="B1082">
            <v>0</v>
          </cell>
          <cell r="C1082">
            <v>0</v>
          </cell>
          <cell r="D1082" t="str">
            <v>JORNAL-HORA</v>
          </cell>
          <cell r="E1082" t="str">
            <v>PRES</v>
          </cell>
          <cell r="F1082" t="str">
            <v>JORNAL TOTAL</v>
          </cell>
          <cell r="G1082" t="str">
            <v>RENDIEMIENTO</v>
          </cell>
          <cell r="H1082" t="str">
            <v>VALOR-UNIT</v>
          </cell>
          <cell r="I1082">
            <v>0</v>
          </cell>
        </row>
        <row r="1083">
          <cell r="B1083" t="str">
            <v>MO004</v>
          </cell>
          <cell r="C1083" t="str">
            <v>OFICIAL ENTUBADOR</v>
          </cell>
          <cell r="D1083">
            <v>3785.5250000000001</v>
          </cell>
          <cell r="E1083">
            <v>0</v>
          </cell>
          <cell r="F1083">
            <v>3785.5250000000001</v>
          </cell>
          <cell r="G1083">
            <v>1</v>
          </cell>
          <cell r="H1083">
            <v>3785.5250000000001</v>
          </cell>
          <cell r="I1083">
            <v>0</v>
          </cell>
        </row>
        <row r="1084">
          <cell r="B1084" t="str">
            <v>MO005</v>
          </cell>
          <cell r="C1084" t="str">
            <v>AYUDANTE ENTENDIDO PAV</v>
          </cell>
          <cell r="D1084">
            <v>3785.5250000000001</v>
          </cell>
          <cell r="E1084">
            <v>0</v>
          </cell>
          <cell r="F1084">
            <v>3785.5250000000001</v>
          </cell>
          <cell r="G1084">
            <v>1</v>
          </cell>
          <cell r="H1084">
            <v>3785.5250000000001</v>
          </cell>
          <cell r="I1084">
            <v>0</v>
          </cell>
        </row>
        <row r="1085">
          <cell r="B1085" t="str">
            <v>MO006</v>
          </cell>
          <cell r="C1085" t="str">
            <v>AYUDANTE ENTUBADOR</v>
          </cell>
          <cell r="D1085">
            <v>3785.5250000000001</v>
          </cell>
          <cell r="E1085">
            <v>0</v>
          </cell>
          <cell r="F1085">
            <v>3785.5250000000001</v>
          </cell>
          <cell r="G1085">
            <v>4</v>
          </cell>
          <cell r="H1085">
            <v>15142.1</v>
          </cell>
          <cell r="I1085">
            <v>0</v>
          </cell>
        </row>
        <row r="1086">
          <cell r="B1086" t="str">
            <v>MO007</v>
          </cell>
          <cell r="C1086" t="str">
            <v>CONTRAMAESTRO</v>
          </cell>
          <cell r="D1086">
            <v>5208.333333333333</v>
          </cell>
          <cell r="E1086">
            <v>0</v>
          </cell>
          <cell r="F1086">
            <v>5208.333333333333</v>
          </cell>
          <cell r="G1086">
            <v>0.1</v>
          </cell>
          <cell r="H1086">
            <v>520.83333333333337</v>
          </cell>
          <cell r="I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</row>
        <row r="1088"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</row>
        <row r="1089"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 t="str">
            <v>Sub-Total</v>
          </cell>
          <cell r="G1089" t="str">
            <v>4.3</v>
          </cell>
          <cell r="H1089" t="str">
            <v>MDEO-4.3</v>
          </cell>
          <cell r="I1089">
            <v>23233.983333333334</v>
          </cell>
        </row>
        <row r="1090"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1161.6991666666668</v>
          </cell>
        </row>
        <row r="1091"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 t="str">
            <v>Total Costo Directo</v>
          </cell>
          <cell r="G1091">
            <v>0</v>
          </cell>
          <cell r="H1091">
            <v>0</v>
          </cell>
          <cell r="I1091">
            <v>78493</v>
          </cell>
        </row>
        <row r="1092">
          <cell r="B1092">
            <v>0</v>
          </cell>
          <cell r="C1092">
            <v>0</v>
          </cell>
          <cell r="D1092">
            <v>0</v>
          </cell>
          <cell r="E1092" t="str">
            <v>PORCENTAJE</v>
          </cell>
          <cell r="F1092">
            <v>0</v>
          </cell>
          <cell r="G1092" t="str">
            <v>V. COSTO INDERECTO</v>
          </cell>
          <cell r="H1092">
            <v>0</v>
          </cell>
          <cell r="I1092">
            <v>0</v>
          </cell>
        </row>
        <row r="1093">
          <cell r="B1093">
            <v>0</v>
          </cell>
          <cell r="C1093">
            <v>0</v>
          </cell>
          <cell r="D1093">
            <v>0</v>
          </cell>
          <cell r="E1093">
            <v>0.02</v>
          </cell>
          <cell r="F1093">
            <v>0</v>
          </cell>
          <cell r="G1093">
            <v>1569.8600000000001</v>
          </cell>
          <cell r="H1093">
            <v>0</v>
          </cell>
          <cell r="I1093">
            <v>0</v>
          </cell>
        </row>
        <row r="1094">
          <cell r="B1094">
            <v>0</v>
          </cell>
          <cell r="C1094">
            <v>0</v>
          </cell>
          <cell r="D1094">
            <v>0</v>
          </cell>
          <cell r="E1094">
            <v>0.23</v>
          </cell>
          <cell r="F1094">
            <v>0</v>
          </cell>
          <cell r="G1094">
            <v>18053.39</v>
          </cell>
          <cell r="H1094">
            <v>0</v>
          </cell>
          <cell r="I1094">
            <v>0</v>
          </cell>
        </row>
        <row r="1095">
          <cell r="B1095">
            <v>0</v>
          </cell>
          <cell r="C1095">
            <v>0</v>
          </cell>
          <cell r="D1095">
            <v>0</v>
          </cell>
          <cell r="E1095">
            <v>0.05</v>
          </cell>
          <cell r="F1095">
            <v>0</v>
          </cell>
          <cell r="G1095">
            <v>3924.65</v>
          </cell>
          <cell r="H1095">
            <v>0</v>
          </cell>
          <cell r="I1095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0.02</v>
          </cell>
          <cell r="F1096">
            <v>0</v>
          </cell>
          <cell r="G1096">
            <v>1569.8600000000001</v>
          </cell>
          <cell r="H1096">
            <v>0</v>
          </cell>
          <cell r="I1096">
            <v>0</v>
          </cell>
        </row>
        <row r="1097"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25117.760000000002</v>
          </cell>
        </row>
        <row r="1098"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103610.76000000001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</row>
        <row r="1100"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 t="str">
            <v>REVISA</v>
          </cell>
          <cell r="G1100">
            <v>0</v>
          </cell>
          <cell r="H1100">
            <v>0</v>
          </cell>
          <cell r="I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 t="str">
            <v>FIRMA:</v>
          </cell>
          <cell r="G1101">
            <v>0</v>
          </cell>
          <cell r="H1101">
            <v>0</v>
          </cell>
          <cell r="I1101">
            <v>0</v>
          </cell>
        </row>
        <row r="1102">
          <cell r="B1102" t="str">
            <v>LINA MARCELA</v>
          </cell>
          <cell r="C1102">
            <v>0</v>
          </cell>
          <cell r="F1102" t="str">
            <v>NOMBRE</v>
          </cell>
          <cell r="G1102">
            <v>0</v>
          </cell>
          <cell r="H1102">
            <v>0</v>
          </cell>
          <cell r="I1102">
            <v>0</v>
          </cell>
        </row>
        <row r="1103">
          <cell r="B1103" t="str">
            <v>05202-316814 ANT</v>
          </cell>
          <cell r="C1103">
            <v>0</v>
          </cell>
          <cell r="F1103" t="str">
            <v>MAT:</v>
          </cell>
          <cell r="G1103">
            <v>0</v>
          </cell>
          <cell r="H1103">
            <v>0</v>
          </cell>
          <cell r="I1103">
            <v>0</v>
          </cell>
        </row>
        <row r="1104">
          <cell r="B1104">
            <v>0</v>
          </cell>
          <cell r="C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</row>
        <row r="1108">
          <cell r="I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</row>
        <row r="1110">
          <cell r="B1110" t="str">
            <v>4.4</v>
          </cell>
          <cell r="C1110" t="str">
            <v>DESCRIPCION:</v>
          </cell>
          <cell r="D1110" t="str">
            <v>PINTURA TIPO TRAFICO, RESALTOS Y CRUCES CICLORUTA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</row>
        <row r="1111">
          <cell r="B1111" t="str">
            <v>710-13</v>
          </cell>
          <cell r="C1111">
            <v>0</v>
          </cell>
          <cell r="D1111" t="str">
            <v>UNIDAD</v>
          </cell>
          <cell r="E1111" t="str">
            <v>ML</v>
          </cell>
          <cell r="F1111" t="str">
            <v>CANTIDAD</v>
          </cell>
          <cell r="G1111">
            <v>558</v>
          </cell>
          <cell r="H1111" t="str">
            <v>V. UNITARIO:</v>
          </cell>
          <cell r="I1111">
            <v>12996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 t="str">
            <v>Tarifa/Hora</v>
          </cell>
          <cell r="G1113" t="str">
            <v>Rendimiento</v>
          </cell>
          <cell r="H1113" t="str">
            <v>Valor-Unit.</v>
          </cell>
          <cell r="I1113">
            <v>0</v>
          </cell>
        </row>
        <row r="1114">
          <cell r="B1114" t="str">
            <v>E007</v>
          </cell>
          <cell r="C1114" t="str">
            <v>EQUIPO DE COMPRESOR PARA PINTURA</v>
          </cell>
          <cell r="D1114">
            <v>0</v>
          </cell>
          <cell r="E1114">
            <v>0</v>
          </cell>
          <cell r="F1114">
            <v>6500</v>
          </cell>
          <cell r="G1114">
            <v>0.2</v>
          </cell>
          <cell r="H1114">
            <v>1300</v>
          </cell>
          <cell r="I1114">
            <v>0</v>
          </cell>
        </row>
        <row r="1115">
          <cell r="B1115" t="str">
            <v>E022</v>
          </cell>
          <cell r="C1115" t="str">
            <v>REGLETA, CODAL GUIA</v>
          </cell>
          <cell r="D1115">
            <v>0</v>
          </cell>
          <cell r="E1115">
            <v>0</v>
          </cell>
          <cell r="F1115">
            <v>1000</v>
          </cell>
          <cell r="G1115">
            <v>0.2</v>
          </cell>
          <cell r="H1115">
            <v>200</v>
          </cell>
          <cell r="I1115">
            <v>0</v>
          </cell>
        </row>
        <row r="1116"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 t="str">
            <v>Sub-Total</v>
          </cell>
          <cell r="G1117" t="str">
            <v>4.4</v>
          </cell>
          <cell r="H1117" t="str">
            <v>EQUI-4.4</v>
          </cell>
          <cell r="I1117">
            <v>1500</v>
          </cell>
        </row>
        <row r="1118"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</row>
        <row r="1119">
          <cell r="B1119">
            <v>0</v>
          </cell>
          <cell r="C1119">
            <v>0</v>
          </cell>
          <cell r="D1119">
            <v>0</v>
          </cell>
          <cell r="E1119" t="str">
            <v>UNIDAD</v>
          </cell>
          <cell r="F1119" t="str">
            <v>V.UNIT</v>
          </cell>
          <cell r="G1119" t="str">
            <v>CANT</v>
          </cell>
          <cell r="H1119" t="str">
            <v>V.TOTAL</v>
          </cell>
          <cell r="I1119">
            <v>0</v>
          </cell>
        </row>
        <row r="1120">
          <cell r="B1120" t="str">
            <v>M023</v>
          </cell>
          <cell r="C1120" t="str">
            <v>PINTURA TRAFICO</v>
          </cell>
          <cell r="D1120">
            <v>0</v>
          </cell>
          <cell r="E1120" t="str">
            <v>GL</v>
          </cell>
          <cell r="F1120">
            <v>145000</v>
          </cell>
          <cell r="G1120">
            <v>0.06</v>
          </cell>
          <cell r="H1120">
            <v>8700</v>
          </cell>
          <cell r="I1120">
            <v>0</v>
          </cell>
        </row>
        <row r="1121">
          <cell r="B1121" t="str">
            <v>M011</v>
          </cell>
          <cell r="C1121" t="str">
            <v>DISOLVENTE</v>
          </cell>
          <cell r="D1121">
            <v>0</v>
          </cell>
          <cell r="E1121" t="str">
            <v>GL</v>
          </cell>
          <cell r="F1121">
            <v>21650</v>
          </cell>
          <cell r="G1121">
            <v>0.06</v>
          </cell>
          <cell r="H1121">
            <v>1299</v>
          </cell>
          <cell r="I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 t="str">
            <v>Sub-Total</v>
          </cell>
          <cell r="G1122" t="str">
            <v>4.4</v>
          </cell>
          <cell r="H1122" t="str">
            <v>MAT-4.4</v>
          </cell>
          <cell r="I1122">
            <v>9999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</row>
        <row r="1124">
          <cell r="B1124">
            <v>0</v>
          </cell>
          <cell r="C1124">
            <v>0</v>
          </cell>
          <cell r="D1124" t="str">
            <v xml:space="preserve">CAN </v>
          </cell>
          <cell r="E1124" t="str">
            <v>DISTANCIA</v>
          </cell>
          <cell r="F1124" t="str">
            <v>M3-Km / UN-KM</v>
          </cell>
          <cell r="G1124" t="str">
            <v>TARIFA</v>
          </cell>
          <cell r="H1124" t="str">
            <v>Valor-Unit.</v>
          </cell>
          <cell r="I1124">
            <v>0</v>
          </cell>
        </row>
        <row r="1125"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 t="str">
            <v>Sub-Total</v>
          </cell>
          <cell r="G1126" t="str">
            <v>4.4</v>
          </cell>
          <cell r="H1126" t="str">
            <v>TRAN-4.4</v>
          </cell>
          <cell r="I1126">
            <v>0</v>
          </cell>
        </row>
        <row r="1127"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</row>
        <row r="1128">
          <cell r="B1128">
            <v>0</v>
          </cell>
          <cell r="C1128">
            <v>0</v>
          </cell>
          <cell r="D1128" t="str">
            <v>JORNAL-HORA</v>
          </cell>
          <cell r="E1128" t="str">
            <v>PRES</v>
          </cell>
          <cell r="F1128" t="str">
            <v>JORNAL TOTAL</v>
          </cell>
          <cell r="G1128" t="str">
            <v>RENDIEMIENTO</v>
          </cell>
          <cell r="H1128" t="str">
            <v>VALOR-UNIT</v>
          </cell>
          <cell r="I1128">
            <v>0</v>
          </cell>
        </row>
        <row r="1129">
          <cell r="B1129" t="str">
            <v>MO004</v>
          </cell>
          <cell r="C1129" t="str">
            <v>OFICIAL ENTUBADOR</v>
          </cell>
          <cell r="D1129">
            <v>3785.5250000000001</v>
          </cell>
          <cell r="E1129">
            <v>0</v>
          </cell>
          <cell r="F1129">
            <v>3785.5250000000001</v>
          </cell>
          <cell r="G1129">
            <v>0.12</v>
          </cell>
          <cell r="H1129">
            <v>454.26299999999998</v>
          </cell>
          <cell r="I1129">
            <v>0</v>
          </cell>
        </row>
        <row r="1130">
          <cell r="B1130" t="str">
            <v>MO005</v>
          </cell>
          <cell r="C1130" t="str">
            <v>AYUDANTE ENTENDIDO PAV</v>
          </cell>
          <cell r="D1130">
            <v>3785.5250000000001</v>
          </cell>
          <cell r="E1130">
            <v>0</v>
          </cell>
          <cell r="F1130">
            <v>3785.5250000000001</v>
          </cell>
          <cell r="G1130">
            <v>0.12</v>
          </cell>
          <cell r="H1130">
            <v>454.26299999999998</v>
          </cell>
          <cell r="I1130">
            <v>0</v>
          </cell>
        </row>
        <row r="1131">
          <cell r="B1131" t="str">
            <v>MO006</v>
          </cell>
          <cell r="C1131" t="str">
            <v>AYUDANTE ENTUBADOR</v>
          </cell>
          <cell r="D1131">
            <v>3785.5250000000001</v>
          </cell>
          <cell r="E1131">
            <v>0</v>
          </cell>
          <cell r="F1131">
            <v>3785.5250000000001</v>
          </cell>
          <cell r="G1131">
            <v>0.12</v>
          </cell>
          <cell r="H1131">
            <v>454.26299999999998</v>
          </cell>
          <cell r="I1131">
            <v>0</v>
          </cell>
        </row>
        <row r="1132">
          <cell r="B1132" t="str">
            <v>MO007</v>
          </cell>
          <cell r="C1132" t="str">
            <v>CONTRAMAESTRO</v>
          </cell>
          <cell r="D1132">
            <v>5208.333333333333</v>
          </cell>
          <cell r="E1132">
            <v>0</v>
          </cell>
          <cell r="F1132">
            <v>5208.333333333333</v>
          </cell>
          <cell r="G1132">
            <v>1.2E-2</v>
          </cell>
          <cell r="H1132">
            <v>62.5</v>
          </cell>
          <cell r="I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 t="str">
            <v>Sub-Total</v>
          </cell>
          <cell r="G1133" t="str">
            <v>4.4</v>
          </cell>
          <cell r="H1133" t="str">
            <v>MDEO-4.4</v>
          </cell>
          <cell r="I1133">
            <v>1425.289</v>
          </cell>
        </row>
        <row r="1134"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71.264449999999997</v>
          </cell>
        </row>
        <row r="1135"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 t="str">
            <v>Total Costo Directo</v>
          </cell>
          <cell r="G1135">
            <v>0</v>
          </cell>
          <cell r="H1135">
            <v>0</v>
          </cell>
          <cell r="I1135">
            <v>12996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 t="str">
            <v>PORCENTAJE</v>
          </cell>
          <cell r="F1136">
            <v>0</v>
          </cell>
          <cell r="G1136" t="str">
            <v>V. COSTO INDERECTO</v>
          </cell>
          <cell r="H1136">
            <v>0</v>
          </cell>
          <cell r="I1136">
            <v>0</v>
          </cell>
        </row>
        <row r="1137">
          <cell r="B1137">
            <v>0</v>
          </cell>
          <cell r="C1137">
            <v>0</v>
          </cell>
          <cell r="D1137">
            <v>0</v>
          </cell>
          <cell r="E1137">
            <v>0.02</v>
          </cell>
          <cell r="F1137">
            <v>0</v>
          </cell>
          <cell r="G1137">
            <v>259.92</v>
          </cell>
          <cell r="H1137">
            <v>0</v>
          </cell>
          <cell r="I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  <cell r="E1138">
            <v>0.23</v>
          </cell>
          <cell r="F1138">
            <v>0</v>
          </cell>
          <cell r="G1138">
            <v>2989.08</v>
          </cell>
          <cell r="H1138">
            <v>0</v>
          </cell>
          <cell r="I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0.05</v>
          </cell>
          <cell r="F1139">
            <v>0</v>
          </cell>
          <cell r="G1139">
            <v>649.80000000000007</v>
          </cell>
          <cell r="H1139">
            <v>0</v>
          </cell>
          <cell r="I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  <cell r="E1140">
            <v>0.02</v>
          </cell>
          <cell r="F1140">
            <v>0</v>
          </cell>
          <cell r="G1140">
            <v>259.92</v>
          </cell>
          <cell r="H1140">
            <v>0</v>
          </cell>
          <cell r="I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4158.72</v>
          </cell>
        </row>
        <row r="1142"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17154.72</v>
          </cell>
        </row>
        <row r="1143"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 t="str">
            <v>REVISA</v>
          </cell>
          <cell r="G1144">
            <v>0</v>
          </cell>
          <cell r="H1144">
            <v>0</v>
          </cell>
          <cell r="I1144">
            <v>0</v>
          </cell>
        </row>
        <row r="1145"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 t="str">
            <v>FIRMA:</v>
          </cell>
          <cell r="G1145">
            <v>0</v>
          </cell>
          <cell r="H1145">
            <v>0</v>
          </cell>
          <cell r="I1145">
            <v>0</v>
          </cell>
        </row>
        <row r="1146">
          <cell r="B1146" t="str">
            <v>LINA MARCELA</v>
          </cell>
          <cell r="C1146">
            <v>0</v>
          </cell>
          <cell r="F1146" t="str">
            <v>NOMBRE</v>
          </cell>
          <cell r="G1146">
            <v>0</v>
          </cell>
          <cell r="H1146">
            <v>0</v>
          </cell>
          <cell r="I1146">
            <v>0</v>
          </cell>
        </row>
        <row r="1147">
          <cell r="B1147" t="str">
            <v>05202-316814 ANT</v>
          </cell>
          <cell r="C1147">
            <v>0</v>
          </cell>
          <cell r="F1147" t="str">
            <v>MAT:</v>
          </cell>
          <cell r="G1147">
            <v>0</v>
          </cell>
          <cell r="H1147">
            <v>0</v>
          </cell>
          <cell r="I1147">
            <v>0</v>
          </cell>
        </row>
        <row r="1148">
          <cell r="B1148">
            <v>0</v>
          </cell>
          <cell r="C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</row>
        <row r="1153">
          <cell r="B1153" t="str">
            <v>4.5</v>
          </cell>
          <cell r="C1153" t="str">
            <v>DESCRIPCION:</v>
          </cell>
          <cell r="D1153" t="str">
            <v>PISO EN LOSETA CUADRATICA PREFABRICADA TACTIL ALERTA, 20*20 E=60 MM-SE INSTALARÁ SOBRE UNA CAPA DE MORTERO 1:4 DE 4CM.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</row>
        <row r="1154">
          <cell r="B1154" t="str">
            <v>PAR-10</v>
          </cell>
          <cell r="C1154">
            <v>0</v>
          </cell>
          <cell r="D1154" t="str">
            <v>UNIDAD</v>
          </cell>
          <cell r="E1154" t="str">
            <v>m2</v>
          </cell>
          <cell r="F1154" t="str">
            <v>CANTIDAD</v>
          </cell>
          <cell r="G1154">
            <v>124</v>
          </cell>
          <cell r="H1154" t="str">
            <v>V. UNITARIO:</v>
          </cell>
          <cell r="I1154">
            <v>84771</v>
          </cell>
        </row>
        <row r="1155"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 t="str">
            <v>Tarifa/Hora</v>
          </cell>
          <cell r="G1156" t="str">
            <v>Rendimiento</v>
          </cell>
          <cell r="H1156" t="str">
            <v>Valor-Unit.</v>
          </cell>
          <cell r="I1156">
            <v>0</v>
          </cell>
        </row>
        <row r="1157">
          <cell r="B1157" t="str">
            <v>E007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</row>
        <row r="1158">
          <cell r="B1158" t="str">
            <v>E022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 t="str">
            <v>Sub-Total</v>
          </cell>
          <cell r="G1160" t="str">
            <v>4.5</v>
          </cell>
          <cell r="H1160" t="str">
            <v>EQUI-4.5</v>
          </cell>
          <cell r="I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</row>
        <row r="1162">
          <cell r="B1162">
            <v>0</v>
          </cell>
          <cell r="C1162">
            <v>0</v>
          </cell>
          <cell r="D1162">
            <v>0</v>
          </cell>
          <cell r="E1162" t="str">
            <v>UNIDAD</v>
          </cell>
          <cell r="F1162" t="str">
            <v>V.UNIT</v>
          </cell>
          <cell r="G1162" t="str">
            <v>CANT</v>
          </cell>
          <cell r="H1162" t="str">
            <v>V.TOTAL</v>
          </cell>
          <cell r="I1162">
            <v>0</v>
          </cell>
        </row>
        <row r="1163">
          <cell r="B1163" t="str">
            <v>M036</v>
          </cell>
          <cell r="C1163" t="str">
            <v>TABLETA TACTIL ALERTA 20*20</v>
          </cell>
          <cell r="D1163">
            <v>0</v>
          </cell>
          <cell r="E1163" t="str">
            <v>UN</v>
          </cell>
          <cell r="F1163">
            <v>2100</v>
          </cell>
          <cell r="G1163">
            <v>25</v>
          </cell>
          <cell r="H1163">
            <v>52500</v>
          </cell>
          <cell r="I1163">
            <v>0</v>
          </cell>
        </row>
        <row r="1164">
          <cell r="B1164" t="str">
            <v>M013</v>
          </cell>
          <cell r="C1164" t="str">
            <v>MORTERO 1:6 PARA PEGA Y REVITADA</v>
          </cell>
          <cell r="D1164">
            <v>0</v>
          </cell>
          <cell r="E1164" t="str">
            <v>M3</v>
          </cell>
          <cell r="F1164">
            <v>370000</v>
          </cell>
          <cell r="G1164">
            <v>0.04</v>
          </cell>
          <cell r="H1164">
            <v>14800</v>
          </cell>
          <cell r="I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 t="str">
            <v>Sub-Total</v>
          </cell>
          <cell r="G1166" t="str">
            <v>4.5</v>
          </cell>
          <cell r="H1166" t="str">
            <v>MAT-4.5</v>
          </cell>
          <cell r="I1166">
            <v>67300</v>
          </cell>
        </row>
        <row r="1167"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</row>
        <row r="1168">
          <cell r="B1168">
            <v>0</v>
          </cell>
          <cell r="C1168">
            <v>0</v>
          </cell>
          <cell r="D1168" t="str">
            <v xml:space="preserve">CAN </v>
          </cell>
          <cell r="E1168" t="str">
            <v>DISTANCIA</v>
          </cell>
          <cell r="F1168" t="str">
            <v>M3-Km / UN-KM</v>
          </cell>
          <cell r="G1168" t="str">
            <v>TARIFA</v>
          </cell>
          <cell r="H1168" t="str">
            <v>Valor-Unit.</v>
          </cell>
          <cell r="I1168">
            <v>0</v>
          </cell>
        </row>
        <row r="1169">
          <cell r="B1169" t="str">
            <v>T007</v>
          </cell>
          <cell r="C1169" t="str">
            <v>TRANS INT TABLETA-ADOQUIN UN</v>
          </cell>
          <cell r="D1169">
            <v>25</v>
          </cell>
          <cell r="E1169">
            <v>1</v>
          </cell>
          <cell r="F1169">
            <v>25</v>
          </cell>
          <cell r="G1169">
            <v>200</v>
          </cell>
          <cell r="H1169">
            <v>5000</v>
          </cell>
          <cell r="I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 t="str">
            <v>Sub-Total</v>
          </cell>
          <cell r="G1171" t="str">
            <v>4.5</v>
          </cell>
          <cell r="H1171" t="str">
            <v>TRAN-4.5</v>
          </cell>
          <cell r="I1171">
            <v>5000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</row>
        <row r="1173">
          <cell r="B1173">
            <v>0</v>
          </cell>
          <cell r="C1173">
            <v>0</v>
          </cell>
          <cell r="D1173" t="str">
            <v>JORNAL-HORA</v>
          </cell>
          <cell r="E1173" t="str">
            <v>PRES</v>
          </cell>
          <cell r="F1173" t="str">
            <v>JORNAL TOTAL</v>
          </cell>
          <cell r="G1173" t="str">
            <v>RENDIEMIENTO</v>
          </cell>
          <cell r="H1173" t="str">
            <v>VALOR-UNIT</v>
          </cell>
          <cell r="I1173">
            <v>0</v>
          </cell>
        </row>
        <row r="1174">
          <cell r="B1174" t="str">
            <v>MO004</v>
          </cell>
          <cell r="C1174" t="str">
            <v>OFICIAL ENTUBADOR</v>
          </cell>
          <cell r="D1174">
            <v>3785.5250000000001</v>
          </cell>
          <cell r="E1174">
            <v>0</v>
          </cell>
          <cell r="F1174">
            <v>3785.5250000000001</v>
          </cell>
          <cell r="G1174">
            <v>1</v>
          </cell>
          <cell r="H1174">
            <v>3785.5250000000001</v>
          </cell>
          <cell r="I1174">
            <v>0</v>
          </cell>
        </row>
        <row r="1175">
          <cell r="B1175" t="str">
            <v>MO005</v>
          </cell>
          <cell r="C1175" t="str">
            <v>AYUDANTE ENTENDIDO PAV</v>
          </cell>
          <cell r="D1175">
            <v>3785.5250000000001</v>
          </cell>
          <cell r="E1175">
            <v>0</v>
          </cell>
          <cell r="F1175">
            <v>3785.5250000000001</v>
          </cell>
          <cell r="G1175">
            <v>0</v>
          </cell>
          <cell r="H1175">
            <v>0</v>
          </cell>
          <cell r="I1175">
            <v>0</v>
          </cell>
        </row>
        <row r="1176">
          <cell r="B1176" t="str">
            <v>MO006</v>
          </cell>
          <cell r="C1176" t="str">
            <v>AYUDANTE ENTUBADOR</v>
          </cell>
          <cell r="D1176">
            <v>3785.5250000000001</v>
          </cell>
          <cell r="E1176">
            <v>0</v>
          </cell>
          <cell r="F1176">
            <v>3785.5250000000001</v>
          </cell>
          <cell r="G1176">
            <v>2</v>
          </cell>
          <cell r="H1176">
            <v>7571.05</v>
          </cell>
          <cell r="I1176">
            <v>0</v>
          </cell>
        </row>
        <row r="1177">
          <cell r="B1177" t="str">
            <v>MO007</v>
          </cell>
          <cell r="C1177" t="str">
            <v>CONTRAMAESTRO</v>
          </cell>
          <cell r="D1177">
            <v>5208.333333333333</v>
          </cell>
          <cell r="E1177">
            <v>0</v>
          </cell>
          <cell r="F1177">
            <v>5208.333333333333</v>
          </cell>
          <cell r="G1177">
            <v>0.1</v>
          </cell>
          <cell r="H1177">
            <v>520.83333333333337</v>
          </cell>
          <cell r="I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 t="str">
            <v>Sub-Total</v>
          </cell>
          <cell r="G1178" t="str">
            <v>4.5</v>
          </cell>
          <cell r="H1178" t="str">
            <v>MDEO-4.5</v>
          </cell>
          <cell r="I1178">
            <v>11877.408333333335</v>
          </cell>
        </row>
        <row r="1179"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593.87041666666676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 t="str">
            <v>Total Costo Directo</v>
          </cell>
          <cell r="G1180">
            <v>0</v>
          </cell>
          <cell r="H1180">
            <v>0</v>
          </cell>
          <cell r="I1180">
            <v>84771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 t="str">
            <v>PORCENTAJE</v>
          </cell>
          <cell r="F1181">
            <v>0</v>
          </cell>
          <cell r="G1181" t="str">
            <v>V. COSTO INDERECTO</v>
          </cell>
          <cell r="H1181">
            <v>0</v>
          </cell>
          <cell r="I1181">
            <v>0</v>
          </cell>
        </row>
        <row r="1182">
          <cell r="B1182">
            <v>0</v>
          </cell>
          <cell r="C1182">
            <v>0</v>
          </cell>
          <cell r="D1182">
            <v>0</v>
          </cell>
          <cell r="E1182">
            <v>0.02</v>
          </cell>
          <cell r="F1182">
            <v>0</v>
          </cell>
          <cell r="G1182">
            <v>1695.42</v>
          </cell>
          <cell r="H1182">
            <v>0</v>
          </cell>
          <cell r="I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  <cell r="E1183">
            <v>0.23</v>
          </cell>
          <cell r="F1183">
            <v>0</v>
          </cell>
          <cell r="G1183">
            <v>19497.330000000002</v>
          </cell>
          <cell r="H1183">
            <v>0</v>
          </cell>
          <cell r="I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0.05</v>
          </cell>
          <cell r="F1184">
            <v>0</v>
          </cell>
          <cell r="G1184">
            <v>4238.55</v>
          </cell>
          <cell r="H1184">
            <v>0</v>
          </cell>
          <cell r="I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  <cell r="E1185">
            <v>0.02</v>
          </cell>
          <cell r="F1185">
            <v>0</v>
          </cell>
          <cell r="G1185">
            <v>1695.42</v>
          </cell>
          <cell r="H1185">
            <v>0</v>
          </cell>
          <cell r="I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27126.720000000001</v>
          </cell>
        </row>
        <row r="1187"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111897.72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</row>
        <row r="1189"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 t="str">
            <v>REVISA</v>
          </cell>
          <cell r="G1189">
            <v>0</v>
          </cell>
          <cell r="H1189">
            <v>0</v>
          </cell>
          <cell r="I1189">
            <v>0</v>
          </cell>
        </row>
        <row r="1190"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 t="str">
            <v>FIRMA:</v>
          </cell>
          <cell r="G1190">
            <v>0</v>
          </cell>
          <cell r="H1190">
            <v>0</v>
          </cell>
          <cell r="I1190">
            <v>0</v>
          </cell>
        </row>
        <row r="1191">
          <cell r="B1191" t="str">
            <v>LINA MARCELA</v>
          </cell>
          <cell r="C1191">
            <v>0</v>
          </cell>
          <cell r="F1191" t="str">
            <v>NOMBRE</v>
          </cell>
          <cell r="G1191">
            <v>0</v>
          </cell>
          <cell r="H1191">
            <v>0</v>
          </cell>
          <cell r="I1191">
            <v>0</v>
          </cell>
        </row>
        <row r="1192">
          <cell r="B1192" t="str">
            <v>05202-316814 ANT</v>
          </cell>
          <cell r="C1192">
            <v>0</v>
          </cell>
          <cell r="F1192" t="str">
            <v>MAT:</v>
          </cell>
          <cell r="G1192">
            <v>0</v>
          </cell>
          <cell r="H1192">
            <v>0</v>
          </cell>
          <cell r="I1192">
            <v>0</v>
          </cell>
        </row>
        <row r="1193">
          <cell r="B1193">
            <v>0</v>
          </cell>
          <cell r="C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</row>
        <row r="1195"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</row>
        <row r="1196"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</row>
        <row r="1197">
          <cell r="I1197">
            <v>0</v>
          </cell>
        </row>
        <row r="1198"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</row>
        <row r="1199">
          <cell r="B1199" t="str">
            <v>4.6</v>
          </cell>
          <cell r="C1199" t="str">
            <v>DESCRIPCION:</v>
          </cell>
          <cell r="D1199" t="str">
            <v>CONCRETO REFORZADO 21MPA PARA VIGA DE CIERRE ANDENES, ZONAS VERDES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</row>
        <row r="1200">
          <cell r="B1200" t="str">
            <v>630-13A</v>
          </cell>
          <cell r="C1200">
            <v>0</v>
          </cell>
          <cell r="D1200" t="str">
            <v>UNIDAD</v>
          </cell>
          <cell r="E1200" t="str">
            <v>M3</v>
          </cell>
          <cell r="F1200" t="str">
            <v>CANTIDAD</v>
          </cell>
          <cell r="G1200">
            <v>499</v>
          </cell>
          <cell r="H1200" t="str">
            <v>V. UNITARIO:</v>
          </cell>
          <cell r="I1200">
            <v>532517</v>
          </cell>
        </row>
        <row r="1201"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</row>
        <row r="1202"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 t="str">
            <v>Tarifa/Hora</v>
          </cell>
          <cell r="G1202" t="str">
            <v>Rendimiento</v>
          </cell>
          <cell r="H1202" t="str">
            <v>Valor-Unit.</v>
          </cell>
          <cell r="I1202">
            <v>0</v>
          </cell>
        </row>
        <row r="1203">
          <cell r="B1203" t="str">
            <v>E027</v>
          </cell>
          <cell r="C1203" t="str">
            <v>VIBRADOR DE AGUJA</v>
          </cell>
          <cell r="D1203">
            <v>0</v>
          </cell>
          <cell r="E1203">
            <v>0</v>
          </cell>
          <cell r="F1203">
            <v>4375</v>
          </cell>
          <cell r="G1203">
            <v>1</v>
          </cell>
          <cell r="H1203">
            <v>4375</v>
          </cell>
          <cell r="I1203">
            <v>0</v>
          </cell>
        </row>
        <row r="1204">
          <cell r="B1204" t="str">
            <v>E018</v>
          </cell>
          <cell r="C1204" t="str">
            <v>LISTON Y VARILLA AJUS. FORMALETA METALICA</v>
          </cell>
          <cell r="D1204">
            <v>0</v>
          </cell>
          <cell r="E1204">
            <v>0</v>
          </cell>
          <cell r="F1204">
            <v>1000</v>
          </cell>
          <cell r="G1204">
            <v>0.5</v>
          </cell>
          <cell r="H1204">
            <v>500</v>
          </cell>
          <cell r="I1204">
            <v>0</v>
          </cell>
        </row>
        <row r="1205">
          <cell r="B1205" t="str">
            <v>E012</v>
          </cell>
          <cell r="C1205" t="str">
            <v>FORMALETA PARA BORDILLO/CUNETA</v>
          </cell>
          <cell r="D1205">
            <v>0</v>
          </cell>
          <cell r="E1205">
            <v>0</v>
          </cell>
          <cell r="F1205">
            <v>2150</v>
          </cell>
          <cell r="G1205">
            <v>1</v>
          </cell>
          <cell r="H1205">
            <v>2150</v>
          </cell>
          <cell r="I1205">
            <v>0</v>
          </cell>
        </row>
        <row r="1206"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 t="str">
            <v>Sub-Total</v>
          </cell>
          <cell r="G1206" t="str">
            <v>4.6</v>
          </cell>
          <cell r="H1206" t="str">
            <v>EQUI-4.6</v>
          </cell>
          <cell r="I1206">
            <v>7025</v>
          </cell>
        </row>
        <row r="1207"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</row>
        <row r="1208">
          <cell r="B1208">
            <v>0</v>
          </cell>
          <cell r="C1208">
            <v>0</v>
          </cell>
          <cell r="D1208">
            <v>0</v>
          </cell>
          <cell r="E1208" t="str">
            <v>UNIDAD</v>
          </cell>
          <cell r="F1208" t="str">
            <v>V.UNIT</v>
          </cell>
          <cell r="G1208" t="str">
            <v>CANT</v>
          </cell>
          <cell r="H1208" t="str">
            <v>V.TOTAL</v>
          </cell>
          <cell r="I1208">
            <v>0</v>
          </cell>
        </row>
        <row r="1209">
          <cell r="B1209" t="str">
            <v>M007</v>
          </cell>
          <cell r="C1209" t="str">
            <v>CONCRETO 3000PSI EN OBRA</v>
          </cell>
          <cell r="D1209">
            <v>0</v>
          </cell>
          <cell r="E1209" t="str">
            <v>M3</v>
          </cell>
          <cell r="F1209">
            <v>350000</v>
          </cell>
          <cell r="G1209">
            <v>1</v>
          </cell>
          <cell r="H1209">
            <v>350000</v>
          </cell>
          <cell r="I1209">
            <v>0</v>
          </cell>
        </row>
        <row r="1210">
          <cell r="B1210" t="str">
            <v>M002</v>
          </cell>
          <cell r="C1210" t="str">
            <v>ACERO  60000 PSI</v>
          </cell>
          <cell r="D1210">
            <v>0</v>
          </cell>
          <cell r="E1210" t="str">
            <v>KG</v>
          </cell>
          <cell r="F1210">
            <v>5400</v>
          </cell>
          <cell r="G1210">
            <v>25</v>
          </cell>
          <cell r="H1210">
            <v>135000</v>
          </cell>
          <cell r="I1210">
            <v>0</v>
          </cell>
        </row>
        <row r="1211">
          <cell r="B1211" t="str">
            <v>M001</v>
          </cell>
          <cell r="C1211" t="str">
            <v>ALAMBRE QUEMADO</v>
          </cell>
          <cell r="D1211">
            <v>0</v>
          </cell>
          <cell r="E1211" t="str">
            <v>KG</v>
          </cell>
          <cell r="F1211">
            <v>4500</v>
          </cell>
          <cell r="G1211">
            <v>0.8</v>
          </cell>
          <cell r="H1211">
            <v>3600</v>
          </cell>
          <cell r="I1211">
            <v>0</v>
          </cell>
        </row>
        <row r="1212"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 t="str">
            <v>Sub-Total</v>
          </cell>
          <cell r="G1212" t="str">
            <v>4.6</v>
          </cell>
          <cell r="H1212" t="str">
            <v>MAT-4.6</v>
          </cell>
          <cell r="I1212">
            <v>488600</v>
          </cell>
        </row>
        <row r="1213"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</row>
        <row r="1214">
          <cell r="B1214">
            <v>0</v>
          </cell>
          <cell r="C1214">
            <v>0</v>
          </cell>
          <cell r="D1214" t="str">
            <v xml:space="preserve">CAN </v>
          </cell>
          <cell r="E1214" t="str">
            <v>DISTANCIA</v>
          </cell>
          <cell r="F1214" t="str">
            <v>M3-Km / UN-KM</v>
          </cell>
          <cell r="G1214" t="str">
            <v>TARIFA</v>
          </cell>
          <cell r="H1214" t="str">
            <v>Valor-Unit.</v>
          </cell>
          <cell r="I1214">
            <v>0</v>
          </cell>
        </row>
        <row r="1215">
          <cell r="B1215" t="str">
            <v>T001</v>
          </cell>
          <cell r="C1215" t="str">
            <v>TRANS INT CONCRETO M3</v>
          </cell>
          <cell r="D1215">
            <v>1</v>
          </cell>
          <cell r="E1215">
            <v>1</v>
          </cell>
          <cell r="F1215">
            <v>1</v>
          </cell>
          <cell r="G1215">
            <v>4000</v>
          </cell>
          <cell r="H1215">
            <v>4000</v>
          </cell>
          <cell r="I1215">
            <v>0</v>
          </cell>
        </row>
        <row r="1216"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 t="str">
            <v>Sub-Total</v>
          </cell>
          <cell r="G1216" t="str">
            <v>4.6</v>
          </cell>
          <cell r="H1216" t="str">
            <v>TRAN-4.6</v>
          </cell>
          <cell r="I1216">
            <v>4000</v>
          </cell>
        </row>
        <row r="1217"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</row>
        <row r="1218">
          <cell r="B1218">
            <v>0</v>
          </cell>
          <cell r="C1218">
            <v>0</v>
          </cell>
          <cell r="D1218" t="str">
            <v>JORNAL-HORA</v>
          </cell>
          <cell r="E1218" t="str">
            <v>PRES</v>
          </cell>
          <cell r="F1218" t="str">
            <v>JORNAL TOTAL</v>
          </cell>
          <cell r="G1218" t="str">
            <v>RENDIEMIENTO</v>
          </cell>
          <cell r="H1218" t="str">
            <v>VALOR-UNIT</v>
          </cell>
          <cell r="I1218">
            <v>0</v>
          </cell>
        </row>
        <row r="1219">
          <cell r="B1219" t="str">
            <v>MO004</v>
          </cell>
          <cell r="C1219" t="str">
            <v>OFICIAL ENTUBADOR</v>
          </cell>
          <cell r="D1219">
            <v>3785.5250000000001</v>
          </cell>
          <cell r="E1219">
            <v>0</v>
          </cell>
          <cell r="F1219">
            <v>3785.5250000000001</v>
          </cell>
          <cell r="G1219">
            <v>2</v>
          </cell>
          <cell r="H1219">
            <v>7571.05</v>
          </cell>
          <cell r="I1219">
            <v>0</v>
          </cell>
        </row>
        <row r="1220">
          <cell r="B1220" t="str">
            <v>MO005</v>
          </cell>
          <cell r="C1220" t="str">
            <v>AYUDANTE ENTENDIDO PAV</v>
          </cell>
          <cell r="D1220">
            <v>3785.5250000000001</v>
          </cell>
          <cell r="E1220">
            <v>0</v>
          </cell>
          <cell r="F1220">
            <v>3785.5250000000001</v>
          </cell>
          <cell r="G1220">
            <v>1</v>
          </cell>
          <cell r="H1220">
            <v>3785.5250000000001</v>
          </cell>
          <cell r="I1220">
            <v>0</v>
          </cell>
        </row>
        <row r="1221">
          <cell r="B1221" t="str">
            <v>MO006</v>
          </cell>
          <cell r="C1221" t="str">
            <v>AYUDANTE ENTUBADOR</v>
          </cell>
          <cell r="D1221">
            <v>3785.5250000000001</v>
          </cell>
          <cell r="E1221">
            <v>0</v>
          </cell>
          <cell r="F1221">
            <v>3785.5250000000001</v>
          </cell>
          <cell r="G1221">
            <v>5</v>
          </cell>
          <cell r="H1221">
            <v>18927.625</v>
          </cell>
          <cell r="I1221">
            <v>0</v>
          </cell>
        </row>
        <row r="1222">
          <cell r="B1222" t="str">
            <v>MO007</v>
          </cell>
          <cell r="C1222" t="str">
            <v>CONTRAMAESTRO</v>
          </cell>
          <cell r="D1222">
            <v>5208.333333333333</v>
          </cell>
          <cell r="E1222">
            <v>0</v>
          </cell>
          <cell r="F1222">
            <v>5208.333333333333</v>
          </cell>
          <cell r="G1222">
            <v>0.2</v>
          </cell>
          <cell r="H1222">
            <v>1041.6666666666667</v>
          </cell>
          <cell r="I1222">
            <v>0</v>
          </cell>
        </row>
        <row r="1223"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 t="str">
            <v>Sub-Total</v>
          </cell>
          <cell r="G1223" t="str">
            <v>4.6</v>
          </cell>
          <cell r="H1223" t="str">
            <v>MDEO-4.6</v>
          </cell>
          <cell r="I1223">
            <v>31325.866666666669</v>
          </cell>
        </row>
        <row r="1224"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1566.2933333333335</v>
          </cell>
        </row>
        <row r="1225"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 t="str">
            <v>Total Costo Directo</v>
          </cell>
          <cell r="G1225">
            <v>0</v>
          </cell>
          <cell r="H1225">
            <v>0</v>
          </cell>
          <cell r="I1225">
            <v>532517</v>
          </cell>
        </row>
        <row r="1226">
          <cell r="B1226">
            <v>0</v>
          </cell>
          <cell r="C1226">
            <v>0</v>
          </cell>
          <cell r="D1226">
            <v>0</v>
          </cell>
          <cell r="E1226" t="str">
            <v>PORCENTAJE</v>
          </cell>
          <cell r="F1226">
            <v>0</v>
          </cell>
          <cell r="G1226" t="str">
            <v>V. COSTO INDERECTO</v>
          </cell>
          <cell r="H1226">
            <v>0</v>
          </cell>
          <cell r="I1226">
            <v>0</v>
          </cell>
        </row>
        <row r="1227">
          <cell r="B1227">
            <v>0</v>
          </cell>
          <cell r="C1227">
            <v>0</v>
          </cell>
          <cell r="D1227">
            <v>0</v>
          </cell>
          <cell r="E1227">
            <v>0.02</v>
          </cell>
          <cell r="F1227">
            <v>0</v>
          </cell>
          <cell r="G1227">
            <v>10650.34</v>
          </cell>
          <cell r="H1227">
            <v>0</v>
          </cell>
          <cell r="I1227">
            <v>0</v>
          </cell>
        </row>
        <row r="1228">
          <cell r="B1228">
            <v>0</v>
          </cell>
          <cell r="C1228">
            <v>0</v>
          </cell>
          <cell r="D1228">
            <v>0</v>
          </cell>
          <cell r="E1228">
            <v>0.23</v>
          </cell>
          <cell r="F1228">
            <v>0</v>
          </cell>
          <cell r="G1228">
            <v>122478.91</v>
          </cell>
          <cell r="H1228">
            <v>0</v>
          </cell>
          <cell r="I1228">
            <v>0</v>
          </cell>
        </row>
        <row r="1229">
          <cell r="B1229">
            <v>0</v>
          </cell>
          <cell r="C1229">
            <v>0</v>
          </cell>
          <cell r="D1229">
            <v>0</v>
          </cell>
          <cell r="E1229">
            <v>0.05</v>
          </cell>
          <cell r="F1229">
            <v>0</v>
          </cell>
          <cell r="G1229">
            <v>26625.850000000002</v>
          </cell>
          <cell r="H1229">
            <v>0</v>
          </cell>
          <cell r="I1229">
            <v>0</v>
          </cell>
        </row>
        <row r="1230">
          <cell r="B1230">
            <v>0</v>
          </cell>
          <cell r="C1230">
            <v>0</v>
          </cell>
          <cell r="D1230">
            <v>0</v>
          </cell>
          <cell r="E1230">
            <v>0.02</v>
          </cell>
          <cell r="F1230">
            <v>0</v>
          </cell>
          <cell r="G1230">
            <v>10650.34</v>
          </cell>
          <cell r="H1230">
            <v>0</v>
          </cell>
          <cell r="I1230">
            <v>0</v>
          </cell>
        </row>
        <row r="1231"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170405.44</v>
          </cell>
        </row>
        <row r="1232"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702922.44</v>
          </cell>
        </row>
        <row r="1233"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</row>
        <row r="1234"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 t="str">
            <v>REVISA</v>
          </cell>
          <cell r="G1234">
            <v>0</v>
          </cell>
          <cell r="H1234">
            <v>0</v>
          </cell>
          <cell r="I1234">
            <v>0</v>
          </cell>
        </row>
        <row r="1235"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 t="str">
            <v>FIRMA:</v>
          </cell>
          <cell r="G1235">
            <v>0</v>
          </cell>
          <cell r="H1235">
            <v>0</v>
          </cell>
          <cell r="I1235">
            <v>0</v>
          </cell>
        </row>
        <row r="1236">
          <cell r="B1236" t="str">
            <v>LINA MARCELA</v>
          </cell>
          <cell r="C1236">
            <v>0</v>
          </cell>
          <cell r="F1236" t="str">
            <v>NOMBRE</v>
          </cell>
          <cell r="G1236">
            <v>0</v>
          </cell>
          <cell r="H1236">
            <v>0</v>
          </cell>
          <cell r="I1236">
            <v>0</v>
          </cell>
        </row>
        <row r="1237">
          <cell r="B1237" t="str">
            <v>05202-316814 ANT</v>
          </cell>
          <cell r="C1237">
            <v>0</v>
          </cell>
          <cell r="F1237" t="str">
            <v>MAT:</v>
          </cell>
          <cell r="G1237">
            <v>0</v>
          </cell>
          <cell r="H1237">
            <v>0</v>
          </cell>
          <cell r="I1237">
            <v>0</v>
          </cell>
        </row>
        <row r="1238">
          <cell r="B1238">
            <v>0</v>
          </cell>
          <cell r="C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</row>
        <row r="1239"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</row>
        <row r="1240"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</row>
        <row r="1241"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</row>
        <row r="1242"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</row>
        <row r="1243">
          <cell r="B1243" t="str">
            <v>4.7</v>
          </cell>
          <cell r="C1243" t="str">
            <v>DESCRIPCION:</v>
          </cell>
          <cell r="D1243" t="str">
            <v xml:space="preserve">SEÑAL VERTICAL 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</row>
        <row r="1244">
          <cell r="B1244" t="str">
            <v>PAR-22</v>
          </cell>
          <cell r="C1244">
            <v>0</v>
          </cell>
          <cell r="D1244" t="str">
            <v>UNIDAD</v>
          </cell>
          <cell r="E1244" t="str">
            <v>UNIDAD</v>
          </cell>
          <cell r="F1244" t="str">
            <v>CANTIDAD</v>
          </cell>
          <cell r="G1244">
            <v>448</v>
          </cell>
          <cell r="H1244" t="str">
            <v>V. UNITARIO:</v>
          </cell>
          <cell r="I1244">
            <v>552812</v>
          </cell>
        </row>
        <row r="1245"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</row>
        <row r="1246"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 t="str">
            <v>Tarifa/Hora</v>
          </cell>
          <cell r="G1246" t="str">
            <v>Rendimiento</v>
          </cell>
          <cell r="H1246" t="str">
            <v>Valor-Unit.</v>
          </cell>
          <cell r="I1246">
            <v>0</v>
          </cell>
        </row>
        <row r="1247">
          <cell r="B1247" t="str">
            <v>E018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</row>
        <row r="1248"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 t="str">
            <v>Sub-Total</v>
          </cell>
          <cell r="G1248" t="str">
            <v>4.7</v>
          </cell>
          <cell r="H1248" t="str">
            <v>EQUI-4.7</v>
          </cell>
          <cell r="I1248">
            <v>0</v>
          </cell>
        </row>
        <row r="1249"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</row>
        <row r="1250">
          <cell r="B1250">
            <v>0</v>
          </cell>
          <cell r="C1250">
            <v>0</v>
          </cell>
          <cell r="D1250">
            <v>0</v>
          </cell>
          <cell r="E1250" t="str">
            <v>UNIDAD</v>
          </cell>
          <cell r="F1250" t="str">
            <v>V.UNIT</v>
          </cell>
          <cell r="G1250" t="str">
            <v>CANT</v>
          </cell>
          <cell r="H1250" t="str">
            <v>V.TOTAL</v>
          </cell>
          <cell r="I1250">
            <v>0</v>
          </cell>
        </row>
        <row r="1251">
          <cell r="B1251" t="str">
            <v>M007</v>
          </cell>
          <cell r="C1251" t="str">
            <v>CONCRETO 3000PSI EN OBRA</v>
          </cell>
          <cell r="D1251">
            <v>0</v>
          </cell>
          <cell r="E1251" t="str">
            <v>M3</v>
          </cell>
          <cell r="F1251">
            <v>350000</v>
          </cell>
          <cell r="G1251">
            <v>5.3999999999999999E-2</v>
          </cell>
          <cell r="H1251">
            <v>18900</v>
          </cell>
          <cell r="I1251">
            <v>0</v>
          </cell>
        </row>
        <row r="1252">
          <cell r="B1252" t="str">
            <v>M029</v>
          </cell>
          <cell r="C1252" t="str">
            <v>SEÑAL VERTICAL</v>
          </cell>
          <cell r="D1252">
            <v>0</v>
          </cell>
          <cell r="E1252" t="str">
            <v>un</v>
          </cell>
          <cell r="F1252">
            <v>410000</v>
          </cell>
          <cell r="G1252">
            <v>1</v>
          </cell>
          <cell r="H1252">
            <v>410000</v>
          </cell>
          <cell r="I1252">
            <v>0</v>
          </cell>
        </row>
        <row r="1253"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 t="str">
            <v>Sub-Total</v>
          </cell>
          <cell r="G1253" t="str">
            <v>4.7</v>
          </cell>
          <cell r="H1253" t="str">
            <v>MAT-4.7</v>
          </cell>
          <cell r="I1253">
            <v>428900</v>
          </cell>
        </row>
        <row r="1254"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</row>
        <row r="1255">
          <cell r="B1255">
            <v>0</v>
          </cell>
          <cell r="C1255">
            <v>0</v>
          </cell>
          <cell r="D1255" t="str">
            <v xml:space="preserve">CAN </v>
          </cell>
          <cell r="E1255" t="str">
            <v>DISTANCIA</v>
          </cell>
          <cell r="F1255" t="str">
            <v>M3-Km / UN-KM</v>
          </cell>
          <cell r="G1255" t="str">
            <v>TARIFA</v>
          </cell>
          <cell r="H1255" t="str">
            <v>Valor-Unit.</v>
          </cell>
          <cell r="I1255">
            <v>0</v>
          </cell>
        </row>
        <row r="1256">
          <cell r="B1256" t="str">
            <v>T001</v>
          </cell>
          <cell r="C1256" t="str">
            <v>TRANS INT CONCRETO M3</v>
          </cell>
          <cell r="D1256">
            <v>5.3999999999999999E-2</v>
          </cell>
          <cell r="E1256">
            <v>1</v>
          </cell>
          <cell r="F1256">
            <v>5.3999999999999999E-2</v>
          </cell>
          <cell r="G1256">
            <v>4000</v>
          </cell>
          <cell r="H1256">
            <v>216</v>
          </cell>
          <cell r="I1256">
            <v>0</v>
          </cell>
        </row>
        <row r="1257"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 t="str">
            <v>Sub-Total</v>
          </cell>
          <cell r="G1258" t="str">
            <v>4.7</v>
          </cell>
          <cell r="H1258" t="str">
            <v>TRAN-4.7</v>
          </cell>
          <cell r="I1258">
            <v>216</v>
          </cell>
        </row>
        <row r="1259"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</row>
        <row r="1260">
          <cell r="B1260">
            <v>0</v>
          </cell>
          <cell r="C1260">
            <v>0</v>
          </cell>
          <cell r="D1260" t="str">
            <v>JORNAL-HORA</v>
          </cell>
          <cell r="E1260" t="str">
            <v>PRES</v>
          </cell>
          <cell r="F1260" t="str">
            <v>JORNAL TOTAL</v>
          </cell>
          <cell r="G1260" t="str">
            <v>RENDIEMIENTO</v>
          </cell>
          <cell r="H1260" t="str">
            <v>VALOR-UNIT</v>
          </cell>
          <cell r="I1260">
            <v>0</v>
          </cell>
        </row>
        <row r="1261">
          <cell r="B1261" t="str">
            <v>MO004</v>
          </cell>
          <cell r="C1261" t="str">
            <v>OFICIAL</v>
          </cell>
          <cell r="D1261">
            <v>9301.6465000000026</v>
          </cell>
          <cell r="E1261">
            <v>0.56000000000000005</v>
          </cell>
          <cell r="F1261">
            <v>14510.568540000004</v>
          </cell>
          <cell r="G1261">
            <v>2</v>
          </cell>
          <cell r="H1261">
            <v>29021.137080000008</v>
          </cell>
          <cell r="I1261">
            <v>0</v>
          </cell>
        </row>
        <row r="1262">
          <cell r="B1262" t="str">
            <v>MO005</v>
          </cell>
          <cell r="C1262" t="str">
            <v>AYUDANTE ENTENDIDO</v>
          </cell>
          <cell r="D1262">
            <v>8051.6465000000007</v>
          </cell>
          <cell r="E1262">
            <v>0.56000000000000005</v>
          </cell>
          <cell r="F1262">
            <v>12560.568540000002</v>
          </cell>
          <cell r="G1262">
            <v>2</v>
          </cell>
          <cell r="H1262">
            <v>25121.137080000004</v>
          </cell>
          <cell r="I1262">
            <v>0</v>
          </cell>
        </row>
        <row r="1263">
          <cell r="B1263" t="str">
            <v>MO006</v>
          </cell>
          <cell r="C1263" t="str">
            <v>AYUDANTE</v>
          </cell>
          <cell r="D1263">
            <v>6801.6465000000007</v>
          </cell>
          <cell r="E1263">
            <v>0.56000000000000005</v>
          </cell>
          <cell r="F1263">
            <v>10610.568540000002</v>
          </cell>
          <cell r="G1263">
            <v>6</v>
          </cell>
          <cell r="H1263">
            <v>63663.411240000016</v>
          </cell>
          <cell r="I1263">
            <v>0</v>
          </cell>
        </row>
        <row r="1264"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</row>
        <row r="1265"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</row>
        <row r="1266"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</row>
        <row r="1267"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 t="str">
            <v>Sub-Total</v>
          </cell>
          <cell r="G1267" t="str">
            <v>4.7</v>
          </cell>
          <cell r="H1267" t="str">
            <v>MDEO-4.7</v>
          </cell>
          <cell r="I1267">
            <v>117805.68540000003</v>
          </cell>
        </row>
        <row r="1268"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5890.2842700000019</v>
          </cell>
        </row>
        <row r="1269">
          <cell r="B1269">
            <v>0</v>
          </cell>
          <cell r="C1269">
            <v>0</v>
          </cell>
          <cell r="D1269">
            <v>0</v>
          </cell>
          <cell r="E1269">
            <v>0</v>
          </cell>
          <cell r="F1269" t="str">
            <v>Total Costo Directo</v>
          </cell>
          <cell r="G1269">
            <v>0</v>
          </cell>
          <cell r="H1269">
            <v>0</v>
          </cell>
          <cell r="I1269">
            <v>552812</v>
          </cell>
        </row>
        <row r="1270">
          <cell r="B1270">
            <v>0</v>
          </cell>
          <cell r="C1270">
            <v>0</v>
          </cell>
          <cell r="D1270">
            <v>0</v>
          </cell>
          <cell r="E1270" t="str">
            <v>PORCENTAJE</v>
          </cell>
          <cell r="F1270">
            <v>0</v>
          </cell>
          <cell r="G1270" t="str">
            <v>V. COSTO INDERECTO</v>
          </cell>
          <cell r="H1270">
            <v>0</v>
          </cell>
          <cell r="I1270">
            <v>0</v>
          </cell>
        </row>
        <row r="1271">
          <cell r="B1271">
            <v>0</v>
          </cell>
          <cell r="C1271">
            <v>0</v>
          </cell>
          <cell r="D1271">
            <v>0</v>
          </cell>
          <cell r="E1271">
            <v>0.02</v>
          </cell>
          <cell r="F1271">
            <v>0</v>
          </cell>
          <cell r="G1271">
            <v>11056.24</v>
          </cell>
          <cell r="H1271">
            <v>0</v>
          </cell>
          <cell r="I1271">
            <v>0</v>
          </cell>
        </row>
        <row r="1272">
          <cell r="B1272">
            <v>0</v>
          </cell>
          <cell r="C1272">
            <v>0</v>
          </cell>
          <cell r="D1272">
            <v>0</v>
          </cell>
          <cell r="E1272">
            <v>0.23</v>
          </cell>
          <cell r="F1272">
            <v>0</v>
          </cell>
          <cell r="G1272">
            <v>127146.76000000001</v>
          </cell>
          <cell r="H1272">
            <v>0</v>
          </cell>
          <cell r="I1272">
            <v>0</v>
          </cell>
        </row>
        <row r="1273">
          <cell r="B1273">
            <v>0</v>
          </cell>
          <cell r="C1273">
            <v>0</v>
          </cell>
          <cell r="D1273">
            <v>0</v>
          </cell>
          <cell r="E1273">
            <v>0.05</v>
          </cell>
          <cell r="F1273">
            <v>0</v>
          </cell>
          <cell r="G1273">
            <v>27640.600000000002</v>
          </cell>
          <cell r="H1273">
            <v>0</v>
          </cell>
          <cell r="I1273">
            <v>0</v>
          </cell>
        </row>
        <row r="1274">
          <cell r="B1274">
            <v>0</v>
          </cell>
          <cell r="C1274">
            <v>0</v>
          </cell>
          <cell r="D1274">
            <v>0</v>
          </cell>
          <cell r="E1274">
            <v>0.02</v>
          </cell>
          <cell r="F1274">
            <v>0</v>
          </cell>
          <cell r="G1274">
            <v>11056.24</v>
          </cell>
          <cell r="H1274">
            <v>0</v>
          </cell>
          <cell r="I1274">
            <v>0</v>
          </cell>
        </row>
        <row r="1275"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176899.84</v>
          </cell>
        </row>
        <row r="1276"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729711.84</v>
          </cell>
        </row>
        <row r="1277"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</row>
        <row r="1278"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 t="str">
            <v>REVISA</v>
          </cell>
          <cell r="G1278">
            <v>0</v>
          </cell>
          <cell r="H1278">
            <v>0</v>
          </cell>
          <cell r="I1278">
            <v>0</v>
          </cell>
        </row>
        <row r="1279"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 t="str">
            <v>FIRMA:</v>
          </cell>
          <cell r="G1279">
            <v>0</v>
          </cell>
          <cell r="H1279">
            <v>0</v>
          </cell>
          <cell r="I1279">
            <v>0</v>
          </cell>
        </row>
        <row r="1280">
          <cell r="B1280" t="str">
            <v>LINA MARCELA</v>
          </cell>
          <cell r="C1280">
            <v>0</v>
          </cell>
          <cell r="F1280" t="str">
            <v>NOMBRE</v>
          </cell>
          <cell r="G1280">
            <v>0</v>
          </cell>
          <cell r="H1280">
            <v>0</v>
          </cell>
          <cell r="I1280">
            <v>0</v>
          </cell>
        </row>
        <row r="1281">
          <cell r="B1281" t="str">
            <v>05202-316814 ANT</v>
          </cell>
          <cell r="C1281">
            <v>0</v>
          </cell>
          <cell r="F1281" t="str">
            <v>MAT:</v>
          </cell>
          <cell r="G1281">
            <v>0</v>
          </cell>
          <cell r="H1281">
            <v>0</v>
          </cell>
          <cell r="I1281">
            <v>0</v>
          </cell>
        </row>
        <row r="1282">
          <cell r="B1282">
            <v>0</v>
          </cell>
          <cell r="C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</row>
        <row r="1284"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</row>
        <row r="1285"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</row>
        <row r="1286"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</row>
        <row r="1287">
          <cell r="B1287" t="str">
            <v>5.4</v>
          </cell>
          <cell r="C1287" t="str">
            <v>DESCRIPCION:</v>
          </cell>
          <cell r="D1287" t="str">
            <v>ESPECIES Y JARDINERIA TIPO I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</row>
        <row r="1288">
          <cell r="B1288" t="str">
            <v>820-13B</v>
          </cell>
          <cell r="C1288">
            <v>0</v>
          </cell>
          <cell r="D1288" t="str">
            <v>UNIDAD</v>
          </cell>
          <cell r="E1288" t="str">
            <v>UNIDAD</v>
          </cell>
          <cell r="F1288" t="str">
            <v>CANTIDAD</v>
          </cell>
          <cell r="G1288" t="e">
            <v>#N/A</v>
          </cell>
          <cell r="H1288" t="str">
            <v>V. UNITARIO:</v>
          </cell>
          <cell r="I1288">
            <v>138107</v>
          </cell>
        </row>
        <row r="1289"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</row>
        <row r="1290"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 t="str">
            <v>Tarifa/Hora</v>
          </cell>
          <cell r="G1290" t="str">
            <v>Rendimiento</v>
          </cell>
          <cell r="H1290" t="str">
            <v>Valor-Unit.</v>
          </cell>
          <cell r="I1290">
            <v>0</v>
          </cell>
        </row>
        <row r="1291">
          <cell r="B1291" t="str">
            <v>E018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</row>
        <row r="1292">
          <cell r="B1292" t="str">
            <v>E013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</row>
        <row r="1293">
          <cell r="B1293" t="str">
            <v>E027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</row>
        <row r="1294">
          <cell r="B1294" t="str">
            <v>E018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</row>
        <row r="1295">
          <cell r="B1295" t="str">
            <v>E011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</row>
        <row r="1296">
          <cell r="B1296" t="str">
            <v>E003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</row>
        <row r="1297"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 t="str">
            <v>Sub-Total</v>
          </cell>
          <cell r="G1297" t="str">
            <v>5.4</v>
          </cell>
          <cell r="H1297" t="str">
            <v>EQUI-5.4</v>
          </cell>
          <cell r="I1297">
            <v>0</v>
          </cell>
        </row>
        <row r="1298"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</row>
        <row r="1299">
          <cell r="B1299">
            <v>0</v>
          </cell>
          <cell r="C1299">
            <v>0</v>
          </cell>
          <cell r="D1299">
            <v>0</v>
          </cell>
          <cell r="E1299" t="str">
            <v>UNIDAD</v>
          </cell>
          <cell r="F1299" t="str">
            <v>V.UNIT</v>
          </cell>
          <cell r="G1299" t="str">
            <v>CANT</v>
          </cell>
          <cell r="H1299" t="str">
            <v>V.TOTAL</v>
          </cell>
          <cell r="I1299">
            <v>0</v>
          </cell>
        </row>
        <row r="1300">
          <cell r="B1300" t="str">
            <v>M126</v>
          </cell>
          <cell r="C1300" t="str">
            <v xml:space="preserve">ESPECIE DURANTA VERDE </v>
          </cell>
          <cell r="D1300">
            <v>0</v>
          </cell>
          <cell r="E1300" t="str">
            <v>UN</v>
          </cell>
          <cell r="F1300">
            <v>4800</v>
          </cell>
          <cell r="G1300">
            <v>4</v>
          </cell>
          <cell r="H1300">
            <v>19200</v>
          </cell>
          <cell r="I1300">
            <v>0</v>
          </cell>
        </row>
        <row r="1301">
          <cell r="B1301" t="str">
            <v>M127</v>
          </cell>
          <cell r="C1301" t="str">
            <v>ESPECIE DURANTA ROJA</v>
          </cell>
          <cell r="D1301">
            <v>0</v>
          </cell>
          <cell r="E1301" t="str">
            <v>UN</v>
          </cell>
          <cell r="F1301">
            <v>4800</v>
          </cell>
          <cell r="G1301">
            <v>2</v>
          </cell>
          <cell r="H1301">
            <v>9600</v>
          </cell>
          <cell r="I1301">
            <v>0</v>
          </cell>
        </row>
        <row r="1302">
          <cell r="B1302" t="str">
            <v>M128</v>
          </cell>
          <cell r="C1302" t="str">
            <v>ESPECIE OITI</v>
          </cell>
          <cell r="D1302">
            <v>0</v>
          </cell>
          <cell r="E1302" t="str">
            <v>UN</v>
          </cell>
          <cell r="F1302">
            <v>33600</v>
          </cell>
          <cell r="G1302">
            <v>1</v>
          </cell>
          <cell r="H1302">
            <v>33600</v>
          </cell>
          <cell r="I1302">
            <v>0</v>
          </cell>
        </row>
        <row r="1303">
          <cell r="B1303" t="str">
            <v>M025</v>
          </cell>
          <cell r="C1303" t="str">
            <v xml:space="preserve">FERTILIZANTE FÓSFORO </v>
          </cell>
          <cell r="D1303">
            <v>0</v>
          </cell>
          <cell r="E1303" t="str">
            <v>BULTO</v>
          </cell>
          <cell r="F1303">
            <v>110000</v>
          </cell>
          <cell r="G1303">
            <v>0.1</v>
          </cell>
          <cell r="H1303">
            <v>11000</v>
          </cell>
          <cell r="I1303">
            <v>0</v>
          </cell>
        </row>
        <row r="1304">
          <cell r="B1304" t="str">
            <v>M026</v>
          </cell>
          <cell r="C1304" t="str">
            <v>FERTILIZANTE Urea</v>
          </cell>
          <cell r="D1304">
            <v>0</v>
          </cell>
          <cell r="E1304" t="str">
            <v>BULTO</v>
          </cell>
          <cell r="F1304">
            <v>95000</v>
          </cell>
          <cell r="G1304">
            <v>0.1</v>
          </cell>
          <cell r="H1304">
            <v>9500</v>
          </cell>
          <cell r="I1304">
            <v>0</v>
          </cell>
        </row>
        <row r="1305">
          <cell r="B1305" t="str">
            <v>M121</v>
          </cell>
          <cell r="C1305" t="str">
            <v>BULTO TIERRA</v>
          </cell>
          <cell r="D1305">
            <v>0</v>
          </cell>
          <cell r="E1305" t="str">
            <v>BULTO</v>
          </cell>
          <cell r="F1305">
            <v>15000</v>
          </cell>
          <cell r="G1305">
            <v>0.3</v>
          </cell>
          <cell r="H1305">
            <v>4500</v>
          </cell>
          <cell r="I1305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 t="str">
            <v>Sub-Total</v>
          </cell>
          <cell r="G1306" t="str">
            <v>5.4</v>
          </cell>
          <cell r="H1306" t="str">
            <v>MAT-5.4</v>
          </cell>
          <cell r="I1306">
            <v>87400</v>
          </cell>
        </row>
        <row r="1307"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</row>
        <row r="1308">
          <cell r="B1308">
            <v>0</v>
          </cell>
          <cell r="C1308">
            <v>0</v>
          </cell>
          <cell r="D1308" t="str">
            <v xml:space="preserve">CAN </v>
          </cell>
          <cell r="E1308" t="str">
            <v>DISTANCIA</v>
          </cell>
          <cell r="F1308" t="str">
            <v>M3-Km / UN-KM</v>
          </cell>
          <cell r="G1308" t="str">
            <v>TARIFA</v>
          </cell>
          <cell r="H1308" t="str">
            <v>Valor-Unit.</v>
          </cell>
          <cell r="I1308">
            <v>0</v>
          </cell>
        </row>
        <row r="1309"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</row>
        <row r="1310"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</row>
        <row r="1311"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 t="str">
            <v>Sub-Total</v>
          </cell>
          <cell r="G1311" t="str">
            <v>5.4</v>
          </cell>
          <cell r="H1311" t="str">
            <v>TRAN-5.4</v>
          </cell>
          <cell r="I1311">
            <v>0</v>
          </cell>
        </row>
        <row r="1312"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</row>
        <row r="1313">
          <cell r="B1313">
            <v>0</v>
          </cell>
          <cell r="C1313">
            <v>0</v>
          </cell>
          <cell r="D1313" t="str">
            <v>JORNAL-HORA</v>
          </cell>
          <cell r="E1313" t="str">
            <v>PRES</v>
          </cell>
          <cell r="F1313" t="str">
            <v>JORNAL TOTAL</v>
          </cell>
          <cell r="G1313" t="str">
            <v>RENDIEMIENTO</v>
          </cell>
          <cell r="H1313" t="str">
            <v>VALOR-UNIT</v>
          </cell>
          <cell r="I1313">
            <v>0</v>
          </cell>
        </row>
        <row r="1314">
          <cell r="B1314" t="str">
            <v>MO004</v>
          </cell>
          <cell r="C1314" t="str">
            <v>OFICIAL</v>
          </cell>
          <cell r="D1314">
            <v>9301.6465000000026</v>
          </cell>
          <cell r="E1314">
            <v>0.56000000000000005</v>
          </cell>
          <cell r="F1314">
            <v>14510.568540000004</v>
          </cell>
          <cell r="G1314">
            <v>1</v>
          </cell>
          <cell r="H1314">
            <v>14510.568540000004</v>
          </cell>
          <cell r="I1314">
            <v>0</v>
          </cell>
        </row>
        <row r="1315">
          <cell r="B1315" t="str">
            <v>MO005</v>
          </cell>
          <cell r="C1315" t="str">
            <v>AYUDANTE ENTENDIDO</v>
          </cell>
          <cell r="D1315">
            <v>8051.6465000000007</v>
          </cell>
          <cell r="E1315">
            <v>0.56000000000000005</v>
          </cell>
          <cell r="F1315">
            <v>12560.568540000002</v>
          </cell>
          <cell r="G1315">
            <v>1</v>
          </cell>
          <cell r="H1315">
            <v>12560.568540000002</v>
          </cell>
          <cell r="I1315">
            <v>0</v>
          </cell>
        </row>
        <row r="1316">
          <cell r="B1316" t="str">
            <v>MO006</v>
          </cell>
          <cell r="C1316" t="str">
            <v>AYUDANTE</v>
          </cell>
          <cell r="D1316">
            <v>6801.6465000000007</v>
          </cell>
          <cell r="E1316">
            <v>0.56000000000000005</v>
          </cell>
          <cell r="F1316">
            <v>10610.568540000002</v>
          </cell>
          <cell r="G1316">
            <v>2</v>
          </cell>
          <cell r="H1316">
            <v>21221.137080000004</v>
          </cell>
          <cell r="I1316">
            <v>0</v>
          </cell>
        </row>
        <row r="1317"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</row>
        <row r="1318"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 t="str">
            <v>Sub-Total</v>
          </cell>
          <cell r="G1318" t="str">
            <v>5.4</v>
          </cell>
          <cell r="H1318" t="str">
            <v>MDEO-5.4</v>
          </cell>
          <cell r="I1318">
            <v>48292.274160000015</v>
          </cell>
        </row>
        <row r="1319"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2414.6137080000008</v>
          </cell>
        </row>
        <row r="1320"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 t="str">
            <v>Total Costo Directo</v>
          </cell>
          <cell r="G1320">
            <v>0</v>
          </cell>
          <cell r="H1320">
            <v>0</v>
          </cell>
          <cell r="I1320">
            <v>138107</v>
          </cell>
        </row>
        <row r="1321">
          <cell r="B1321">
            <v>0</v>
          </cell>
          <cell r="C1321">
            <v>0</v>
          </cell>
          <cell r="D1321">
            <v>0</v>
          </cell>
          <cell r="E1321" t="str">
            <v>PORCENTAJE</v>
          </cell>
          <cell r="F1321">
            <v>0</v>
          </cell>
          <cell r="G1321" t="str">
            <v>V. COSTO INDERECTO</v>
          </cell>
          <cell r="H1321">
            <v>0</v>
          </cell>
          <cell r="I1321">
            <v>0</v>
          </cell>
        </row>
        <row r="1322">
          <cell r="B1322">
            <v>0</v>
          </cell>
          <cell r="C1322">
            <v>0</v>
          </cell>
          <cell r="D1322">
            <v>0</v>
          </cell>
          <cell r="E1322">
            <v>0.02</v>
          </cell>
          <cell r="F1322">
            <v>0</v>
          </cell>
          <cell r="G1322">
            <v>2762.14</v>
          </cell>
          <cell r="H1322">
            <v>0</v>
          </cell>
          <cell r="I1322">
            <v>0</v>
          </cell>
        </row>
        <row r="1323">
          <cell r="B1323">
            <v>0</v>
          </cell>
          <cell r="C1323">
            <v>0</v>
          </cell>
          <cell r="D1323">
            <v>0</v>
          </cell>
          <cell r="E1323">
            <v>0.23</v>
          </cell>
          <cell r="F1323">
            <v>0</v>
          </cell>
          <cell r="G1323">
            <v>31764.61</v>
          </cell>
          <cell r="H1323">
            <v>0</v>
          </cell>
          <cell r="I1323">
            <v>0</v>
          </cell>
        </row>
        <row r="1324">
          <cell r="B1324">
            <v>0</v>
          </cell>
          <cell r="C1324">
            <v>0</v>
          </cell>
          <cell r="D1324">
            <v>0</v>
          </cell>
          <cell r="E1324">
            <v>0.05</v>
          </cell>
          <cell r="F1324">
            <v>0</v>
          </cell>
          <cell r="G1324">
            <v>6905.35</v>
          </cell>
          <cell r="H1324">
            <v>0</v>
          </cell>
          <cell r="I1324">
            <v>0</v>
          </cell>
        </row>
        <row r="1325">
          <cell r="B1325">
            <v>0</v>
          </cell>
          <cell r="C1325">
            <v>0</v>
          </cell>
          <cell r="D1325">
            <v>0</v>
          </cell>
          <cell r="E1325">
            <v>0.02</v>
          </cell>
          <cell r="F1325">
            <v>0</v>
          </cell>
          <cell r="G1325">
            <v>2762.14</v>
          </cell>
          <cell r="H1325">
            <v>0</v>
          </cell>
          <cell r="I1325">
            <v>0</v>
          </cell>
        </row>
        <row r="1326"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44194.239999999998</v>
          </cell>
        </row>
        <row r="1327"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182301.24</v>
          </cell>
        </row>
        <row r="1328"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</row>
        <row r="1329"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 t="str">
            <v>REVISA</v>
          </cell>
          <cell r="G1329">
            <v>0</v>
          </cell>
          <cell r="H1329">
            <v>0</v>
          </cell>
          <cell r="I1329">
            <v>0</v>
          </cell>
        </row>
        <row r="1330"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 t="str">
            <v>FIRMA:</v>
          </cell>
          <cell r="G1330">
            <v>0</v>
          </cell>
          <cell r="H1330">
            <v>0</v>
          </cell>
          <cell r="I1330">
            <v>0</v>
          </cell>
        </row>
        <row r="1331">
          <cell r="B1331" t="str">
            <v>LINA MARCELA</v>
          </cell>
          <cell r="C1331">
            <v>0</v>
          </cell>
          <cell r="F1331" t="str">
            <v>NOMBRE</v>
          </cell>
          <cell r="G1331">
            <v>0</v>
          </cell>
          <cell r="H1331">
            <v>0</v>
          </cell>
          <cell r="I1331">
            <v>0</v>
          </cell>
        </row>
        <row r="1332">
          <cell r="B1332" t="str">
            <v>05202-316814 ANT</v>
          </cell>
          <cell r="C1332">
            <v>0</v>
          </cell>
          <cell r="F1332" t="str">
            <v>MAT:</v>
          </cell>
          <cell r="G1332">
            <v>0</v>
          </cell>
          <cell r="H1332">
            <v>0</v>
          </cell>
          <cell r="I1332">
            <v>0</v>
          </cell>
        </row>
        <row r="1333">
          <cell r="B1333">
            <v>0</v>
          </cell>
          <cell r="C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</row>
        <row r="1335"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</row>
        <row r="1336"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</row>
        <row r="1337">
          <cell r="I1337">
            <v>0</v>
          </cell>
        </row>
        <row r="1338"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</row>
        <row r="1339">
          <cell r="B1339" t="str">
            <v>5.5</v>
          </cell>
          <cell r="C1339" t="str">
            <v>DESCRIPCION:</v>
          </cell>
          <cell r="D1339" t="str">
            <v>ESPECIES Y JARDINERIA TIPO II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</row>
        <row r="1340">
          <cell r="B1340" t="str">
            <v>820-13C</v>
          </cell>
          <cell r="C1340">
            <v>0</v>
          </cell>
          <cell r="D1340" t="str">
            <v>UNIDAD</v>
          </cell>
          <cell r="E1340" t="str">
            <v>UNIDAD</v>
          </cell>
          <cell r="F1340" t="str">
            <v>CANTIDAD</v>
          </cell>
          <cell r="G1340" t="e">
            <v>#N/A</v>
          </cell>
          <cell r="H1340" t="str">
            <v>V. UNITARIO:</v>
          </cell>
          <cell r="I1340">
            <v>196248</v>
          </cell>
        </row>
        <row r="1341"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</row>
        <row r="1342"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 t="str">
            <v>Tarifa/Hora</v>
          </cell>
          <cell r="G1342" t="str">
            <v>Rendimiento</v>
          </cell>
          <cell r="H1342" t="str">
            <v>Valor-Unit.</v>
          </cell>
          <cell r="I1342">
            <v>0</v>
          </cell>
        </row>
        <row r="1343">
          <cell r="B1343" t="str">
            <v>E018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</row>
        <row r="1344">
          <cell r="B1344" t="str">
            <v>E013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</row>
        <row r="1345">
          <cell r="B1345" t="str">
            <v>E027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</row>
        <row r="1346"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 t="str">
            <v>Sub-Total</v>
          </cell>
          <cell r="G1346" t="str">
            <v>5.5</v>
          </cell>
          <cell r="H1346" t="str">
            <v>EQUI-5.5</v>
          </cell>
          <cell r="I1346">
            <v>0</v>
          </cell>
        </row>
        <row r="1347"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</row>
        <row r="1348">
          <cell r="B1348">
            <v>0</v>
          </cell>
          <cell r="C1348">
            <v>0</v>
          </cell>
          <cell r="D1348">
            <v>0</v>
          </cell>
          <cell r="E1348" t="str">
            <v>UNIDAD</v>
          </cell>
          <cell r="F1348" t="str">
            <v>V.UNIT</v>
          </cell>
          <cell r="G1348" t="str">
            <v>CANT</v>
          </cell>
          <cell r="H1348" t="str">
            <v>V.TOTAL</v>
          </cell>
          <cell r="I1348">
            <v>0</v>
          </cell>
        </row>
        <row r="1349">
          <cell r="B1349" t="str">
            <v>M126</v>
          </cell>
          <cell r="C1349" t="str">
            <v xml:space="preserve">ESPECIE DURANTA VERDE </v>
          </cell>
          <cell r="D1349">
            <v>0</v>
          </cell>
          <cell r="E1349" t="str">
            <v>UN</v>
          </cell>
          <cell r="F1349">
            <v>4800</v>
          </cell>
          <cell r="G1349">
            <v>8</v>
          </cell>
          <cell r="H1349">
            <v>38400</v>
          </cell>
          <cell r="I1349">
            <v>0</v>
          </cell>
        </row>
        <row r="1350">
          <cell r="B1350" t="str">
            <v>M127</v>
          </cell>
          <cell r="C1350" t="str">
            <v>ESPECIE DURANTA ROJA</v>
          </cell>
          <cell r="D1350">
            <v>0</v>
          </cell>
          <cell r="E1350" t="str">
            <v>UN</v>
          </cell>
          <cell r="F1350">
            <v>4800</v>
          </cell>
          <cell r="G1350">
            <v>8</v>
          </cell>
          <cell r="H1350">
            <v>38400</v>
          </cell>
          <cell r="I1350">
            <v>0</v>
          </cell>
        </row>
        <row r="1351">
          <cell r="B1351" t="str">
            <v>M128</v>
          </cell>
          <cell r="C1351" t="str">
            <v>ESPECIE OITI</v>
          </cell>
          <cell r="D1351">
            <v>0</v>
          </cell>
          <cell r="E1351" t="str">
            <v>UN</v>
          </cell>
          <cell r="F1351">
            <v>33600</v>
          </cell>
          <cell r="G1351">
            <v>1</v>
          </cell>
          <cell r="H1351">
            <v>33600</v>
          </cell>
          <cell r="I1351">
            <v>0</v>
          </cell>
        </row>
        <row r="1352">
          <cell r="B1352" t="str">
            <v>M025</v>
          </cell>
          <cell r="C1352" t="str">
            <v xml:space="preserve">FERTILIZANTE FÓSFORO </v>
          </cell>
          <cell r="D1352">
            <v>0</v>
          </cell>
          <cell r="E1352" t="str">
            <v>BULTO</v>
          </cell>
          <cell r="F1352">
            <v>110000</v>
          </cell>
          <cell r="G1352">
            <v>0.1</v>
          </cell>
          <cell r="H1352">
            <v>11000</v>
          </cell>
          <cell r="I1352">
            <v>0</v>
          </cell>
        </row>
        <row r="1353">
          <cell r="B1353" t="str">
            <v>M026</v>
          </cell>
          <cell r="C1353" t="str">
            <v>FERTILIZANTE Urea</v>
          </cell>
          <cell r="D1353">
            <v>0</v>
          </cell>
          <cell r="E1353" t="str">
            <v>BULTO</v>
          </cell>
          <cell r="F1353">
            <v>95000</v>
          </cell>
          <cell r="G1353">
            <v>0.1</v>
          </cell>
          <cell r="H1353">
            <v>9500</v>
          </cell>
          <cell r="I1353">
            <v>0</v>
          </cell>
        </row>
        <row r="1354">
          <cell r="B1354" t="str">
            <v>M121</v>
          </cell>
          <cell r="C1354" t="str">
            <v>BULTO TIERRA</v>
          </cell>
          <cell r="D1354">
            <v>0</v>
          </cell>
          <cell r="E1354" t="str">
            <v>BULTO</v>
          </cell>
          <cell r="F1354">
            <v>15000</v>
          </cell>
          <cell r="G1354">
            <v>0.3</v>
          </cell>
          <cell r="H1354">
            <v>4500</v>
          </cell>
          <cell r="I1354">
            <v>0</v>
          </cell>
        </row>
        <row r="1355"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 t="str">
            <v>Sub-Total</v>
          </cell>
          <cell r="G1355" t="str">
            <v>5.5</v>
          </cell>
          <cell r="H1355" t="str">
            <v>MAT-5.5</v>
          </cell>
          <cell r="I1355">
            <v>135400</v>
          </cell>
        </row>
        <row r="1356"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</row>
        <row r="1357">
          <cell r="B1357">
            <v>0</v>
          </cell>
          <cell r="C1357">
            <v>0</v>
          </cell>
          <cell r="D1357" t="str">
            <v xml:space="preserve">CAN </v>
          </cell>
          <cell r="E1357" t="str">
            <v>DISTANCIA</v>
          </cell>
          <cell r="F1357" t="str">
            <v>M3-Km / UN-KM</v>
          </cell>
          <cell r="G1357" t="str">
            <v>TARIFA</v>
          </cell>
          <cell r="H1357" t="str">
            <v>Valor-Unit.</v>
          </cell>
          <cell r="I1357">
            <v>0</v>
          </cell>
        </row>
        <row r="1358"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</row>
        <row r="1359"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</row>
        <row r="1360"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 t="str">
            <v>Sub-Total</v>
          </cell>
          <cell r="G1360" t="str">
            <v>5.5</v>
          </cell>
          <cell r="H1360" t="str">
            <v>TRAN-5.5</v>
          </cell>
          <cell r="I1360">
            <v>0</v>
          </cell>
        </row>
        <row r="1361"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</row>
        <row r="1362">
          <cell r="B1362">
            <v>0</v>
          </cell>
          <cell r="C1362">
            <v>0</v>
          </cell>
          <cell r="D1362" t="str">
            <v>JORNAL-HORA</v>
          </cell>
          <cell r="E1362" t="str">
            <v>PRES</v>
          </cell>
          <cell r="F1362" t="str">
            <v>JORNAL TOTAL</v>
          </cell>
          <cell r="G1362" t="str">
            <v>RENDIEMIENTO</v>
          </cell>
          <cell r="H1362" t="str">
            <v>VALOR-UNIT</v>
          </cell>
          <cell r="I1362">
            <v>0</v>
          </cell>
        </row>
        <row r="1363">
          <cell r="B1363" t="str">
            <v>MO004</v>
          </cell>
          <cell r="C1363" t="str">
            <v>OFICIAL</v>
          </cell>
          <cell r="D1363">
            <v>9301.6465000000026</v>
          </cell>
          <cell r="E1363">
            <v>0.56000000000000005</v>
          </cell>
          <cell r="F1363">
            <v>14510.568540000004</v>
          </cell>
          <cell r="G1363">
            <v>1.2</v>
          </cell>
          <cell r="H1363">
            <v>17412.682248000005</v>
          </cell>
          <cell r="I1363">
            <v>0</v>
          </cell>
        </row>
        <row r="1364">
          <cell r="B1364" t="str">
            <v>MO005</v>
          </cell>
          <cell r="C1364" t="str">
            <v>AYUDANTE ENTENDIDO</v>
          </cell>
          <cell r="D1364">
            <v>8051.6465000000007</v>
          </cell>
          <cell r="E1364">
            <v>0.56000000000000005</v>
          </cell>
          <cell r="F1364">
            <v>12560.568540000002</v>
          </cell>
          <cell r="G1364">
            <v>1.2</v>
          </cell>
          <cell r="H1364">
            <v>15072.682248000001</v>
          </cell>
          <cell r="I1364">
            <v>0</v>
          </cell>
        </row>
        <row r="1365">
          <cell r="B1365" t="str">
            <v>MO006</v>
          </cell>
          <cell r="C1365" t="str">
            <v>AYUDANTE</v>
          </cell>
          <cell r="D1365">
            <v>6801.6465000000007</v>
          </cell>
          <cell r="E1365">
            <v>0.56000000000000005</v>
          </cell>
          <cell r="F1365">
            <v>10610.568540000002</v>
          </cell>
          <cell r="G1365">
            <v>2.4</v>
          </cell>
          <cell r="H1365">
            <v>25465.364496000006</v>
          </cell>
          <cell r="I1365">
            <v>0</v>
          </cell>
        </row>
        <row r="1366"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</row>
        <row r="1367"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</row>
        <row r="1368"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 t="str">
            <v>Sub-Total</v>
          </cell>
          <cell r="G1369" t="str">
            <v>5.5</v>
          </cell>
          <cell r="H1369" t="str">
            <v>MDEO-5.5</v>
          </cell>
          <cell r="I1369">
            <v>57950.728992000011</v>
          </cell>
        </row>
        <row r="1370"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2897.5364496000007</v>
          </cell>
        </row>
        <row r="1371"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 t="str">
            <v>Total Costo Directo</v>
          </cell>
          <cell r="G1371">
            <v>0</v>
          </cell>
          <cell r="H1371">
            <v>0</v>
          </cell>
          <cell r="I1371">
            <v>196248</v>
          </cell>
        </row>
        <row r="1372">
          <cell r="B1372">
            <v>0</v>
          </cell>
          <cell r="C1372">
            <v>0</v>
          </cell>
          <cell r="D1372">
            <v>0</v>
          </cell>
          <cell r="E1372" t="str">
            <v>PORCENTAJE</v>
          </cell>
          <cell r="F1372">
            <v>0</v>
          </cell>
          <cell r="G1372" t="str">
            <v>V. COSTO INDERECTO</v>
          </cell>
          <cell r="H1372">
            <v>0</v>
          </cell>
          <cell r="I1372">
            <v>0</v>
          </cell>
        </row>
        <row r="1373">
          <cell r="B1373">
            <v>0</v>
          </cell>
          <cell r="C1373">
            <v>0</v>
          </cell>
          <cell r="D1373">
            <v>0</v>
          </cell>
          <cell r="E1373">
            <v>0.02</v>
          </cell>
          <cell r="F1373">
            <v>0</v>
          </cell>
          <cell r="G1373">
            <v>3924.96</v>
          </cell>
          <cell r="H1373">
            <v>0</v>
          </cell>
          <cell r="I1373">
            <v>0</v>
          </cell>
        </row>
        <row r="1374">
          <cell r="B1374">
            <v>0</v>
          </cell>
          <cell r="C1374">
            <v>0</v>
          </cell>
          <cell r="D1374">
            <v>0</v>
          </cell>
          <cell r="E1374">
            <v>0.23</v>
          </cell>
          <cell r="F1374">
            <v>0</v>
          </cell>
          <cell r="G1374">
            <v>45137.04</v>
          </cell>
          <cell r="H1374">
            <v>0</v>
          </cell>
          <cell r="I1374">
            <v>0</v>
          </cell>
        </row>
        <row r="1375">
          <cell r="B1375">
            <v>0</v>
          </cell>
          <cell r="C1375">
            <v>0</v>
          </cell>
          <cell r="D1375">
            <v>0</v>
          </cell>
          <cell r="E1375">
            <v>0.05</v>
          </cell>
          <cell r="F1375">
            <v>0</v>
          </cell>
          <cell r="G1375">
            <v>9812.4</v>
          </cell>
          <cell r="H1375">
            <v>0</v>
          </cell>
          <cell r="I1375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  <cell r="E1376">
            <v>0.02</v>
          </cell>
          <cell r="F1376">
            <v>0</v>
          </cell>
          <cell r="G1376">
            <v>3924.96</v>
          </cell>
          <cell r="H1376">
            <v>0</v>
          </cell>
          <cell r="I1376">
            <v>0</v>
          </cell>
        </row>
        <row r="1377"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62799.360000000001</v>
          </cell>
        </row>
        <row r="1378"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259047.36</v>
          </cell>
        </row>
        <row r="1379"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</row>
        <row r="1380"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 t="str">
            <v>REVISA</v>
          </cell>
          <cell r="G1380">
            <v>0</v>
          </cell>
          <cell r="H1380">
            <v>0</v>
          </cell>
          <cell r="I1380">
            <v>0</v>
          </cell>
        </row>
        <row r="1381"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 t="str">
            <v>FIRMA:</v>
          </cell>
          <cell r="G1381">
            <v>0</v>
          </cell>
          <cell r="H1381">
            <v>0</v>
          </cell>
          <cell r="I1381">
            <v>0</v>
          </cell>
        </row>
        <row r="1382">
          <cell r="B1382" t="str">
            <v>LINA MARCELA</v>
          </cell>
          <cell r="C1382">
            <v>0</v>
          </cell>
          <cell r="F1382" t="str">
            <v>NOMBRE</v>
          </cell>
          <cell r="G1382">
            <v>0</v>
          </cell>
          <cell r="H1382">
            <v>0</v>
          </cell>
          <cell r="I1382">
            <v>0</v>
          </cell>
        </row>
        <row r="1383">
          <cell r="B1383" t="str">
            <v>05202-316814 ANT</v>
          </cell>
          <cell r="C1383">
            <v>0</v>
          </cell>
          <cell r="F1383" t="str">
            <v>MAT:</v>
          </cell>
          <cell r="G1383">
            <v>0</v>
          </cell>
          <cell r="H1383">
            <v>0</v>
          </cell>
          <cell r="I1383">
            <v>0</v>
          </cell>
        </row>
        <row r="1384">
          <cell r="B1384">
            <v>0</v>
          </cell>
          <cell r="C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</row>
        <row r="1385"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</row>
        <row r="1386"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</row>
        <row r="1387"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</row>
        <row r="1389"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</row>
        <row r="1390">
          <cell r="B1390" t="str">
            <v>5.6</v>
          </cell>
          <cell r="C1390" t="str">
            <v>DESCRIPCION:</v>
          </cell>
          <cell r="D1390" t="str">
            <v>ESPECIES Y JARDINERIA TIPO III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</row>
        <row r="1391">
          <cell r="B1391" t="str">
            <v>820-13C</v>
          </cell>
          <cell r="C1391">
            <v>0</v>
          </cell>
          <cell r="D1391" t="str">
            <v>UNIDAD</v>
          </cell>
          <cell r="E1391" t="str">
            <v>UNIDAD</v>
          </cell>
          <cell r="F1391" t="str">
            <v>CANTIDAD</v>
          </cell>
          <cell r="G1391" t="e">
            <v>#N/A</v>
          </cell>
          <cell r="H1391" t="str">
            <v>V. UNITARIO:</v>
          </cell>
          <cell r="I1391">
            <v>203436</v>
          </cell>
        </row>
        <row r="1392"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</row>
        <row r="1393"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 t="str">
            <v>Tarifa/Hora</v>
          </cell>
          <cell r="G1393" t="str">
            <v>Rendimiento</v>
          </cell>
          <cell r="H1393" t="str">
            <v>Valor-Unit.</v>
          </cell>
          <cell r="I1393">
            <v>0</v>
          </cell>
        </row>
        <row r="1394">
          <cell r="B1394" t="str">
            <v>E018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</row>
        <row r="1395">
          <cell r="B1395" t="str">
            <v>E013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</row>
        <row r="1396">
          <cell r="B1396" t="str">
            <v>E027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</row>
        <row r="1397"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 t="str">
            <v>Sub-Total</v>
          </cell>
          <cell r="G1397" t="str">
            <v>5.6</v>
          </cell>
          <cell r="H1397" t="str">
            <v>EQUI-5.5</v>
          </cell>
          <cell r="I1397">
            <v>0</v>
          </cell>
        </row>
        <row r="1398"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</row>
        <row r="1399">
          <cell r="B1399">
            <v>0</v>
          </cell>
          <cell r="C1399">
            <v>0</v>
          </cell>
          <cell r="D1399">
            <v>0</v>
          </cell>
          <cell r="E1399" t="str">
            <v>UNIDAD</v>
          </cell>
          <cell r="F1399" t="str">
            <v>V.UNIT</v>
          </cell>
          <cell r="G1399" t="str">
            <v>CANT</v>
          </cell>
          <cell r="H1399" t="str">
            <v>V.TOTAL</v>
          </cell>
          <cell r="I1399">
            <v>0</v>
          </cell>
        </row>
        <row r="1400">
          <cell r="B1400" t="str">
            <v>M130</v>
          </cell>
          <cell r="C1400" t="str">
            <v>ESPECIE LENGUA DE SUEGRA</v>
          </cell>
          <cell r="D1400">
            <v>0</v>
          </cell>
          <cell r="E1400" t="str">
            <v>UN</v>
          </cell>
          <cell r="F1400">
            <v>18000</v>
          </cell>
          <cell r="G1400">
            <v>6</v>
          </cell>
          <cell r="H1400">
            <v>108000</v>
          </cell>
          <cell r="I1400">
            <v>0</v>
          </cell>
        </row>
        <row r="1401">
          <cell r="B1401" t="str">
            <v>M128</v>
          </cell>
          <cell r="C1401" t="str">
            <v>ESPECIE OITI</v>
          </cell>
          <cell r="D1401">
            <v>0</v>
          </cell>
          <cell r="E1401" t="str">
            <v>UN</v>
          </cell>
          <cell r="F1401">
            <v>33600</v>
          </cell>
          <cell r="G1401">
            <v>1</v>
          </cell>
          <cell r="H1401">
            <v>33600</v>
          </cell>
          <cell r="I1401">
            <v>0</v>
          </cell>
        </row>
        <row r="1402">
          <cell r="B1402" t="str">
            <v>M025</v>
          </cell>
          <cell r="C1402" t="str">
            <v xml:space="preserve">FERTILIZANTE FÓSFORO </v>
          </cell>
          <cell r="D1402">
            <v>0</v>
          </cell>
          <cell r="E1402" t="str">
            <v>BULTO</v>
          </cell>
          <cell r="F1402">
            <v>110000</v>
          </cell>
          <cell r="G1402">
            <v>0.02</v>
          </cell>
          <cell r="H1402">
            <v>2200</v>
          </cell>
          <cell r="I1402">
            <v>0</v>
          </cell>
        </row>
        <row r="1403">
          <cell r="B1403" t="str">
            <v>M026</v>
          </cell>
          <cell r="C1403" t="str">
            <v>FERTILIZANTE Urea</v>
          </cell>
          <cell r="D1403">
            <v>0</v>
          </cell>
          <cell r="E1403" t="str">
            <v>BULTO</v>
          </cell>
          <cell r="F1403">
            <v>95000</v>
          </cell>
          <cell r="G1403">
            <v>0.1</v>
          </cell>
          <cell r="H1403">
            <v>9500</v>
          </cell>
          <cell r="I1403">
            <v>0</v>
          </cell>
        </row>
        <row r="1404">
          <cell r="B1404" t="str">
            <v>M121</v>
          </cell>
          <cell r="C1404" t="str">
            <v>BULTO TIERRA</v>
          </cell>
          <cell r="D1404">
            <v>0</v>
          </cell>
          <cell r="E1404" t="str">
            <v>BULTO</v>
          </cell>
          <cell r="F1404">
            <v>15000</v>
          </cell>
          <cell r="G1404">
            <v>0.3</v>
          </cell>
          <cell r="H1404">
            <v>4500</v>
          </cell>
          <cell r="I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 t="str">
            <v>Sub-Total</v>
          </cell>
          <cell r="G1405" t="str">
            <v>5.6</v>
          </cell>
          <cell r="H1405" t="str">
            <v>MAT-5.5</v>
          </cell>
          <cell r="I1405">
            <v>157800</v>
          </cell>
        </row>
        <row r="1406"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</row>
        <row r="1407">
          <cell r="B1407">
            <v>0</v>
          </cell>
          <cell r="C1407">
            <v>0</v>
          </cell>
          <cell r="D1407" t="str">
            <v xml:space="preserve">CAN </v>
          </cell>
          <cell r="E1407" t="str">
            <v>DISTANCIA</v>
          </cell>
          <cell r="F1407" t="str">
            <v>M3-Km / UN-KM</v>
          </cell>
          <cell r="G1407" t="str">
            <v>TARIFA</v>
          </cell>
          <cell r="H1407" t="str">
            <v>Valor-Unit.</v>
          </cell>
          <cell r="I1407">
            <v>0</v>
          </cell>
        </row>
        <row r="1408"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</row>
        <row r="1409"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</row>
        <row r="1410"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 t="str">
            <v>Sub-Total</v>
          </cell>
          <cell r="G1410" t="str">
            <v>5.6</v>
          </cell>
          <cell r="H1410" t="str">
            <v>TRAN-5.5</v>
          </cell>
          <cell r="I1410">
            <v>0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</row>
        <row r="1412">
          <cell r="B1412">
            <v>0</v>
          </cell>
          <cell r="C1412">
            <v>0</v>
          </cell>
          <cell r="D1412" t="str">
            <v>JORNAL-HORA</v>
          </cell>
          <cell r="E1412" t="str">
            <v>PRES</v>
          </cell>
          <cell r="F1412" t="str">
            <v>JORNAL TOTAL</v>
          </cell>
          <cell r="G1412" t="str">
            <v>RENDIEMIENTO</v>
          </cell>
          <cell r="H1412" t="str">
            <v>VALOR-UNIT</v>
          </cell>
          <cell r="I1412">
            <v>0</v>
          </cell>
        </row>
        <row r="1413">
          <cell r="B1413" t="str">
            <v>MO004</v>
          </cell>
          <cell r="C1413" t="str">
            <v>OFICIAL</v>
          </cell>
          <cell r="D1413">
            <v>9301.6465000000026</v>
          </cell>
          <cell r="E1413">
            <v>0.56000000000000005</v>
          </cell>
          <cell r="F1413">
            <v>14510.568540000004</v>
          </cell>
          <cell r="G1413">
            <v>0.9</v>
          </cell>
          <cell r="H1413">
            <v>13059.511686000003</v>
          </cell>
          <cell r="I1413">
            <v>0</v>
          </cell>
        </row>
        <row r="1414">
          <cell r="B1414" t="str">
            <v>MO005</v>
          </cell>
          <cell r="C1414" t="str">
            <v>AYUDANTE ENTENDIDO</v>
          </cell>
          <cell r="D1414">
            <v>8051.6465000000007</v>
          </cell>
          <cell r="E1414">
            <v>0.56000000000000005</v>
          </cell>
          <cell r="F1414">
            <v>12560.568540000002</v>
          </cell>
          <cell r="G1414">
            <v>0.9</v>
          </cell>
          <cell r="H1414">
            <v>11304.511686000002</v>
          </cell>
          <cell r="I1414">
            <v>0</v>
          </cell>
        </row>
        <row r="1415">
          <cell r="B1415" t="str">
            <v>MO006</v>
          </cell>
          <cell r="C1415" t="str">
            <v>AYUDANTE</v>
          </cell>
          <cell r="D1415">
            <v>6801.6465000000007</v>
          </cell>
          <cell r="E1415">
            <v>0.56000000000000005</v>
          </cell>
          <cell r="F1415">
            <v>10610.568540000002</v>
          </cell>
          <cell r="G1415">
            <v>1.8</v>
          </cell>
          <cell r="H1415">
            <v>19099.023372000003</v>
          </cell>
          <cell r="I1415">
            <v>0</v>
          </cell>
        </row>
        <row r="1416"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</row>
        <row r="1417"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</row>
        <row r="1418"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</row>
        <row r="1419"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 t="str">
            <v>Sub-Total</v>
          </cell>
          <cell r="G1419" t="str">
            <v>5.6</v>
          </cell>
          <cell r="H1419" t="str">
            <v>MDEO-5.5</v>
          </cell>
          <cell r="I1419">
            <v>43463.046744000007</v>
          </cell>
        </row>
        <row r="1420"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2173.1523372000006</v>
          </cell>
        </row>
        <row r="1421"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 t="str">
            <v>Total Costo Directo</v>
          </cell>
          <cell r="G1421">
            <v>0</v>
          </cell>
          <cell r="H1421">
            <v>0</v>
          </cell>
          <cell r="I1421">
            <v>203436</v>
          </cell>
        </row>
        <row r="1422">
          <cell r="B1422">
            <v>0</v>
          </cell>
          <cell r="C1422">
            <v>0</v>
          </cell>
          <cell r="D1422">
            <v>0</v>
          </cell>
          <cell r="E1422" t="str">
            <v>PORCENTAJE</v>
          </cell>
          <cell r="F1422">
            <v>0</v>
          </cell>
          <cell r="G1422" t="str">
            <v>V. COSTO INDERECTO</v>
          </cell>
          <cell r="H1422">
            <v>0</v>
          </cell>
          <cell r="I1422">
            <v>0</v>
          </cell>
        </row>
        <row r="1423">
          <cell r="B1423">
            <v>0</v>
          </cell>
          <cell r="C1423">
            <v>0</v>
          </cell>
          <cell r="D1423">
            <v>0</v>
          </cell>
          <cell r="E1423">
            <v>0.02</v>
          </cell>
          <cell r="F1423">
            <v>0</v>
          </cell>
          <cell r="G1423">
            <v>4068.7200000000003</v>
          </cell>
          <cell r="H1423">
            <v>0</v>
          </cell>
          <cell r="I1423">
            <v>0</v>
          </cell>
        </row>
        <row r="1424">
          <cell r="B1424">
            <v>0</v>
          </cell>
          <cell r="C1424">
            <v>0</v>
          </cell>
          <cell r="D1424">
            <v>0</v>
          </cell>
          <cell r="E1424">
            <v>0.23</v>
          </cell>
          <cell r="F1424">
            <v>0</v>
          </cell>
          <cell r="G1424">
            <v>46790.28</v>
          </cell>
          <cell r="H1424">
            <v>0</v>
          </cell>
          <cell r="I1424">
            <v>0</v>
          </cell>
        </row>
        <row r="1425">
          <cell r="B1425">
            <v>0</v>
          </cell>
          <cell r="C1425">
            <v>0</v>
          </cell>
          <cell r="D1425">
            <v>0</v>
          </cell>
          <cell r="E1425">
            <v>0.05</v>
          </cell>
          <cell r="F1425">
            <v>0</v>
          </cell>
          <cell r="G1425">
            <v>10171.800000000001</v>
          </cell>
          <cell r="H1425">
            <v>0</v>
          </cell>
          <cell r="I1425">
            <v>0</v>
          </cell>
        </row>
        <row r="1426">
          <cell r="B1426">
            <v>0</v>
          </cell>
          <cell r="C1426">
            <v>0</v>
          </cell>
          <cell r="D1426">
            <v>0</v>
          </cell>
          <cell r="E1426">
            <v>0.02</v>
          </cell>
          <cell r="F1426">
            <v>0</v>
          </cell>
          <cell r="G1426">
            <v>4068.7200000000003</v>
          </cell>
          <cell r="H1426">
            <v>0</v>
          </cell>
          <cell r="I1426">
            <v>0</v>
          </cell>
        </row>
        <row r="1427"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65099.520000000004</v>
          </cell>
        </row>
        <row r="1428"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268535.52</v>
          </cell>
        </row>
        <row r="1429"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</row>
        <row r="1430"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 t="str">
            <v>REVISA</v>
          </cell>
          <cell r="G1430">
            <v>0</v>
          </cell>
          <cell r="H1430">
            <v>0</v>
          </cell>
          <cell r="I1430">
            <v>0</v>
          </cell>
        </row>
        <row r="1431"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 t="str">
            <v>FIRMA:</v>
          </cell>
          <cell r="G1431">
            <v>0</v>
          </cell>
          <cell r="H1431">
            <v>0</v>
          </cell>
          <cell r="I1431">
            <v>0</v>
          </cell>
        </row>
        <row r="1432">
          <cell r="B1432" t="str">
            <v>LINA MARCELA</v>
          </cell>
          <cell r="C1432">
            <v>0</v>
          </cell>
          <cell r="F1432" t="str">
            <v>NOMBRE</v>
          </cell>
          <cell r="G1432">
            <v>0</v>
          </cell>
          <cell r="H1432">
            <v>0</v>
          </cell>
          <cell r="I1432">
            <v>0</v>
          </cell>
        </row>
        <row r="1433">
          <cell r="B1433" t="str">
            <v>05202-316814 ANT</v>
          </cell>
          <cell r="C1433">
            <v>0</v>
          </cell>
          <cell r="F1433" t="str">
            <v>MAT:</v>
          </cell>
          <cell r="G1433">
            <v>0</v>
          </cell>
          <cell r="H1433">
            <v>0</v>
          </cell>
          <cell r="I1433">
            <v>0</v>
          </cell>
        </row>
        <row r="1434">
          <cell r="B1434">
            <v>0</v>
          </cell>
          <cell r="C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</row>
        <row r="1435"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</row>
        <row r="1436"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</row>
        <row r="1437"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</row>
        <row r="1440">
          <cell r="B1440" t="str">
            <v>5.7</v>
          </cell>
          <cell r="C1440" t="str">
            <v>DESCRIPCION:</v>
          </cell>
          <cell r="D1440" t="str">
            <v>ESPECIES Y JARDINERIA ZONA VERDE TIPO I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</row>
        <row r="1441">
          <cell r="B1441" t="str">
            <v>820-13D</v>
          </cell>
          <cell r="C1441">
            <v>0</v>
          </cell>
          <cell r="D1441" t="str">
            <v>UNIDAD</v>
          </cell>
          <cell r="E1441" t="str">
            <v>UNIDAD</v>
          </cell>
          <cell r="F1441" t="str">
            <v>CANTIDAD</v>
          </cell>
          <cell r="G1441" t="e">
            <v>#N/A</v>
          </cell>
          <cell r="H1441" t="str">
            <v>V. UNITARIO:</v>
          </cell>
          <cell r="I1441">
            <v>641636</v>
          </cell>
        </row>
        <row r="1442"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</row>
        <row r="1443"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 t="str">
            <v>Tarifa/Hora</v>
          </cell>
          <cell r="G1443" t="str">
            <v>Rendimiento</v>
          </cell>
          <cell r="H1443" t="str">
            <v>Valor-Unit.</v>
          </cell>
          <cell r="I1443">
            <v>0</v>
          </cell>
        </row>
        <row r="1444">
          <cell r="B1444" t="str">
            <v>E018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</row>
        <row r="1445">
          <cell r="B1445" t="str">
            <v>E013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</row>
        <row r="1446">
          <cell r="B1446" t="str">
            <v>E027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</row>
        <row r="1447"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 t="str">
            <v>Sub-Total</v>
          </cell>
          <cell r="G1447" t="str">
            <v>5.7</v>
          </cell>
          <cell r="H1447" t="str">
            <v>EQUI-5.5</v>
          </cell>
          <cell r="I1447">
            <v>0</v>
          </cell>
        </row>
        <row r="1448"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</row>
        <row r="1449">
          <cell r="B1449">
            <v>0</v>
          </cell>
          <cell r="C1449">
            <v>0</v>
          </cell>
          <cell r="D1449">
            <v>0</v>
          </cell>
          <cell r="E1449" t="str">
            <v>UNIDAD</v>
          </cell>
          <cell r="F1449" t="str">
            <v>V.UNIT</v>
          </cell>
          <cell r="G1449" t="str">
            <v>CANT</v>
          </cell>
          <cell r="H1449" t="str">
            <v>V.TOTAL</v>
          </cell>
          <cell r="I1449">
            <v>0</v>
          </cell>
        </row>
        <row r="1450">
          <cell r="B1450" t="str">
            <v>M131</v>
          </cell>
          <cell r="C1450" t="str">
            <v>ESPECIE HELICONIA</v>
          </cell>
          <cell r="D1450">
            <v>0</v>
          </cell>
          <cell r="E1450" t="str">
            <v>UN</v>
          </cell>
          <cell r="F1450">
            <v>11200.000000000002</v>
          </cell>
          <cell r="G1450">
            <v>6</v>
          </cell>
          <cell r="H1450">
            <v>67200.000000000015</v>
          </cell>
          <cell r="I1450">
            <v>0</v>
          </cell>
        </row>
        <row r="1451">
          <cell r="B1451" t="str">
            <v>M128</v>
          </cell>
          <cell r="C1451" t="str">
            <v>ESPECIE OITI</v>
          </cell>
          <cell r="D1451">
            <v>0</v>
          </cell>
          <cell r="E1451" t="str">
            <v>UN</v>
          </cell>
          <cell r="F1451">
            <v>33600</v>
          </cell>
          <cell r="G1451">
            <v>2</v>
          </cell>
          <cell r="H1451">
            <v>67200</v>
          </cell>
          <cell r="I1451">
            <v>0</v>
          </cell>
        </row>
        <row r="1452">
          <cell r="B1452" t="str">
            <v>M116</v>
          </cell>
          <cell r="C1452" t="str">
            <v>ESPECIE CROTO VICTORIA</v>
          </cell>
          <cell r="D1452">
            <v>0</v>
          </cell>
          <cell r="E1452" t="str">
            <v>UN</v>
          </cell>
          <cell r="F1452">
            <v>21600</v>
          </cell>
          <cell r="G1452">
            <v>14</v>
          </cell>
          <cell r="H1452">
            <v>302400</v>
          </cell>
          <cell r="I1452">
            <v>0</v>
          </cell>
        </row>
        <row r="1453">
          <cell r="B1453" t="str">
            <v>M117</v>
          </cell>
          <cell r="C1453" t="str">
            <v>ESPECIE NIÑA BARCO</v>
          </cell>
          <cell r="D1453">
            <v>0</v>
          </cell>
          <cell r="E1453" t="str">
            <v>UN</v>
          </cell>
          <cell r="F1453">
            <v>6500</v>
          </cell>
          <cell r="G1453">
            <v>22</v>
          </cell>
          <cell r="H1453">
            <v>143000</v>
          </cell>
          <cell r="I1453">
            <v>0</v>
          </cell>
        </row>
        <row r="1454">
          <cell r="B1454" t="str">
            <v>M025</v>
          </cell>
          <cell r="C1454" t="str">
            <v xml:space="preserve">FERTILIZANTE FÓSFORO </v>
          </cell>
          <cell r="D1454">
            <v>0</v>
          </cell>
          <cell r="E1454" t="str">
            <v>BULTO</v>
          </cell>
          <cell r="F1454">
            <v>110000</v>
          </cell>
          <cell r="G1454">
            <v>0.02</v>
          </cell>
          <cell r="H1454">
            <v>2200</v>
          </cell>
          <cell r="I1454">
            <v>0</v>
          </cell>
        </row>
        <row r="1455">
          <cell r="B1455" t="str">
            <v>M026</v>
          </cell>
          <cell r="C1455" t="str">
            <v>FERTILIZANTE Urea</v>
          </cell>
          <cell r="D1455">
            <v>0</v>
          </cell>
          <cell r="E1455" t="str">
            <v>BULTO</v>
          </cell>
          <cell r="F1455">
            <v>95000</v>
          </cell>
          <cell r="G1455">
            <v>0.1</v>
          </cell>
          <cell r="H1455">
            <v>9500</v>
          </cell>
          <cell r="I1455">
            <v>0</v>
          </cell>
        </row>
        <row r="1456">
          <cell r="B1456" t="str">
            <v>M121</v>
          </cell>
          <cell r="C1456" t="str">
            <v>BULTO TIERRA</v>
          </cell>
          <cell r="D1456">
            <v>0</v>
          </cell>
          <cell r="E1456" t="str">
            <v>BULTO</v>
          </cell>
          <cell r="F1456">
            <v>15000</v>
          </cell>
          <cell r="G1456">
            <v>0.3</v>
          </cell>
          <cell r="H1456">
            <v>4500</v>
          </cell>
          <cell r="I1456">
            <v>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 t="str">
            <v>Sub-Total</v>
          </cell>
          <cell r="G1457" t="str">
            <v>5.7</v>
          </cell>
          <cell r="H1457" t="str">
            <v>MAT-5.5</v>
          </cell>
          <cell r="I1457">
            <v>596000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</row>
        <row r="1459">
          <cell r="B1459">
            <v>0</v>
          </cell>
          <cell r="C1459">
            <v>0</v>
          </cell>
          <cell r="D1459" t="str">
            <v xml:space="preserve">CAN </v>
          </cell>
          <cell r="E1459" t="str">
            <v>DISTANCIA</v>
          </cell>
          <cell r="F1459" t="str">
            <v>M3-Km / UN-KM</v>
          </cell>
          <cell r="G1459" t="str">
            <v>TARIFA</v>
          </cell>
          <cell r="H1459" t="str">
            <v>Valor-Unit.</v>
          </cell>
          <cell r="I1459">
            <v>0</v>
          </cell>
        </row>
        <row r="1460"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</row>
        <row r="1461"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</row>
        <row r="1462"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 t="str">
            <v>Sub-Total</v>
          </cell>
          <cell r="G1462" t="str">
            <v>5.7</v>
          </cell>
          <cell r="H1462" t="str">
            <v>TRAN-5.5</v>
          </cell>
          <cell r="I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</row>
        <row r="1464">
          <cell r="B1464">
            <v>0</v>
          </cell>
          <cell r="C1464">
            <v>0</v>
          </cell>
          <cell r="D1464" t="str">
            <v>JORNAL-HORA</v>
          </cell>
          <cell r="E1464" t="str">
            <v>PRES</v>
          </cell>
          <cell r="F1464" t="str">
            <v>JORNAL TOTAL</v>
          </cell>
          <cell r="G1464" t="str">
            <v>RENDIEMIENTO</v>
          </cell>
          <cell r="H1464" t="str">
            <v>VALOR-UNIT</v>
          </cell>
          <cell r="I1464">
            <v>0</v>
          </cell>
        </row>
        <row r="1465">
          <cell r="B1465" t="str">
            <v>MO004</v>
          </cell>
          <cell r="C1465" t="str">
            <v>OFICIAL</v>
          </cell>
          <cell r="D1465">
            <v>9301.6465000000026</v>
          </cell>
          <cell r="E1465">
            <v>0.56000000000000005</v>
          </cell>
          <cell r="F1465">
            <v>14510.568540000004</v>
          </cell>
          <cell r="G1465">
            <v>0.9</v>
          </cell>
          <cell r="H1465">
            <v>13059.511686000003</v>
          </cell>
          <cell r="I1465">
            <v>0</v>
          </cell>
        </row>
        <row r="1466">
          <cell r="B1466" t="str">
            <v>MO005</v>
          </cell>
          <cell r="C1466" t="str">
            <v>AYUDANTE ENTENDIDO</v>
          </cell>
          <cell r="D1466">
            <v>8051.6465000000007</v>
          </cell>
          <cell r="E1466">
            <v>0.56000000000000005</v>
          </cell>
          <cell r="F1466">
            <v>12560.568540000002</v>
          </cell>
          <cell r="G1466">
            <v>0.9</v>
          </cell>
          <cell r="H1466">
            <v>11304.511686000002</v>
          </cell>
          <cell r="I1466">
            <v>0</v>
          </cell>
        </row>
        <row r="1467">
          <cell r="B1467" t="str">
            <v>MO006</v>
          </cell>
          <cell r="C1467" t="str">
            <v>AYUDANTE</v>
          </cell>
          <cell r="D1467">
            <v>6801.6465000000007</v>
          </cell>
          <cell r="E1467">
            <v>0.56000000000000005</v>
          </cell>
          <cell r="F1467">
            <v>10610.568540000002</v>
          </cell>
          <cell r="G1467">
            <v>1.8</v>
          </cell>
          <cell r="H1467">
            <v>19099.023372000003</v>
          </cell>
          <cell r="I1467">
            <v>0</v>
          </cell>
        </row>
        <row r="1468"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</row>
        <row r="1469"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 t="str">
            <v>Sub-Total</v>
          </cell>
          <cell r="G1471" t="str">
            <v>5.7</v>
          </cell>
          <cell r="H1471" t="str">
            <v>MDEO-5.5</v>
          </cell>
          <cell r="I1471">
            <v>43463.046744000007</v>
          </cell>
        </row>
        <row r="1472"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2173.1523372000006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 t="str">
            <v>Total Costo Directo</v>
          </cell>
          <cell r="G1473">
            <v>0</v>
          </cell>
          <cell r="H1473">
            <v>0</v>
          </cell>
          <cell r="I1473">
            <v>641636</v>
          </cell>
        </row>
        <row r="1474">
          <cell r="B1474">
            <v>0</v>
          </cell>
          <cell r="C1474">
            <v>0</v>
          </cell>
          <cell r="D1474">
            <v>0</v>
          </cell>
          <cell r="E1474" t="str">
            <v>PORCENTAJE</v>
          </cell>
          <cell r="F1474">
            <v>0</v>
          </cell>
          <cell r="G1474" t="str">
            <v>V. COSTO INDERECTO</v>
          </cell>
          <cell r="H1474">
            <v>0</v>
          </cell>
          <cell r="I1474">
            <v>0</v>
          </cell>
        </row>
        <row r="1475">
          <cell r="B1475">
            <v>0</v>
          </cell>
          <cell r="C1475">
            <v>0</v>
          </cell>
          <cell r="D1475">
            <v>0</v>
          </cell>
          <cell r="E1475">
            <v>0.02</v>
          </cell>
          <cell r="F1475">
            <v>0</v>
          </cell>
          <cell r="G1475">
            <v>12832.720000000001</v>
          </cell>
          <cell r="H1475">
            <v>0</v>
          </cell>
          <cell r="I1475">
            <v>0</v>
          </cell>
        </row>
        <row r="1476">
          <cell r="B1476">
            <v>0</v>
          </cell>
          <cell r="C1476">
            <v>0</v>
          </cell>
          <cell r="D1476">
            <v>0</v>
          </cell>
          <cell r="E1476">
            <v>0.23</v>
          </cell>
          <cell r="F1476">
            <v>0</v>
          </cell>
          <cell r="G1476">
            <v>147576.28</v>
          </cell>
          <cell r="H1476">
            <v>0</v>
          </cell>
          <cell r="I1476">
            <v>0</v>
          </cell>
        </row>
        <row r="1477">
          <cell r="B1477">
            <v>0</v>
          </cell>
          <cell r="C1477">
            <v>0</v>
          </cell>
          <cell r="D1477">
            <v>0</v>
          </cell>
          <cell r="E1477">
            <v>0.05</v>
          </cell>
          <cell r="F1477">
            <v>0</v>
          </cell>
          <cell r="G1477">
            <v>32081.800000000003</v>
          </cell>
          <cell r="H1477">
            <v>0</v>
          </cell>
          <cell r="I1477">
            <v>0</v>
          </cell>
        </row>
        <row r="1478">
          <cell r="B1478">
            <v>0</v>
          </cell>
          <cell r="C1478">
            <v>0</v>
          </cell>
          <cell r="D1478">
            <v>0</v>
          </cell>
          <cell r="E1478">
            <v>0.02</v>
          </cell>
          <cell r="F1478">
            <v>0</v>
          </cell>
          <cell r="G1478">
            <v>12832.720000000001</v>
          </cell>
          <cell r="H1478">
            <v>0</v>
          </cell>
          <cell r="I1478">
            <v>0</v>
          </cell>
        </row>
        <row r="1479"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205323.51999999999</v>
          </cell>
        </row>
        <row r="1480"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846959.52</v>
          </cell>
        </row>
        <row r="1481"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</row>
        <row r="1482"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 t="str">
            <v>REVISA</v>
          </cell>
          <cell r="G1482">
            <v>0</v>
          </cell>
          <cell r="H1482">
            <v>0</v>
          </cell>
          <cell r="I1482">
            <v>0</v>
          </cell>
        </row>
        <row r="1483"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 t="str">
            <v>FIRMA:</v>
          </cell>
          <cell r="G1483">
            <v>0</v>
          </cell>
          <cell r="H1483">
            <v>0</v>
          </cell>
          <cell r="I1483">
            <v>0</v>
          </cell>
        </row>
        <row r="1484">
          <cell r="B1484" t="str">
            <v>LINA MARCELA</v>
          </cell>
          <cell r="C1484">
            <v>0</v>
          </cell>
          <cell r="F1484" t="str">
            <v>NOMBRE</v>
          </cell>
          <cell r="G1484">
            <v>0</v>
          </cell>
          <cell r="H1484">
            <v>0</v>
          </cell>
          <cell r="I1484">
            <v>0</v>
          </cell>
        </row>
        <row r="1485">
          <cell r="B1485" t="str">
            <v>05202-316814 ANT</v>
          </cell>
          <cell r="C1485">
            <v>0</v>
          </cell>
          <cell r="F1485" t="str">
            <v>MAT:</v>
          </cell>
          <cell r="G1485">
            <v>0</v>
          </cell>
          <cell r="H1485">
            <v>0</v>
          </cell>
          <cell r="I1485">
            <v>0</v>
          </cell>
        </row>
        <row r="1486">
          <cell r="B1486">
            <v>0</v>
          </cell>
          <cell r="C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</row>
        <row r="1487"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</row>
        <row r="1488"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</row>
        <row r="1489"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</row>
        <row r="1491"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</row>
        <row r="1492">
          <cell r="B1492" t="str">
            <v>5.8</v>
          </cell>
          <cell r="C1492" t="str">
            <v>DESCRIPCION:</v>
          </cell>
          <cell r="D1492" t="str">
            <v>ESPECIES Y JARDINERIA ZONA VERDE TIPO II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</row>
        <row r="1493">
          <cell r="B1493" t="str">
            <v>820-13E</v>
          </cell>
          <cell r="C1493">
            <v>0</v>
          </cell>
          <cell r="D1493" t="str">
            <v>UNIDAD</v>
          </cell>
          <cell r="E1493" t="str">
            <v>UNIDAD</v>
          </cell>
          <cell r="F1493" t="str">
            <v>CANTIDAD</v>
          </cell>
          <cell r="G1493" t="e">
            <v>#N/A</v>
          </cell>
          <cell r="H1493" t="str">
            <v>V. UNITARIO:</v>
          </cell>
          <cell r="I1493">
            <v>743436</v>
          </cell>
        </row>
        <row r="1494"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</row>
        <row r="1495"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 t="str">
            <v>Tarifa/Hora</v>
          </cell>
          <cell r="G1495" t="str">
            <v>Rendimiento</v>
          </cell>
          <cell r="H1495" t="str">
            <v>Valor-Unit.</v>
          </cell>
          <cell r="I1495">
            <v>0</v>
          </cell>
        </row>
        <row r="1496">
          <cell r="B1496" t="str">
            <v>E018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</row>
        <row r="1497">
          <cell r="B1497" t="str">
            <v>E013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</row>
        <row r="1498">
          <cell r="B1498" t="str">
            <v>E027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</row>
        <row r="1499"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 t="str">
            <v>Sub-Total</v>
          </cell>
          <cell r="G1499" t="str">
            <v>5.8</v>
          </cell>
          <cell r="H1499" t="str">
            <v>EQUI-5.5</v>
          </cell>
          <cell r="I1499">
            <v>0</v>
          </cell>
        </row>
        <row r="1500"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</row>
        <row r="1501">
          <cell r="B1501">
            <v>0</v>
          </cell>
          <cell r="C1501">
            <v>0</v>
          </cell>
          <cell r="D1501">
            <v>0</v>
          </cell>
          <cell r="E1501" t="str">
            <v>UNIDAD</v>
          </cell>
          <cell r="F1501" t="str">
            <v>V.UNIT</v>
          </cell>
          <cell r="G1501" t="str">
            <v>CANT</v>
          </cell>
          <cell r="H1501" t="str">
            <v>V.TOTAL</v>
          </cell>
          <cell r="I1501">
            <v>0</v>
          </cell>
        </row>
        <row r="1502">
          <cell r="B1502" t="str">
            <v>M127</v>
          </cell>
          <cell r="C1502" t="str">
            <v>ESPECIE DURANTA ROJA</v>
          </cell>
          <cell r="D1502">
            <v>0</v>
          </cell>
          <cell r="E1502" t="str">
            <v>UN</v>
          </cell>
          <cell r="F1502">
            <v>4800</v>
          </cell>
          <cell r="G1502">
            <v>33</v>
          </cell>
          <cell r="H1502">
            <v>158400</v>
          </cell>
          <cell r="I1502">
            <v>0</v>
          </cell>
        </row>
        <row r="1503">
          <cell r="B1503" t="str">
            <v>M128</v>
          </cell>
          <cell r="C1503" t="str">
            <v>ESPECIE OITI</v>
          </cell>
          <cell r="D1503">
            <v>0</v>
          </cell>
          <cell r="E1503" t="str">
            <v>UN</v>
          </cell>
          <cell r="F1503">
            <v>33600</v>
          </cell>
          <cell r="G1503">
            <v>3</v>
          </cell>
          <cell r="H1503">
            <v>100800</v>
          </cell>
          <cell r="I1503">
            <v>0</v>
          </cell>
        </row>
        <row r="1504">
          <cell r="B1504" t="str">
            <v>M130</v>
          </cell>
          <cell r="C1504" t="str">
            <v>ESPECIE LENGUA DE SUEGRA</v>
          </cell>
          <cell r="D1504">
            <v>0</v>
          </cell>
          <cell r="E1504" t="str">
            <v>UN</v>
          </cell>
          <cell r="F1504">
            <v>18000</v>
          </cell>
          <cell r="G1504">
            <v>16</v>
          </cell>
          <cell r="H1504">
            <v>288000</v>
          </cell>
          <cell r="I1504">
            <v>0</v>
          </cell>
        </row>
        <row r="1505">
          <cell r="B1505" t="str">
            <v>M131</v>
          </cell>
          <cell r="C1505" t="str">
            <v>ESPECIE HELICONIA</v>
          </cell>
          <cell r="D1505">
            <v>0</v>
          </cell>
          <cell r="E1505" t="str">
            <v>UN</v>
          </cell>
          <cell r="F1505">
            <v>11200.000000000002</v>
          </cell>
          <cell r="G1505">
            <v>12</v>
          </cell>
          <cell r="H1505">
            <v>134400.00000000003</v>
          </cell>
          <cell r="I1505">
            <v>0</v>
          </cell>
        </row>
        <row r="1506">
          <cell r="B1506" t="str">
            <v>M025</v>
          </cell>
          <cell r="C1506" t="str">
            <v xml:space="preserve">FERTILIZANTE FÓSFORO </v>
          </cell>
          <cell r="D1506">
            <v>0</v>
          </cell>
          <cell r="E1506" t="str">
            <v>BULTO</v>
          </cell>
          <cell r="F1506">
            <v>110000</v>
          </cell>
          <cell r="G1506">
            <v>0.02</v>
          </cell>
          <cell r="H1506">
            <v>2200</v>
          </cell>
          <cell r="I1506">
            <v>0</v>
          </cell>
        </row>
        <row r="1507">
          <cell r="B1507" t="str">
            <v>M026</v>
          </cell>
          <cell r="C1507" t="str">
            <v>FERTILIZANTE Urea</v>
          </cell>
          <cell r="D1507">
            <v>0</v>
          </cell>
          <cell r="E1507" t="str">
            <v>BULTO</v>
          </cell>
          <cell r="F1507">
            <v>95000</v>
          </cell>
          <cell r="G1507">
            <v>0.1</v>
          </cell>
          <cell r="H1507">
            <v>9500</v>
          </cell>
          <cell r="I1507">
            <v>0</v>
          </cell>
        </row>
        <row r="1508">
          <cell r="B1508" t="str">
            <v>M121</v>
          </cell>
          <cell r="C1508" t="str">
            <v>BULTO TIERRA</v>
          </cell>
          <cell r="D1508">
            <v>0</v>
          </cell>
          <cell r="E1508" t="str">
            <v>BULTO</v>
          </cell>
          <cell r="F1508">
            <v>15000</v>
          </cell>
          <cell r="G1508">
            <v>0.3</v>
          </cell>
          <cell r="H1508">
            <v>4500</v>
          </cell>
          <cell r="I1508">
            <v>0</v>
          </cell>
        </row>
        <row r="1509"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 t="str">
            <v>Sub-Total</v>
          </cell>
          <cell r="G1509" t="str">
            <v>5.8</v>
          </cell>
          <cell r="H1509" t="str">
            <v>MAT-5.5</v>
          </cell>
          <cell r="I1509">
            <v>697800</v>
          </cell>
        </row>
        <row r="1510"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</row>
        <row r="1511">
          <cell r="B1511">
            <v>0</v>
          </cell>
          <cell r="C1511">
            <v>0</v>
          </cell>
          <cell r="D1511" t="str">
            <v xml:space="preserve">CAN </v>
          </cell>
          <cell r="E1511" t="str">
            <v>DISTANCIA</v>
          </cell>
          <cell r="F1511" t="str">
            <v>M3-Km / UN-KM</v>
          </cell>
          <cell r="G1511" t="str">
            <v>TARIFA</v>
          </cell>
          <cell r="H1511" t="str">
            <v>Valor-Unit.</v>
          </cell>
          <cell r="I1511">
            <v>0</v>
          </cell>
        </row>
        <row r="1512"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</row>
        <row r="1513"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 t="str">
            <v>Sub-Total</v>
          </cell>
          <cell r="G1514" t="str">
            <v>5.8</v>
          </cell>
          <cell r="H1514" t="str">
            <v>TRAN-5.5</v>
          </cell>
          <cell r="I1514">
            <v>0</v>
          </cell>
        </row>
        <row r="1515"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</row>
        <row r="1516">
          <cell r="B1516">
            <v>0</v>
          </cell>
          <cell r="C1516">
            <v>0</v>
          </cell>
          <cell r="D1516" t="str">
            <v>JORNAL-HORA</v>
          </cell>
          <cell r="E1516" t="str">
            <v>PRES</v>
          </cell>
          <cell r="F1516" t="str">
            <v>JORNAL TOTAL</v>
          </cell>
          <cell r="G1516" t="str">
            <v>RENDIEMIENTO</v>
          </cell>
          <cell r="H1516" t="str">
            <v>VALOR-UNIT</v>
          </cell>
          <cell r="I1516">
            <v>0</v>
          </cell>
        </row>
        <row r="1517">
          <cell r="B1517" t="str">
            <v>MO004</v>
          </cell>
          <cell r="C1517" t="str">
            <v>OFICIAL</v>
          </cell>
          <cell r="D1517">
            <v>9301.6465000000026</v>
          </cell>
          <cell r="E1517">
            <v>0.56000000000000005</v>
          </cell>
          <cell r="F1517">
            <v>14510.568540000004</v>
          </cell>
          <cell r="G1517">
            <v>0.9</v>
          </cell>
          <cell r="H1517">
            <v>13059.511686000003</v>
          </cell>
          <cell r="I1517">
            <v>0</v>
          </cell>
        </row>
        <row r="1518">
          <cell r="B1518" t="str">
            <v>MO005</v>
          </cell>
          <cell r="C1518" t="str">
            <v>AYUDANTE ENTENDIDO</v>
          </cell>
          <cell r="D1518">
            <v>8051.6465000000007</v>
          </cell>
          <cell r="E1518">
            <v>0.56000000000000005</v>
          </cell>
          <cell r="F1518">
            <v>12560.568540000002</v>
          </cell>
          <cell r="G1518">
            <v>0.9</v>
          </cell>
          <cell r="H1518">
            <v>11304.511686000002</v>
          </cell>
          <cell r="I1518">
            <v>0</v>
          </cell>
        </row>
        <row r="1519">
          <cell r="B1519" t="str">
            <v>MO006</v>
          </cell>
          <cell r="C1519" t="str">
            <v>AYUDANTE</v>
          </cell>
          <cell r="D1519">
            <v>6801.6465000000007</v>
          </cell>
          <cell r="E1519">
            <v>0.56000000000000005</v>
          </cell>
          <cell r="F1519">
            <v>10610.568540000002</v>
          </cell>
          <cell r="G1519">
            <v>1.8</v>
          </cell>
          <cell r="H1519">
            <v>19099.023372000003</v>
          </cell>
          <cell r="I1519">
            <v>0</v>
          </cell>
        </row>
        <row r="1520"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</row>
        <row r="1521"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</row>
        <row r="1522"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</row>
        <row r="1523"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 t="str">
            <v>Sub-Total</v>
          </cell>
          <cell r="G1523" t="str">
            <v>5.8</v>
          </cell>
          <cell r="H1523" t="str">
            <v>MDEO-5.5</v>
          </cell>
          <cell r="I1523">
            <v>43463.046744000007</v>
          </cell>
        </row>
        <row r="1524"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2173.1523372000006</v>
          </cell>
        </row>
        <row r="1525"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 t="str">
            <v>Total Costo Directo</v>
          </cell>
          <cell r="G1525">
            <v>0</v>
          </cell>
          <cell r="H1525">
            <v>0</v>
          </cell>
          <cell r="I1525">
            <v>743436</v>
          </cell>
        </row>
        <row r="1526">
          <cell r="B1526">
            <v>0</v>
          </cell>
          <cell r="C1526">
            <v>0</v>
          </cell>
          <cell r="D1526">
            <v>0</v>
          </cell>
          <cell r="E1526" t="str">
            <v>PORCENTAJE</v>
          </cell>
          <cell r="F1526">
            <v>0</v>
          </cell>
          <cell r="G1526" t="str">
            <v>V. COSTO INDERECTO</v>
          </cell>
          <cell r="H1526">
            <v>0</v>
          </cell>
          <cell r="I1526">
            <v>0</v>
          </cell>
        </row>
        <row r="1527">
          <cell r="B1527">
            <v>0</v>
          </cell>
          <cell r="C1527">
            <v>0</v>
          </cell>
          <cell r="D1527">
            <v>0</v>
          </cell>
          <cell r="E1527">
            <v>0.02</v>
          </cell>
          <cell r="F1527">
            <v>0</v>
          </cell>
          <cell r="G1527">
            <v>14868.720000000001</v>
          </cell>
          <cell r="H1527">
            <v>0</v>
          </cell>
          <cell r="I1527">
            <v>0</v>
          </cell>
        </row>
        <row r="1528">
          <cell r="B1528">
            <v>0</v>
          </cell>
          <cell r="C1528">
            <v>0</v>
          </cell>
          <cell r="D1528">
            <v>0</v>
          </cell>
          <cell r="E1528">
            <v>0.23</v>
          </cell>
          <cell r="F1528">
            <v>0</v>
          </cell>
          <cell r="G1528">
            <v>170990.28</v>
          </cell>
          <cell r="H1528">
            <v>0</v>
          </cell>
          <cell r="I1528">
            <v>0</v>
          </cell>
        </row>
        <row r="1529">
          <cell r="B1529">
            <v>0</v>
          </cell>
          <cell r="C1529">
            <v>0</v>
          </cell>
          <cell r="D1529">
            <v>0</v>
          </cell>
          <cell r="E1529">
            <v>0.05</v>
          </cell>
          <cell r="F1529">
            <v>0</v>
          </cell>
          <cell r="G1529">
            <v>37171.800000000003</v>
          </cell>
          <cell r="H1529">
            <v>0</v>
          </cell>
          <cell r="I1529">
            <v>0</v>
          </cell>
        </row>
        <row r="1530">
          <cell r="B1530">
            <v>0</v>
          </cell>
          <cell r="C1530">
            <v>0</v>
          </cell>
          <cell r="D1530">
            <v>0</v>
          </cell>
          <cell r="E1530">
            <v>0.02</v>
          </cell>
          <cell r="F1530">
            <v>0</v>
          </cell>
          <cell r="G1530">
            <v>14868.720000000001</v>
          </cell>
          <cell r="H1530">
            <v>0</v>
          </cell>
          <cell r="I1530">
            <v>0</v>
          </cell>
        </row>
        <row r="1531"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237899.51999999999</v>
          </cell>
        </row>
        <row r="1532"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981335.52</v>
          </cell>
        </row>
        <row r="1533"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 t="str">
            <v>REVISA</v>
          </cell>
          <cell r="G1534">
            <v>0</v>
          </cell>
          <cell r="H1534">
            <v>0</v>
          </cell>
          <cell r="I1534">
            <v>0</v>
          </cell>
        </row>
        <row r="1535"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 t="str">
            <v>FIRMA:</v>
          </cell>
          <cell r="G1535">
            <v>0</v>
          </cell>
          <cell r="H1535">
            <v>0</v>
          </cell>
          <cell r="I1535">
            <v>0</v>
          </cell>
        </row>
        <row r="1536">
          <cell r="B1536" t="str">
            <v>LINA MARCELA</v>
          </cell>
          <cell r="C1536">
            <v>0</v>
          </cell>
          <cell r="F1536" t="str">
            <v>NOMBRE</v>
          </cell>
          <cell r="G1536">
            <v>0</v>
          </cell>
          <cell r="H1536">
            <v>0</v>
          </cell>
          <cell r="I1536">
            <v>0</v>
          </cell>
        </row>
        <row r="1537">
          <cell r="B1537" t="str">
            <v>05202-316814 ANT</v>
          </cell>
          <cell r="C1537">
            <v>0</v>
          </cell>
          <cell r="F1537" t="str">
            <v>MAT:</v>
          </cell>
          <cell r="G1537">
            <v>0</v>
          </cell>
          <cell r="H1537">
            <v>0</v>
          </cell>
          <cell r="I1537">
            <v>0</v>
          </cell>
        </row>
        <row r="1538">
          <cell r="B1538">
            <v>0</v>
          </cell>
          <cell r="C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</row>
        <row r="1539"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</row>
        <row r="1540"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</row>
        <row r="1541"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</row>
        <row r="1543"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</row>
        <row r="1544">
          <cell r="B1544" t="str">
            <v>5.9</v>
          </cell>
          <cell r="C1544" t="str">
            <v>DESCRIPCION:</v>
          </cell>
          <cell r="D1544" t="str">
            <v>ESPECIES Y JARDINERIA ZONA VERDE TIPO IIA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</row>
        <row r="1545">
          <cell r="B1545" t="str">
            <v>820-13F</v>
          </cell>
          <cell r="C1545">
            <v>0</v>
          </cell>
          <cell r="D1545" t="str">
            <v>UNIDAD</v>
          </cell>
          <cell r="E1545" t="str">
            <v>UNIDAD</v>
          </cell>
          <cell r="F1545" t="str">
            <v>CANTIDAD</v>
          </cell>
          <cell r="G1545" t="e">
            <v>#N/A</v>
          </cell>
          <cell r="H1545" t="str">
            <v>V. UNITARIO:</v>
          </cell>
          <cell r="I1545">
            <v>328636</v>
          </cell>
        </row>
        <row r="1546"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 t="str">
            <v>Tarifa/Hora</v>
          </cell>
          <cell r="G1547" t="str">
            <v>Rendimiento</v>
          </cell>
          <cell r="H1547" t="str">
            <v>Valor-Unit.</v>
          </cell>
          <cell r="I1547">
            <v>0</v>
          </cell>
        </row>
        <row r="1548">
          <cell r="B1548" t="str">
            <v>E018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</row>
        <row r="1549">
          <cell r="B1549" t="str">
            <v>E013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</row>
        <row r="1550">
          <cell r="B1550" t="str">
            <v>E027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</row>
        <row r="1551"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 t="str">
            <v>Sub-Total</v>
          </cell>
          <cell r="G1551" t="str">
            <v>5.9</v>
          </cell>
          <cell r="H1551" t="str">
            <v>EQUI-5.5</v>
          </cell>
          <cell r="I1551">
            <v>0</v>
          </cell>
        </row>
        <row r="1552"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</row>
        <row r="1553">
          <cell r="B1553">
            <v>0</v>
          </cell>
          <cell r="C1553">
            <v>0</v>
          </cell>
          <cell r="D1553">
            <v>0</v>
          </cell>
          <cell r="E1553" t="str">
            <v>UNIDAD</v>
          </cell>
          <cell r="F1553" t="str">
            <v>V.UNIT</v>
          </cell>
          <cell r="G1553" t="str">
            <v>CANT</v>
          </cell>
          <cell r="H1553" t="str">
            <v>V.TOTAL</v>
          </cell>
          <cell r="I1553">
            <v>0</v>
          </cell>
        </row>
        <row r="1554">
          <cell r="B1554" t="str">
            <v>M127</v>
          </cell>
          <cell r="C1554" t="str">
            <v>ESPECIE DURANTA ROJA</v>
          </cell>
          <cell r="D1554">
            <v>0</v>
          </cell>
          <cell r="E1554" t="str">
            <v>UN</v>
          </cell>
          <cell r="F1554">
            <v>4800</v>
          </cell>
          <cell r="G1554">
            <v>23</v>
          </cell>
          <cell r="H1554">
            <v>110400</v>
          </cell>
          <cell r="I1554">
            <v>0</v>
          </cell>
        </row>
        <row r="1555">
          <cell r="B1555" t="str">
            <v>M128</v>
          </cell>
          <cell r="C1555" t="str">
            <v>ESPECIE OITI</v>
          </cell>
          <cell r="D1555">
            <v>0</v>
          </cell>
          <cell r="E1555" t="str">
            <v>UN</v>
          </cell>
          <cell r="F1555">
            <v>33600</v>
          </cell>
          <cell r="G1555">
            <v>1</v>
          </cell>
          <cell r="H1555">
            <v>33600</v>
          </cell>
          <cell r="I1555">
            <v>0</v>
          </cell>
        </row>
        <row r="1556">
          <cell r="B1556" t="str">
            <v>M117</v>
          </cell>
          <cell r="C1556" t="str">
            <v>ESPECIE NIÑA BARCO</v>
          </cell>
          <cell r="D1556">
            <v>0</v>
          </cell>
          <cell r="E1556" t="str">
            <v>UN</v>
          </cell>
          <cell r="F1556">
            <v>6500</v>
          </cell>
          <cell r="G1556">
            <v>12</v>
          </cell>
          <cell r="H1556">
            <v>78000</v>
          </cell>
          <cell r="I1556">
            <v>0</v>
          </cell>
        </row>
        <row r="1557">
          <cell r="B1557" t="str">
            <v>M131</v>
          </cell>
          <cell r="C1557" t="str">
            <v>ESPECIE HELICONIA</v>
          </cell>
          <cell r="D1557">
            <v>0</v>
          </cell>
          <cell r="E1557" t="str">
            <v>UN</v>
          </cell>
          <cell r="F1557">
            <v>11200.000000000002</v>
          </cell>
          <cell r="G1557">
            <v>4</v>
          </cell>
          <cell r="H1557">
            <v>44800.000000000007</v>
          </cell>
          <cell r="I1557">
            <v>0</v>
          </cell>
        </row>
        <row r="1558">
          <cell r="B1558" t="str">
            <v>M025</v>
          </cell>
          <cell r="C1558" t="str">
            <v xml:space="preserve">FERTILIZANTE FÓSFORO </v>
          </cell>
          <cell r="D1558">
            <v>0</v>
          </cell>
          <cell r="E1558" t="str">
            <v>BULTO</v>
          </cell>
          <cell r="F1558">
            <v>110000</v>
          </cell>
          <cell r="G1558">
            <v>0.02</v>
          </cell>
          <cell r="H1558">
            <v>2200</v>
          </cell>
          <cell r="I1558">
            <v>0</v>
          </cell>
        </row>
        <row r="1559">
          <cell r="B1559" t="str">
            <v>M026</v>
          </cell>
          <cell r="C1559" t="str">
            <v>FERTILIZANTE Urea</v>
          </cell>
          <cell r="D1559">
            <v>0</v>
          </cell>
          <cell r="E1559" t="str">
            <v>BULTO</v>
          </cell>
          <cell r="F1559">
            <v>95000</v>
          </cell>
          <cell r="G1559">
            <v>0.1</v>
          </cell>
          <cell r="H1559">
            <v>9500</v>
          </cell>
          <cell r="I1559">
            <v>0</v>
          </cell>
        </row>
        <row r="1560">
          <cell r="B1560" t="str">
            <v>M121</v>
          </cell>
          <cell r="C1560" t="str">
            <v>BULTO TIERRA</v>
          </cell>
          <cell r="D1560">
            <v>0</v>
          </cell>
          <cell r="E1560" t="str">
            <v>BULTO</v>
          </cell>
          <cell r="F1560">
            <v>15000</v>
          </cell>
          <cell r="G1560">
            <v>0.3</v>
          </cell>
          <cell r="H1560">
            <v>4500</v>
          </cell>
          <cell r="I1560">
            <v>0</v>
          </cell>
        </row>
        <row r="1561"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 t="str">
            <v>Sub-Total</v>
          </cell>
          <cell r="G1561" t="str">
            <v>5.9</v>
          </cell>
          <cell r="H1561" t="str">
            <v>MAT-5.5</v>
          </cell>
          <cell r="I1561">
            <v>283000</v>
          </cell>
        </row>
        <row r="1562"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</row>
        <row r="1563">
          <cell r="B1563">
            <v>0</v>
          </cell>
          <cell r="C1563">
            <v>0</v>
          </cell>
          <cell r="D1563" t="str">
            <v xml:space="preserve">CAN </v>
          </cell>
          <cell r="E1563" t="str">
            <v>DISTANCIA</v>
          </cell>
          <cell r="F1563" t="str">
            <v>M3-Km / UN-KM</v>
          </cell>
          <cell r="G1563" t="str">
            <v>TARIFA</v>
          </cell>
          <cell r="H1563" t="str">
            <v>Valor-Unit.</v>
          </cell>
          <cell r="I1563">
            <v>0</v>
          </cell>
        </row>
        <row r="1564"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</row>
        <row r="1565"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</row>
        <row r="1566"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 t="str">
            <v>Sub-Total</v>
          </cell>
          <cell r="G1566" t="str">
            <v>5.9</v>
          </cell>
          <cell r="H1566" t="str">
            <v>TRAN-5.5</v>
          </cell>
          <cell r="I1566">
            <v>0</v>
          </cell>
        </row>
        <row r="1567"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</row>
        <row r="1568">
          <cell r="B1568">
            <v>0</v>
          </cell>
          <cell r="C1568">
            <v>0</v>
          </cell>
          <cell r="D1568" t="str">
            <v>JORNAL-HORA</v>
          </cell>
          <cell r="E1568" t="str">
            <v>PRES</v>
          </cell>
          <cell r="F1568" t="str">
            <v>JORNAL TOTAL</v>
          </cell>
          <cell r="G1568" t="str">
            <v>RENDIEMIENTO</v>
          </cell>
          <cell r="H1568" t="str">
            <v>VALOR-UNIT</v>
          </cell>
          <cell r="I1568">
            <v>0</v>
          </cell>
        </row>
        <row r="1569">
          <cell r="B1569" t="str">
            <v>MO004</v>
          </cell>
          <cell r="C1569" t="str">
            <v>OFICIAL</v>
          </cell>
          <cell r="D1569">
            <v>9301.6465000000026</v>
          </cell>
          <cell r="E1569">
            <v>0.56000000000000005</v>
          </cell>
          <cell r="F1569">
            <v>14510.568540000004</v>
          </cell>
          <cell r="G1569">
            <v>0.9</v>
          </cell>
          <cell r="H1569">
            <v>13059.511686000003</v>
          </cell>
          <cell r="I1569">
            <v>0</v>
          </cell>
        </row>
        <row r="1570">
          <cell r="B1570" t="str">
            <v>MO005</v>
          </cell>
          <cell r="C1570" t="str">
            <v>AYUDANTE ENTENDIDO</v>
          </cell>
          <cell r="D1570">
            <v>8051.6465000000007</v>
          </cell>
          <cell r="E1570">
            <v>0.56000000000000005</v>
          </cell>
          <cell r="F1570">
            <v>12560.568540000002</v>
          </cell>
          <cell r="G1570">
            <v>0.9</v>
          </cell>
          <cell r="H1570">
            <v>11304.511686000002</v>
          </cell>
          <cell r="I1570">
            <v>0</v>
          </cell>
        </row>
        <row r="1571">
          <cell r="B1571" t="str">
            <v>MO006</v>
          </cell>
          <cell r="C1571" t="str">
            <v>AYUDANTE</v>
          </cell>
          <cell r="D1571">
            <v>6801.6465000000007</v>
          </cell>
          <cell r="E1571">
            <v>0.56000000000000005</v>
          </cell>
          <cell r="F1571">
            <v>10610.568540000002</v>
          </cell>
          <cell r="G1571">
            <v>1.8</v>
          </cell>
          <cell r="H1571">
            <v>19099.023372000003</v>
          </cell>
          <cell r="I1571">
            <v>0</v>
          </cell>
        </row>
        <row r="1572"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</row>
        <row r="1573"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</row>
        <row r="1575"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 t="str">
            <v>Sub-Total</v>
          </cell>
          <cell r="G1575" t="str">
            <v>5.9</v>
          </cell>
          <cell r="H1575" t="str">
            <v>MDEO-5.5</v>
          </cell>
          <cell r="I1575">
            <v>43463.046744000007</v>
          </cell>
        </row>
        <row r="1576"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2173.1523372000006</v>
          </cell>
        </row>
        <row r="1577"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 t="str">
            <v>Total Costo Directo</v>
          </cell>
          <cell r="G1577">
            <v>0</v>
          </cell>
          <cell r="H1577">
            <v>0</v>
          </cell>
          <cell r="I1577">
            <v>328636</v>
          </cell>
        </row>
        <row r="1578">
          <cell r="B1578">
            <v>0</v>
          </cell>
          <cell r="C1578">
            <v>0</v>
          </cell>
          <cell r="D1578">
            <v>0</v>
          </cell>
          <cell r="E1578" t="str">
            <v>PORCENTAJE</v>
          </cell>
          <cell r="F1578">
            <v>0</v>
          </cell>
          <cell r="G1578" t="str">
            <v>V. COSTO INDERECTO</v>
          </cell>
          <cell r="H1578">
            <v>0</v>
          </cell>
          <cell r="I1578">
            <v>0</v>
          </cell>
        </row>
        <row r="1579">
          <cell r="B1579">
            <v>0</v>
          </cell>
          <cell r="C1579">
            <v>0</v>
          </cell>
          <cell r="D1579">
            <v>0</v>
          </cell>
          <cell r="E1579">
            <v>0.02</v>
          </cell>
          <cell r="F1579">
            <v>0</v>
          </cell>
          <cell r="G1579">
            <v>6572.72</v>
          </cell>
          <cell r="H1579">
            <v>0</v>
          </cell>
          <cell r="I1579">
            <v>0</v>
          </cell>
        </row>
        <row r="1580">
          <cell r="B1580">
            <v>0</v>
          </cell>
          <cell r="C1580">
            <v>0</v>
          </cell>
          <cell r="D1580">
            <v>0</v>
          </cell>
          <cell r="E1580">
            <v>0.23</v>
          </cell>
          <cell r="F1580">
            <v>0</v>
          </cell>
          <cell r="G1580">
            <v>75586.28</v>
          </cell>
          <cell r="H1580">
            <v>0</v>
          </cell>
          <cell r="I1580">
            <v>0</v>
          </cell>
        </row>
        <row r="1581">
          <cell r="B1581">
            <v>0</v>
          </cell>
          <cell r="C1581">
            <v>0</v>
          </cell>
          <cell r="D1581">
            <v>0</v>
          </cell>
          <cell r="E1581">
            <v>0.05</v>
          </cell>
          <cell r="F1581">
            <v>0</v>
          </cell>
          <cell r="G1581">
            <v>16431.8</v>
          </cell>
          <cell r="H1581">
            <v>0</v>
          </cell>
          <cell r="I1581">
            <v>0</v>
          </cell>
        </row>
        <row r="1582">
          <cell r="B1582">
            <v>0</v>
          </cell>
          <cell r="C1582">
            <v>0</v>
          </cell>
          <cell r="D1582">
            <v>0</v>
          </cell>
          <cell r="E1582">
            <v>0.02</v>
          </cell>
          <cell r="F1582">
            <v>0</v>
          </cell>
          <cell r="G1582">
            <v>6572.72</v>
          </cell>
          <cell r="H1582">
            <v>0</v>
          </cell>
          <cell r="I1582">
            <v>0</v>
          </cell>
        </row>
        <row r="1583"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105163.52</v>
          </cell>
        </row>
        <row r="1584"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433799.52</v>
          </cell>
        </row>
        <row r="1585"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</row>
        <row r="1586"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 t="str">
            <v>REVISA</v>
          </cell>
          <cell r="G1586">
            <v>0</v>
          </cell>
          <cell r="H1586">
            <v>0</v>
          </cell>
          <cell r="I1586">
            <v>0</v>
          </cell>
        </row>
        <row r="1587"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 t="str">
            <v>FIRMA:</v>
          </cell>
          <cell r="G1587">
            <v>0</v>
          </cell>
          <cell r="H1587">
            <v>0</v>
          </cell>
          <cell r="I1587">
            <v>0</v>
          </cell>
        </row>
        <row r="1588">
          <cell r="B1588" t="str">
            <v>LINA MARCELA</v>
          </cell>
          <cell r="C1588">
            <v>0</v>
          </cell>
          <cell r="F1588" t="str">
            <v>NOMBRE</v>
          </cell>
          <cell r="G1588">
            <v>0</v>
          </cell>
          <cell r="H1588">
            <v>0</v>
          </cell>
          <cell r="I1588">
            <v>0</v>
          </cell>
        </row>
        <row r="1589">
          <cell r="B1589" t="str">
            <v>05202-316814 ANT</v>
          </cell>
          <cell r="C1589">
            <v>0</v>
          </cell>
          <cell r="F1589" t="str">
            <v>MAT:</v>
          </cell>
          <cell r="G1589">
            <v>0</v>
          </cell>
          <cell r="H1589">
            <v>0</v>
          </cell>
          <cell r="I1589">
            <v>0</v>
          </cell>
        </row>
        <row r="1590">
          <cell r="B1590">
            <v>0</v>
          </cell>
          <cell r="C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</row>
        <row r="1591"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</row>
        <row r="1592"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</row>
        <row r="1593"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</row>
        <row r="1595"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</row>
        <row r="1596">
          <cell r="B1596" t="str">
            <v>5.10</v>
          </cell>
          <cell r="C1596" t="str">
            <v>DESCRIPCION:</v>
          </cell>
          <cell r="D1596" t="str">
            <v>ESPECIES Y JARDINERIA ZONA VERDE TIPO IIB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</row>
        <row r="1597">
          <cell r="B1597" t="str">
            <v>820-13G</v>
          </cell>
          <cell r="C1597">
            <v>0</v>
          </cell>
          <cell r="D1597" t="str">
            <v>UNIDAD</v>
          </cell>
          <cell r="E1597" t="str">
            <v>UNIDAD</v>
          </cell>
          <cell r="F1597" t="str">
            <v>CANTIDAD</v>
          </cell>
          <cell r="G1597" t="e">
            <v>#N/A</v>
          </cell>
          <cell r="H1597" t="str">
            <v>V. UNITARIO:</v>
          </cell>
          <cell r="I1597">
            <v>328636</v>
          </cell>
        </row>
        <row r="1598"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</row>
        <row r="1599"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 t="str">
            <v>Tarifa/Hora</v>
          </cell>
          <cell r="G1599" t="str">
            <v>Rendimiento</v>
          </cell>
          <cell r="H1599" t="str">
            <v>Valor-Unit.</v>
          </cell>
          <cell r="I1599">
            <v>0</v>
          </cell>
        </row>
        <row r="1600">
          <cell r="B1600" t="str">
            <v>E018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</row>
        <row r="1601">
          <cell r="B1601" t="str">
            <v>E013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</row>
        <row r="1602">
          <cell r="B1602" t="str">
            <v>E027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</row>
        <row r="1603"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 t="str">
            <v>Sub-Total</v>
          </cell>
          <cell r="G1603" t="str">
            <v>5.10</v>
          </cell>
          <cell r="H1603" t="str">
            <v>EQUI-5.5</v>
          </cell>
          <cell r="I1603">
            <v>0</v>
          </cell>
        </row>
        <row r="1604"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</row>
        <row r="1605">
          <cell r="B1605">
            <v>0</v>
          </cell>
          <cell r="C1605">
            <v>0</v>
          </cell>
          <cell r="D1605">
            <v>0</v>
          </cell>
          <cell r="E1605" t="str">
            <v>UNIDAD</v>
          </cell>
          <cell r="F1605" t="str">
            <v>V.UNIT</v>
          </cell>
          <cell r="G1605" t="str">
            <v>CANT</v>
          </cell>
          <cell r="H1605" t="str">
            <v>V.TOTAL</v>
          </cell>
          <cell r="I1605">
            <v>0</v>
          </cell>
        </row>
        <row r="1606">
          <cell r="B1606" t="str">
            <v>M127</v>
          </cell>
          <cell r="C1606" t="str">
            <v>ESPECIE DURANTA ROJA</v>
          </cell>
          <cell r="D1606">
            <v>0</v>
          </cell>
          <cell r="E1606" t="str">
            <v>UN</v>
          </cell>
          <cell r="F1606">
            <v>4800</v>
          </cell>
          <cell r="G1606">
            <v>23</v>
          </cell>
          <cell r="H1606">
            <v>110400</v>
          </cell>
          <cell r="I1606">
            <v>0</v>
          </cell>
        </row>
        <row r="1607">
          <cell r="B1607" t="str">
            <v>M128</v>
          </cell>
          <cell r="C1607" t="str">
            <v>ESPECIE OITI</v>
          </cell>
          <cell r="D1607">
            <v>0</v>
          </cell>
          <cell r="E1607" t="str">
            <v>UN</v>
          </cell>
          <cell r="F1607">
            <v>33600</v>
          </cell>
          <cell r="G1607">
            <v>1</v>
          </cell>
          <cell r="H1607">
            <v>33600</v>
          </cell>
          <cell r="I1607">
            <v>0</v>
          </cell>
        </row>
        <row r="1608">
          <cell r="B1608" t="str">
            <v>M117</v>
          </cell>
          <cell r="C1608" t="str">
            <v>ESPECIE NIÑA BARCO</v>
          </cell>
          <cell r="D1608">
            <v>0</v>
          </cell>
          <cell r="E1608" t="str">
            <v>UN</v>
          </cell>
          <cell r="F1608">
            <v>6500</v>
          </cell>
          <cell r="G1608">
            <v>12</v>
          </cell>
          <cell r="H1608">
            <v>78000</v>
          </cell>
          <cell r="I1608">
            <v>0</v>
          </cell>
        </row>
        <row r="1609">
          <cell r="B1609" t="str">
            <v>M131</v>
          </cell>
          <cell r="C1609" t="str">
            <v>ESPECIE HELICONIA</v>
          </cell>
          <cell r="D1609">
            <v>0</v>
          </cell>
          <cell r="E1609" t="str">
            <v>UN</v>
          </cell>
          <cell r="F1609">
            <v>11200.000000000002</v>
          </cell>
          <cell r="G1609">
            <v>4</v>
          </cell>
          <cell r="H1609">
            <v>44800.000000000007</v>
          </cell>
          <cell r="I1609">
            <v>0</v>
          </cell>
        </row>
        <row r="1610">
          <cell r="B1610" t="str">
            <v>M025</v>
          </cell>
          <cell r="C1610" t="str">
            <v xml:space="preserve">FERTILIZANTE FÓSFORO </v>
          </cell>
          <cell r="D1610">
            <v>0</v>
          </cell>
          <cell r="E1610" t="str">
            <v>BULTO</v>
          </cell>
          <cell r="F1610">
            <v>110000</v>
          </cell>
          <cell r="G1610">
            <v>0.02</v>
          </cell>
          <cell r="H1610">
            <v>2200</v>
          </cell>
          <cell r="I1610">
            <v>0</v>
          </cell>
        </row>
        <row r="1611">
          <cell r="B1611" t="str">
            <v>M026</v>
          </cell>
          <cell r="C1611" t="str">
            <v>FERTILIZANTE Urea</v>
          </cell>
          <cell r="D1611">
            <v>0</v>
          </cell>
          <cell r="E1611" t="str">
            <v>BULTO</v>
          </cell>
          <cell r="F1611">
            <v>95000</v>
          </cell>
          <cell r="G1611">
            <v>0.1</v>
          </cell>
          <cell r="H1611">
            <v>9500</v>
          </cell>
          <cell r="I1611">
            <v>0</v>
          </cell>
        </row>
        <row r="1612">
          <cell r="B1612" t="str">
            <v>M121</v>
          </cell>
          <cell r="C1612" t="str">
            <v>BULTO TIERRA</v>
          </cell>
          <cell r="D1612">
            <v>0</v>
          </cell>
          <cell r="E1612" t="str">
            <v>BULTO</v>
          </cell>
          <cell r="F1612">
            <v>15000</v>
          </cell>
          <cell r="G1612">
            <v>0.3</v>
          </cell>
          <cell r="H1612">
            <v>4500</v>
          </cell>
          <cell r="I1612">
            <v>0</v>
          </cell>
        </row>
        <row r="1613"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 t="str">
            <v>Sub-Total</v>
          </cell>
          <cell r="G1613" t="str">
            <v>5.10</v>
          </cell>
          <cell r="H1613" t="str">
            <v>MAT-5.5</v>
          </cell>
          <cell r="I1613">
            <v>283000</v>
          </cell>
        </row>
        <row r="1614"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</row>
        <row r="1615">
          <cell r="B1615">
            <v>0</v>
          </cell>
          <cell r="C1615">
            <v>0</v>
          </cell>
          <cell r="D1615" t="str">
            <v xml:space="preserve">CAN </v>
          </cell>
          <cell r="E1615" t="str">
            <v>DISTANCIA</v>
          </cell>
          <cell r="F1615" t="str">
            <v>M3-Km / UN-KM</v>
          </cell>
          <cell r="G1615" t="str">
            <v>TARIFA</v>
          </cell>
          <cell r="H1615" t="str">
            <v>Valor-Unit.</v>
          </cell>
          <cell r="I1615">
            <v>0</v>
          </cell>
        </row>
        <row r="1616"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</row>
        <row r="1617"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</row>
        <row r="1618"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 t="str">
            <v>Sub-Total</v>
          </cell>
          <cell r="G1618" t="str">
            <v>5.10</v>
          </cell>
          <cell r="H1618" t="str">
            <v>TRAN-5.5</v>
          </cell>
          <cell r="I1618">
            <v>0</v>
          </cell>
        </row>
        <row r="1619"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</row>
        <row r="1620">
          <cell r="B1620">
            <v>0</v>
          </cell>
          <cell r="C1620">
            <v>0</v>
          </cell>
          <cell r="D1620" t="str">
            <v>JORNAL-HORA</v>
          </cell>
          <cell r="E1620" t="str">
            <v>PRES</v>
          </cell>
          <cell r="F1620" t="str">
            <v>JORNAL TOTAL</v>
          </cell>
          <cell r="G1620" t="str">
            <v>RENDIEMIENTO</v>
          </cell>
          <cell r="H1620" t="str">
            <v>VALOR-UNIT</v>
          </cell>
          <cell r="I1620">
            <v>0</v>
          </cell>
        </row>
        <row r="1621">
          <cell r="B1621" t="str">
            <v>MO004</v>
          </cell>
          <cell r="C1621" t="str">
            <v>OFICIAL</v>
          </cell>
          <cell r="D1621">
            <v>9301.6465000000026</v>
          </cell>
          <cell r="E1621">
            <v>0.56000000000000005</v>
          </cell>
          <cell r="F1621">
            <v>14510.568540000004</v>
          </cell>
          <cell r="G1621">
            <v>0.9</v>
          </cell>
          <cell r="H1621">
            <v>13059.511686000003</v>
          </cell>
          <cell r="I1621">
            <v>0</v>
          </cell>
        </row>
        <row r="1622">
          <cell r="B1622" t="str">
            <v>MO005</v>
          </cell>
          <cell r="C1622" t="str">
            <v>AYUDANTE ENTENDIDO</v>
          </cell>
          <cell r="D1622">
            <v>8051.6465000000007</v>
          </cell>
          <cell r="E1622">
            <v>0.56000000000000005</v>
          </cell>
          <cell r="F1622">
            <v>12560.568540000002</v>
          </cell>
          <cell r="G1622">
            <v>0.9</v>
          </cell>
          <cell r="H1622">
            <v>11304.511686000002</v>
          </cell>
          <cell r="I1622">
            <v>0</v>
          </cell>
        </row>
        <row r="1623">
          <cell r="B1623" t="str">
            <v>MO006</v>
          </cell>
          <cell r="C1623" t="str">
            <v>AYUDANTE</v>
          </cell>
          <cell r="D1623">
            <v>6801.6465000000007</v>
          </cell>
          <cell r="E1623">
            <v>0.56000000000000005</v>
          </cell>
          <cell r="F1623">
            <v>10610.568540000002</v>
          </cell>
          <cell r="G1623">
            <v>1.8</v>
          </cell>
          <cell r="H1623">
            <v>19099.023372000003</v>
          </cell>
          <cell r="I1623">
            <v>0</v>
          </cell>
        </row>
        <row r="1624"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</row>
        <row r="1625"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</row>
        <row r="1626"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</row>
        <row r="1627"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 t="str">
            <v>Sub-Total</v>
          </cell>
          <cell r="G1627" t="str">
            <v>5.10</v>
          </cell>
          <cell r="H1627" t="str">
            <v>MDEO-5.5</v>
          </cell>
          <cell r="I1627">
            <v>43463.046744000007</v>
          </cell>
        </row>
        <row r="1628"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2173.1523372000006</v>
          </cell>
        </row>
        <row r="1629"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 t="str">
            <v>Total Costo Directo</v>
          </cell>
          <cell r="G1629">
            <v>0</v>
          </cell>
          <cell r="H1629">
            <v>0</v>
          </cell>
          <cell r="I1629">
            <v>328636</v>
          </cell>
        </row>
        <row r="1630">
          <cell r="B1630">
            <v>0</v>
          </cell>
          <cell r="C1630">
            <v>0</v>
          </cell>
          <cell r="D1630">
            <v>0</v>
          </cell>
          <cell r="E1630" t="str">
            <v>PORCENTAJE</v>
          </cell>
          <cell r="F1630">
            <v>0</v>
          </cell>
          <cell r="G1630" t="str">
            <v>V. COSTO INDERECTO</v>
          </cell>
          <cell r="H1630">
            <v>0</v>
          </cell>
          <cell r="I1630">
            <v>0</v>
          </cell>
        </row>
        <row r="1631">
          <cell r="B1631">
            <v>0</v>
          </cell>
          <cell r="C1631">
            <v>0</v>
          </cell>
          <cell r="D1631">
            <v>0</v>
          </cell>
          <cell r="E1631">
            <v>0.02</v>
          </cell>
          <cell r="F1631">
            <v>0</v>
          </cell>
          <cell r="G1631">
            <v>6572.72</v>
          </cell>
          <cell r="H1631">
            <v>0</v>
          </cell>
          <cell r="I1631">
            <v>0</v>
          </cell>
        </row>
        <row r="1632">
          <cell r="B1632">
            <v>0</v>
          </cell>
          <cell r="C1632">
            <v>0</v>
          </cell>
          <cell r="D1632">
            <v>0</v>
          </cell>
          <cell r="E1632">
            <v>0.23</v>
          </cell>
          <cell r="F1632">
            <v>0</v>
          </cell>
          <cell r="G1632">
            <v>75586.28</v>
          </cell>
          <cell r="H1632">
            <v>0</v>
          </cell>
          <cell r="I1632">
            <v>0</v>
          </cell>
        </row>
        <row r="1633">
          <cell r="B1633">
            <v>0</v>
          </cell>
          <cell r="C1633">
            <v>0</v>
          </cell>
          <cell r="D1633">
            <v>0</v>
          </cell>
          <cell r="E1633">
            <v>0.05</v>
          </cell>
          <cell r="F1633">
            <v>0</v>
          </cell>
          <cell r="G1633">
            <v>16431.8</v>
          </cell>
          <cell r="H1633">
            <v>0</v>
          </cell>
          <cell r="I1633">
            <v>0</v>
          </cell>
        </row>
        <row r="1634">
          <cell r="B1634">
            <v>0</v>
          </cell>
          <cell r="C1634">
            <v>0</v>
          </cell>
          <cell r="D1634">
            <v>0</v>
          </cell>
          <cell r="E1634">
            <v>0.02</v>
          </cell>
          <cell r="F1634">
            <v>0</v>
          </cell>
          <cell r="G1634">
            <v>6572.72</v>
          </cell>
          <cell r="H1634">
            <v>0</v>
          </cell>
          <cell r="I1634">
            <v>0</v>
          </cell>
        </row>
        <row r="1635"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105163.52</v>
          </cell>
        </row>
        <row r="1636"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433799.52</v>
          </cell>
        </row>
        <row r="1637"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</row>
        <row r="1638"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 t="str">
            <v>REVISA</v>
          </cell>
          <cell r="G1638">
            <v>0</v>
          </cell>
          <cell r="H1638">
            <v>0</v>
          </cell>
          <cell r="I1638">
            <v>0</v>
          </cell>
        </row>
        <row r="1639"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 t="str">
            <v>FIRMA:</v>
          </cell>
          <cell r="G1639">
            <v>0</v>
          </cell>
          <cell r="H1639">
            <v>0</v>
          </cell>
          <cell r="I1639">
            <v>0</v>
          </cell>
        </row>
        <row r="1640">
          <cell r="B1640" t="str">
            <v>LINA MARCELA</v>
          </cell>
          <cell r="C1640">
            <v>0</v>
          </cell>
          <cell r="F1640" t="str">
            <v>NOMBRE</v>
          </cell>
          <cell r="G1640">
            <v>0</v>
          </cell>
          <cell r="H1640">
            <v>0</v>
          </cell>
          <cell r="I1640">
            <v>0</v>
          </cell>
        </row>
        <row r="1641">
          <cell r="B1641" t="str">
            <v>05202-316814 ANT</v>
          </cell>
          <cell r="C1641">
            <v>0</v>
          </cell>
          <cell r="F1641" t="str">
            <v>MAT:</v>
          </cell>
          <cell r="G1641">
            <v>0</v>
          </cell>
          <cell r="H1641">
            <v>0</v>
          </cell>
          <cell r="I1641">
            <v>0</v>
          </cell>
        </row>
        <row r="1642">
          <cell r="B1642">
            <v>0</v>
          </cell>
          <cell r="C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</row>
        <row r="1644"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</row>
        <row r="1645"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</row>
        <row r="1647"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</row>
        <row r="1648">
          <cell r="B1648" t="str">
            <v>5.11</v>
          </cell>
          <cell r="C1648" t="str">
            <v>DESCRIPCION:</v>
          </cell>
          <cell r="D1648" t="str">
            <v>ESPECIES Y JARDINERIA ZONA VERDE TIPO III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</row>
        <row r="1649">
          <cell r="B1649" t="str">
            <v>820-13G</v>
          </cell>
          <cell r="C1649">
            <v>0</v>
          </cell>
          <cell r="D1649" t="str">
            <v>UNIDAD</v>
          </cell>
          <cell r="E1649" t="str">
            <v>UNIDAD</v>
          </cell>
          <cell r="F1649" t="str">
            <v>CANTIDAD</v>
          </cell>
          <cell r="G1649" t="e">
            <v>#N/A</v>
          </cell>
          <cell r="H1649" t="str">
            <v>V. UNITARIO:</v>
          </cell>
          <cell r="I1649">
            <v>709836</v>
          </cell>
        </row>
        <row r="1650"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</row>
        <row r="1651"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 t="str">
            <v>Tarifa/Hora</v>
          </cell>
          <cell r="G1651" t="str">
            <v>Rendimiento</v>
          </cell>
          <cell r="H1651" t="str">
            <v>Valor-Unit.</v>
          </cell>
          <cell r="I1651">
            <v>0</v>
          </cell>
        </row>
        <row r="1652">
          <cell r="B1652" t="str">
            <v>E018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</row>
        <row r="1653">
          <cell r="B1653" t="str">
            <v>E013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</row>
        <row r="1654">
          <cell r="B1654" t="str">
            <v>E027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</row>
        <row r="1655"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 t="str">
            <v>Sub-Total</v>
          </cell>
          <cell r="G1655" t="str">
            <v>5.11</v>
          </cell>
          <cell r="H1655" t="str">
            <v>EQUI-5.5</v>
          </cell>
          <cell r="I1655">
            <v>0</v>
          </cell>
        </row>
        <row r="1656"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</row>
        <row r="1657">
          <cell r="B1657">
            <v>0</v>
          </cell>
          <cell r="C1657">
            <v>0</v>
          </cell>
          <cell r="D1657">
            <v>0</v>
          </cell>
          <cell r="E1657" t="str">
            <v>UNIDAD</v>
          </cell>
          <cell r="F1657" t="str">
            <v>V.UNIT</v>
          </cell>
          <cell r="G1657" t="str">
            <v>CANT</v>
          </cell>
          <cell r="H1657" t="str">
            <v>V.TOTAL</v>
          </cell>
          <cell r="I1657">
            <v>0</v>
          </cell>
        </row>
        <row r="1658">
          <cell r="B1658" t="str">
            <v>M116</v>
          </cell>
          <cell r="C1658" t="str">
            <v>ESPECIE CROTO VICTORIA</v>
          </cell>
          <cell r="D1658">
            <v>0</v>
          </cell>
          <cell r="E1658" t="str">
            <v>UN</v>
          </cell>
          <cell r="F1658">
            <v>21600</v>
          </cell>
          <cell r="G1658">
            <v>20</v>
          </cell>
          <cell r="H1658">
            <v>432000</v>
          </cell>
          <cell r="I1658">
            <v>0</v>
          </cell>
        </row>
        <row r="1659">
          <cell r="B1659" t="str">
            <v>M130</v>
          </cell>
          <cell r="C1659" t="str">
            <v>ESPECIE LENGUA DE SUEGRA</v>
          </cell>
          <cell r="D1659">
            <v>0</v>
          </cell>
          <cell r="E1659" t="str">
            <v>UN</v>
          </cell>
          <cell r="F1659">
            <v>18000</v>
          </cell>
          <cell r="G1659">
            <v>12</v>
          </cell>
          <cell r="H1659">
            <v>216000</v>
          </cell>
          <cell r="I1659">
            <v>0</v>
          </cell>
        </row>
        <row r="1660">
          <cell r="B1660" t="str">
            <v>M025</v>
          </cell>
          <cell r="C1660" t="str">
            <v xml:space="preserve">FERTILIZANTE FÓSFORO </v>
          </cell>
          <cell r="D1660">
            <v>0</v>
          </cell>
          <cell r="E1660" t="str">
            <v>BULTO</v>
          </cell>
          <cell r="F1660">
            <v>110000</v>
          </cell>
          <cell r="G1660">
            <v>0.02</v>
          </cell>
          <cell r="H1660">
            <v>2200</v>
          </cell>
          <cell r="I1660">
            <v>0</v>
          </cell>
        </row>
        <row r="1661">
          <cell r="B1661" t="str">
            <v>M026</v>
          </cell>
          <cell r="C1661" t="str">
            <v>FERTILIZANTE Urea</v>
          </cell>
          <cell r="D1661">
            <v>0</v>
          </cell>
          <cell r="E1661" t="str">
            <v>BULTO</v>
          </cell>
          <cell r="F1661">
            <v>95000</v>
          </cell>
          <cell r="G1661">
            <v>0.1</v>
          </cell>
          <cell r="H1661">
            <v>9500</v>
          </cell>
          <cell r="I1661">
            <v>0</v>
          </cell>
        </row>
        <row r="1662">
          <cell r="B1662" t="str">
            <v>M121</v>
          </cell>
          <cell r="C1662" t="str">
            <v>BULTO TIERRA</v>
          </cell>
          <cell r="D1662">
            <v>0</v>
          </cell>
          <cell r="E1662" t="str">
            <v>BULTO</v>
          </cell>
          <cell r="F1662">
            <v>15000</v>
          </cell>
          <cell r="G1662">
            <v>0.3</v>
          </cell>
          <cell r="H1662">
            <v>4500</v>
          </cell>
          <cell r="I1662">
            <v>0</v>
          </cell>
        </row>
        <row r="1663"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 t="str">
            <v>Sub-Total</v>
          </cell>
          <cell r="G1663" t="str">
            <v>5.11</v>
          </cell>
          <cell r="H1663" t="str">
            <v>MAT-5.5</v>
          </cell>
          <cell r="I1663">
            <v>664200</v>
          </cell>
        </row>
        <row r="1664"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</row>
        <row r="1665">
          <cell r="B1665">
            <v>0</v>
          </cell>
          <cell r="C1665">
            <v>0</v>
          </cell>
          <cell r="D1665" t="str">
            <v xml:space="preserve">CAN </v>
          </cell>
          <cell r="E1665" t="str">
            <v>DISTANCIA</v>
          </cell>
          <cell r="F1665" t="str">
            <v>M3-Km / UN-KM</v>
          </cell>
          <cell r="G1665" t="str">
            <v>TARIFA</v>
          </cell>
          <cell r="H1665" t="str">
            <v>Valor-Unit.</v>
          </cell>
          <cell r="I1665">
            <v>0</v>
          </cell>
        </row>
        <row r="1666"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</row>
        <row r="1667"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</row>
        <row r="1668"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 t="str">
            <v>Sub-Total</v>
          </cell>
          <cell r="G1668" t="str">
            <v>5.11</v>
          </cell>
          <cell r="H1668" t="str">
            <v>TRAN-5.5</v>
          </cell>
          <cell r="I1668">
            <v>0</v>
          </cell>
        </row>
        <row r="1669"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</row>
        <row r="1670">
          <cell r="B1670">
            <v>0</v>
          </cell>
          <cell r="C1670">
            <v>0</v>
          </cell>
          <cell r="D1670" t="str">
            <v>JORNAL-HORA</v>
          </cell>
          <cell r="E1670" t="str">
            <v>PRES</v>
          </cell>
          <cell r="F1670" t="str">
            <v>JORNAL TOTAL</v>
          </cell>
          <cell r="G1670" t="str">
            <v>RENDIEMIENTO</v>
          </cell>
          <cell r="H1670" t="str">
            <v>VALOR-UNIT</v>
          </cell>
          <cell r="I1670">
            <v>0</v>
          </cell>
        </row>
        <row r="1671">
          <cell r="B1671" t="str">
            <v>MO004</v>
          </cell>
          <cell r="C1671" t="str">
            <v>OFICIAL</v>
          </cell>
          <cell r="D1671">
            <v>9301.6465000000026</v>
          </cell>
          <cell r="E1671">
            <v>0.56000000000000005</v>
          </cell>
          <cell r="F1671">
            <v>14510.568540000004</v>
          </cell>
          <cell r="G1671">
            <v>0.9</v>
          </cell>
          <cell r="H1671">
            <v>13059.511686000003</v>
          </cell>
          <cell r="I1671">
            <v>0</v>
          </cell>
        </row>
        <row r="1672">
          <cell r="B1672" t="str">
            <v>MO005</v>
          </cell>
          <cell r="C1672" t="str">
            <v>AYUDANTE ENTENDIDO</v>
          </cell>
          <cell r="D1672">
            <v>8051.6465000000007</v>
          </cell>
          <cell r="E1672">
            <v>0.56000000000000005</v>
          </cell>
          <cell r="F1672">
            <v>12560.568540000002</v>
          </cell>
          <cell r="G1672">
            <v>0.9</v>
          </cell>
          <cell r="H1672">
            <v>11304.511686000002</v>
          </cell>
          <cell r="I1672">
            <v>0</v>
          </cell>
        </row>
        <row r="1673">
          <cell r="B1673" t="str">
            <v>MO006</v>
          </cell>
          <cell r="C1673" t="str">
            <v>AYUDANTE</v>
          </cell>
          <cell r="D1673">
            <v>6801.6465000000007</v>
          </cell>
          <cell r="E1673">
            <v>0.56000000000000005</v>
          </cell>
          <cell r="F1673">
            <v>10610.568540000002</v>
          </cell>
          <cell r="G1673">
            <v>1.8</v>
          </cell>
          <cell r="H1673">
            <v>19099.023372000003</v>
          </cell>
          <cell r="I1673">
            <v>0</v>
          </cell>
        </row>
        <row r="1674"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</row>
        <row r="1675"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 t="str">
            <v>Sub-Total</v>
          </cell>
          <cell r="G1677" t="str">
            <v>5.11</v>
          </cell>
          <cell r="H1677" t="str">
            <v>MDEO-5.5</v>
          </cell>
          <cell r="I1677">
            <v>43463.046744000007</v>
          </cell>
        </row>
        <row r="1678"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2173.1523372000006</v>
          </cell>
        </row>
        <row r="1679"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 t="str">
            <v>Total Costo Directo</v>
          </cell>
          <cell r="G1679">
            <v>0</v>
          </cell>
          <cell r="H1679">
            <v>0</v>
          </cell>
          <cell r="I1679">
            <v>709836</v>
          </cell>
        </row>
        <row r="1680">
          <cell r="B1680">
            <v>0</v>
          </cell>
          <cell r="C1680">
            <v>0</v>
          </cell>
          <cell r="D1680">
            <v>0</v>
          </cell>
          <cell r="E1680" t="str">
            <v>PORCENTAJE</v>
          </cell>
          <cell r="F1680">
            <v>0</v>
          </cell>
          <cell r="G1680" t="str">
            <v>V. COSTO INDERECTO</v>
          </cell>
          <cell r="H1680">
            <v>0</v>
          </cell>
          <cell r="I1680">
            <v>0</v>
          </cell>
        </row>
        <row r="1681">
          <cell r="B1681">
            <v>0</v>
          </cell>
          <cell r="C1681">
            <v>0</v>
          </cell>
          <cell r="D1681">
            <v>0</v>
          </cell>
          <cell r="E1681">
            <v>0.02</v>
          </cell>
          <cell r="F1681">
            <v>0</v>
          </cell>
          <cell r="G1681">
            <v>14196.720000000001</v>
          </cell>
          <cell r="H1681">
            <v>0</v>
          </cell>
          <cell r="I1681">
            <v>0</v>
          </cell>
        </row>
        <row r="1682">
          <cell r="B1682">
            <v>0</v>
          </cell>
          <cell r="C1682">
            <v>0</v>
          </cell>
          <cell r="D1682">
            <v>0</v>
          </cell>
          <cell r="E1682">
            <v>0.23</v>
          </cell>
          <cell r="F1682">
            <v>0</v>
          </cell>
          <cell r="G1682">
            <v>163262.28</v>
          </cell>
          <cell r="H1682">
            <v>0</v>
          </cell>
          <cell r="I1682">
            <v>0</v>
          </cell>
        </row>
        <row r="1683">
          <cell r="B1683">
            <v>0</v>
          </cell>
          <cell r="C1683">
            <v>0</v>
          </cell>
          <cell r="D1683">
            <v>0</v>
          </cell>
          <cell r="E1683">
            <v>0.05</v>
          </cell>
          <cell r="F1683">
            <v>0</v>
          </cell>
          <cell r="G1683">
            <v>35491.800000000003</v>
          </cell>
          <cell r="H1683">
            <v>0</v>
          </cell>
          <cell r="I1683">
            <v>0</v>
          </cell>
        </row>
        <row r="1684">
          <cell r="B1684">
            <v>0</v>
          </cell>
          <cell r="C1684">
            <v>0</v>
          </cell>
          <cell r="D1684">
            <v>0</v>
          </cell>
          <cell r="E1684">
            <v>0.02</v>
          </cell>
          <cell r="F1684">
            <v>0</v>
          </cell>
          <cell r="G1684">
            <v>14196.720000000001</v>
          </cell>
          <cell r="H1684">
            <v>0</v>
          </cell>
          <cell r="I1684">
            <v>0</v>
          </cell>
        </row>
        <row r="1685"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227147.51999999999</v>
          </cell>
        </row>
        <row r="1686"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936983.52</v>
          </cell>
        </row>
        <row r="1687"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 t="str">
            <v>REVISA</v>
          </cell>
          <cell r="G1688">
            <v>0</v>
          </cell>
          <cell r="H1688">
            <v>0</v>
          </cell>
          <cell r="I1688">
            <v>0</v>
          </cell>
        </row>
        <row r="1689"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 t="str">
            <v>FIRMA:</v>
          </cell>
          <cell r="G1689">
            <v>0</v>
          </cell>
          <cell r="H1689">
            <v>0</v>
          </cell>
          <cell r="I1689">
            <v>0</v>
          </cell>
        </row>
        <row r="1690">
          <cell r="B1690" t="str">
            <v>LINA MARCELA</v>
          </cell>
          <cell r="C1690">
            <v>0</v>
          </cell>
          <cell r="F1690" t="str">
            <v>NOMBRE</v>
          </cell>
          <cell r="G1690">
            <v>0</v>
          </cell>
          <cell r="H1690">
            <v>0</v>
          </cell>
          <cell r="I1690">
            <v>0</v>
          </cell>
        </row>
        <row r="1691">
          <cell r="B1691" t="str">
            <v>05202-316814 ANT</v>
          </cell>
          <cell r="C1691">
            <v>0</v>
          </cell>
          <cell r="F1691" t="str">
            <v>MAT:</v>
          </cell>
          <cell r="G1691">
            <v>0</v>
          </cell>
          <cell r="H1691">
            <v>0</v>
          </cell>
          <cell r="I1691">
            <v>0</v>
          </cell>
        </row>
        <row r="1692">
          <cell r="B1692">
            <v>0</v>
          </cell>
          <cell r="C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</row>
        <row r="1694"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</row>
        <row r="1695"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</row>
      </sheetData>
      <sheetData sheetId="15">
        <row r="16">
          <cell r="B16" t="str">
            <v>E001</v>
          </cell>
        </row>
      </sheetData>
      <sheetData sheetId="16">
        <row r="16">
          <cell r="B16" t="str">
            <v>M001</v>
          </cell>
        </row>
      </sheetData>
      <sheetData sheetId="17">
        <row r="16">
          <cell r="B16" t="str">
            <v>M001</v>
          </cell>
        </row>
      </sheetData>
      <sheetData sheetId="18">
        <row r="16">
          <cell r="B16" t="str">
            <v>T001</v>
          </cell>
        </row>
      </sheetData>
      <sheetData sheetId="19">
        <row r="16">
          <cell r="B16" t="str">
            <v>MO001</v>
          </cell>
        </row>
      </sheetData>
      <sheetData sheetId="20"/>
      <sheetData sheetId="21"/>
      <sheetData sheetId="22"/>
      <sheetData sheetId="23">
        <row r="10">
          <cell r="C10" t="str">
            <v>DISTRITO DE TURBO</v>
          </cell>
        </row>
      </sheetData>
      <sheetData sheetId="24"/>
      <sheetData sheetId="25"/>
      <sheetData sheetId="26"/>
      <sheetData sheetId="27"/>
      <sheetData sheetId="28">
        <row r="6">
          <cell r="B6" t="str">
            <v>M_APO</v>
          </cell>
          <cell r="C6" t="str">
            <v>MUNICIPIO DE APARTADO</v>
          </cell>
        </row>
        <row r="7">
          <cell r="C7">
            <v>0</v>
          </cell>
        </row>
        <row r="8">
          <cell r="B8" t="str">
            <v>M_APO_SEC</v>
          </cell>
          <cell r="C8" t="str">
            <v>SECRETARIA DE INFRAESTRCUTURA</v>
          </cell>
        </row>
        <row r="10">
          <cell r="B10" t="str">
            <v>M_TUR</v>
          </cell>
          <cell r="C10" t="str">
            <v>DISTRITO DE TURBO</v>
          </cell>
        </row>
        <row r="11">
          <cell r="B11">
            <v>0</v>
          </cell>
          <cell r="C11">
            <v>0</v>
          </cell>
        </row>
        <row r="12">
          <cell r="B12" t="str">
            <v>M_TUR_SEC</v>
          </cell>
          <cell r="C12" t="str">
            <v>SECRETARIA DISTRITAL DE INFRAESTRUCTURA</v>
          </cell>
        </row>
        <row r="14">
          <cell r="B14" t="str">
            <v>M_CHIG</v>
          </cell>
          <cell r="C14" t="str">
            <v>MUNICIPIO DE CHIGOROO</v>
          </cell>
        </row>
        <row r="15">
          <cell r="B15">
            <v>0</v>
          </cell>
          <cell r="C15">
            <v>0</v>
          </cell>
        </row>
        <row r="16">
          <cell r="B16" t="str">
            <v>M_CHIG_SEC</v>
          </cell>
          <cell r="C16" t="str">
            <v>SECRETARIA DE PLANEACION Y SECRETARIA DE OBRAS PUBLICAS</v>
          </cell>
        </row>
      </sheetData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puesto"/>
      <sheetName val="apu"/>
      <sheetName val="mem"/>
      <sheetName val="aiu obra"/>
      <sheetName val="aiu insumos"/>
      <sheetName val="pgio"/>
      <sheetName val="pmt"/>
      <sheetName val="cronograma"/>
      <sheetName val="pres interventori"/>
      <sheetName val="fmultriplicador"/>
    </sheetNames>
    <sheetDataSet>
      <sheetData sheetId="0"/>
      <sheetData sheetId="1"/>
      <sheetData sheetId="2"/>
      <sheetData sheetId="3"/>
      <sheetData sheetId="4"/>
      <sheetData sheetId="5">
        <row r="85">
          <cell r="J85">
            <v>175325533</v>
          </cell>
        </row>
      </sheetData>
      <sheetData sheetId="6">
        <row r="30">
          <cell r="J30">
            <v>200070176.80000001</v>
          </cell>
        </row>
      </sheetData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A"/>
      <sheetName val="AIU Obra civil "/>
      <sheetName val="aiu insumos"/>
      <sheetName val="MEM"/>
      <sheetName val="PGIO"/>
      <sheetName val="PMT"/>
      <sheetName val="APU1"/>
      <sheetName val="CRONOGRAMA "/>
      <sheetName val="MDEO ADMON"/>
      <sheetName val="prespuesto interventoria"/>
      <sheetName val="FACTOR MULTIPLICADOR"/>
      <sheetName val="PRESUPUESTO"/>
      <sheetName val="APU"/>
      <sheetName val="MAT1"/>
      <sheetName val="EQUI"/>
      <sheetName val="MAT2"/>
      <sheetName val="TRAN"/>
      <sheetName val="MDEO"/>
    </sheetNames>
    <sheetDataSet>
      <sheetData sheetId="0">
        <row r="16">
          <cell r="T16"/>
        </row>
        <row r="19">
          <cell r="T1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FLUJO"/>
      <sheetName val="Hoja4"/>
      <sheetName val="Hoja3"/>
      <sheetName val="DIS APU"/>
      <sheetName val="PRESUPUESTO"/>
      <sheetName val="MEM"/>
      <sheetName val="APU"/>
      <sheetName val="EQUI"/>
      <sheetName val="MDEO"/>
      <sheetName val="TRAN"/>
      <sheetName val="MAT"/>
      <sheetName val="ADMON OBRA"/>
      <sheetName val="CUADRO CANTIDADES"/>
      <sheetName val="ADMON INTERVENT"/>
      <sheetName val="FACTOR MULTIPLICADOR"/>
      <sheetName val="POLIZAS"/>
      <sheetName val="PRESTACION"/>
      <sheetName val="ESPECIFICACION NORMA"/>
      <sheetName val="DOTACION"/>
      <sheetName val="ESQUE"/>
      <sheetName val="LOGOS SUB REGION"/>
      <sheetName val="NORMA INVIAS"/>
      <sheetName val="CRONOGRAMA "/>
    </sheetNames>
    <sheetDataSet>
      <sheetData sheetId="0" refreshError="1">
        <row r="6">
          <cell r="E6"/>
          <cell r="F6"/>
          <cell r="G6"/>
          <cell r="H6"/>
        </row>
        <row r="7">
          <cell r="E7"/>
          <cell r="F7"/>
          <cell r="G7"/>
          <cell r="H7"/>
        </row>
        <row r="8">
          <cell r="E8"/>
          <cell r="F8"/>
          <cell r="G8"/>
          <cell r="H8"/>
        </row>
        <row r="9">
          <cell r="E9"/>
          <cell r="F9"/>
          <cell r="G9"/>
          <cell r="H9"/>
        </row>
        <row r="10">
          <cell r="E10" t="str">
            <v>NOM_MUN</v>
          </cell>
          <cell r="F10" t="str">
            <v>MUNICIPIO DE TURBO</v>
          </cell>
          <cell r="G10"/>
          <cell r="H10"/>
        </row>
        <row r="11">
          <cell r="E11"/>
          <cell r="F11"/>
          <cell r="G11"/>
          <cell r="H11"/>
        </row>
        <row r="12">
          <cell r="E12" t="str">
            <v>LOC_PRO</v>
          </cell>
          <cell r="F12" t="str">
            <v>CARRERA 115 ENTRE CALLE 14 Y CALLE 5A</v>
          </cell>
          <cell r="G12"/>
          <cell r="H12"/>
        </row>
        <row r="13">
          <cell r="E13"/>
          <cell r="F13"/>
          <cell r="G13"/>
          <cell r="H13"/>
        </row>
        <row r="14">
          <cell r="E14" t="str">
            <v>NOM_PRO</v>
          </cell>
          <cell r="F14" t="str">
            <v>CONSTRUCCIÓN DE PASEOS URBANOS EL LOS BARRIOS, ECCEHOMO, BUENOS AIRES Y LA PLAYA DE TURBO ANTIOQUIA</v>
          </cell>
          <cell r="G14"/>
          <cell r="H14"/>
        </row>
        <row r="15">
          <cell r="E15"/>
          <cell r="F15"/>
          <cell r="G15"/>
          <cell r="H15"/>
        </row>
        <row r="16">
          <cell r="E16" t="str">
            <v>NORM</v>
          </cell>
          <cell r="F16" t="str">
            <v>INVIAS, RAS 2000, NORMAS EPM</v>
          </cell>
          <cell r="G16"/>
          <cell r="H16"/>
        </row>
        <row r="17">
          <cell r="E17"/>
          <cell r="F17"/>
          <cell r="G17"/>
          <cell r="H17"/>
        </row>
        <row r="18">
          <cell r="E18" t="str">
            <v>FECHA</v>
          </cell>
          <cell r="F18">
            <v>43112</v>
          </cell>
          <cell r="G18"/>
          <cell r="H18"/>
        </row>
        <row r="19">
          <cell r="E19"/>
          <cell r="F19"/>
          <cell r="G19"/>
          <cell r="H19"/>
        </row>
        <row r="20">
          <cell r="E20" t="str">
            <v>PROF_RESP</v>
          </cell>
          <cell r="F20" t="str">
            <v>LINA MARCELA</v>
          </cell>
          <cell r="G20"/>
          <cell r="H20" t="str">
            <v>05202-316814 ANT</v>
          </cell>
        </row>
        <row r="21">
          <cell r="E21"/>
          <cell r="F21"/>
          <cell r="G21"/>
          <cell r="H21"/>
        </row>
        <row r="22">
          <cell r="E22"/>
          <cell r="F22"/>
          <cell r="G22"/>
          <cell r="H22"/>
        </row>
        <row r="23">
          <cell r="E23"/>
          <cell r="F23"/>
          <cell r="G23"/>
          <cell r="H23"/>
        </row>
        <row r="24">
          <cell r="E24"/>
          <cell r="F24"/>
          <cell r="G24"/>
          <cell r="H24"/>
        </row>
        <row r="25">
          <cell r="E25"/>
          <cell r="F25"/>
          <cell r="G25"/>
          <cell r="H25"/>
        </row>
        <row r="26">
          <cell r="E26"/>
          <cell r="F26"/>
          <cell r="G26"/>
          <cell r="H26"/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A16" t="str">
            <v>ITEM</v>
          </cell>
          <cell r="B16" t="str">
            <v>COD_ NORMA</v>
          </cell>
          <cell r="C16" t="str">
            <v>DESCRIPCION</v>
          </cell>
          <cell r="D16"/>
          <cell r="E16" t="str">
            <v>UNIDAD</v>
          </cell>
          <cell r="F16" t="str">
            <v>CANTIDAD</v>
          </cell>
          <cell r="G16" t="str">
            <v>V.UNITARIO</v>
          </cell>
          <cell r="H16" t="str">
            <v>V.TOTAL</v>
          </cell>
          <cell r="I16" t="str">
            <v>V. CAPITULO</v>
          </cell>
        </row>
        <row r="17">
          <cell r="A17" t="str">
            <v>1. PRELIMINARES</v>
          </cell>
          <cell r="B17"/>
          <cell r="C17"/>
          <cell r="D17"/>
          <cell r="E17"/>
          <cell r="F17"/>
          <cell r="G17"/>
          <cell r="H17">
            <v>38007700</v>
          </cell>
          <cell r="I17"/>
        </row>
        <row r="18">
          <cell r="A18" t="str">
            <v>1.1</v>
          </cell>
          <cell r="B18" t="str">
            <v>PAR_01</v>
          </cell>
          <cell r="C18" t="str">
            <v>LOCALIZACIÓN Y REPLANTEO</v>
          </cell>
          <cell r="D18"/>
          <cell r="E18" t="str">
            <v>M2</v>
          </cell>
          <cell r="F18">
            <v>8300</v>
          </cell>
          <cell r="G18">
            <v>1529</v>
          </cell>
          <cell r="H18">
            <v>12690700</v>
          </cell>
          <cell r="I18"/>
        </row>
        <row r="19">
          <cell r="A19" t="str">
            <v>1.2</v>
          </cell>
          <cell r="B19" t="str">
            <v>201.3-13</v>
          </cell>
          <cell r="C19" t="str">
            <v>DEMOLICIÓN DE PAVIMENTOS FLEXIBLE, RÍGIDOS, PISOS, ANDENES Y BORDILLOS DE CONCRETO</v>
          </cell>
          <cell r="D19"/>
          <cell r="E19" t="str">
            <v>M2</v>
          </cell>
          <cell r="F19">
            <v>900</v>
          </cell>
          <cell r="G19">
            <v>28130</v>
          </cell>
          <cell r="H19">
            <v>25317000</v>
          </cell>
          <cell r="I19"/>
        </row>
        <row r="20">
          <cell r="A20" t="str">
            <v>2. OBRAS COMPLEMENTARIAS Y RED PLUVIAL</v>
          </cell>
          <cell r="B20"/>
          <cell r="C20"/>
          <cell r="D20"/>
          <cell r="E20"/>
          <cell r="F20"/>
          <cell r="G20"/>
          <cell r="H20">
            <v>283083051</v>
          </cell>
          <cell r="I20"/>
        </row>
        <row r="21">
          <cell r="A21" t="str">
            <v>2.1</v>
          </cell>
          <cell r="B21" t="str">
            <v>600.2.3-13</v>
          </cell>
          <cell r="C21" t="str">
            <v>EXCAVACIONES VARIAS EN MATERIAL COMUN BAJO AGUA</v>
          </cell>
          <cell r="D21"/>
          <cell r="E21" t="str">
            <v>M3</v>
          </cell>
          <cell r="F21">
            <v>426</v>
          </cell>
          <cell r="G21">
            <v>27857</v>
          </cell>
          <cell r="H21">
            <v>11867082</v>
          </cell>
          <cell r="I21"/>
        </row>
        <row r="22">
          <cell r="A22" t="str">
            <v>2.2</v>
          </cell>
          <cell r="B22" t="str">
            <v>900.2-13</v>
          </cell>
          <cell r="C22" t="str">
            <v>TRANSPORTE DE MATERIAL PROVENIENTE DE EXCAVACION HASTA 10 KM</v>
          </cell>
          <cell r="D22"/>
          <cell r="E22" t="str">
            <v>m3</v>
          </cell>
          <cell r="F22">
            <v>1497</v>
          </cell>
          <cell r="G22">
            <v>7387</v>
          </cell>
          <cell r="H22">
            <v>11058339</v>
          </cell>
          <cell r="I22"/>
        </row>
        <row r="23">
          <cell r="A23" t="str">
            <v>2.3</v>
          </cell>
          <cell r="B23" t="str">
            <v>PAR_03</v>
          </cell>
          <cell r="C23" t="str">
            <v>REALCE DE VALVULA DE ACUEDUCTO</v>
          </cell>
          <cell r="D23"/>
          <cell r="E23" t="str">
            <v>UNIDAD</v>
          </cell>
          <cell r="F23">
            <v>4</v>
          </cell>
          <cell r="G23">
            <v>127899</v>
          </cell>
          <cell r="H23">
            <v>511596</v>
          </cell>
          <cell r="I23"/>
        </row>
        <row r="24">
          <cell r="A24" t="str">
            <v>2.4</v>
          </cell>
          <cell r="B24" t="str">
            <v>PAR_04</v>
          </cell>
          <cell r="C24" t="str">
            <v>REALCE DE CAJA INSPECCION CIRCULAR</v>
          </cell>
          <cell r="D24"/>
          <cell r="E24" t="str">
            <v>UNIDAD</v>
          </cell>
          <cell r="F24">
            <v>9</v>
          </cell>
          <cell r="G24">
            <v>270725</v>
          </cell>
          <cell r="H24">
            <v>2436525</v>
          </cell>
          <cell r="I24"/>
        </row>
        <row r="25">
          <cell r="A25" t="str">
            <v>2.5</v>
          </cell>
          <cell r="B25" t="str">
            <v>PAR_05</v>
          </cell>
          <cell r="C25" t="str">
            <v>REALCE DE CAJAS DOMICILIARIAS</v>
          </cell>
          <cell r="D25"/>
          <cell r="E25" t="str">
            <v>UNIDAD</v>
          </cell>
          <cell r="F25">
            <v>128</v>
          </cell>
          <cell r="G25">
            <v>261085</v>
          </cell>
          <cell r="H25">
            <v>33418880</v>
          </cell>
          <cell r="I25"/>
        </row>
        <row r="26">
          <cell r="A26" t="str">
            <v>2.6</v>
          </cell>
          <cell r="B26" t="str">
            <v>812-EPM</v>
          </cell>
          <cell r="C26" t="str">
            <v>REALCE DE CAJAS DOMICILIARIAS MEDIDOR</v>
          </cell>
          <cell r="D26"/>
          <cell r="E26" t="str">
            <v>UNIDAD</v>
          </cell>
          <cell r="F26">
            <v>128</v>
          </cell>
          <cell r="G26">
            <v>96085</v>
          </cell>
          <cell r="H26">
            <v>12298880</v>
          </cell>
          <cell r="I26"/>
        </row>
        <row r="27">
          <cell r="A27" t="str">
            <v>2.7</v>
          </cell>
          <cell r="B27" t="str">
            <v>803A-EPM</v>
          </cell>
          <cell r="C27" t="str">
            <v>TUBERIA NOVAFORT 300MM  PARA SUMIDEROS</v>
          </cell>
          <cell r="D27"/>
          <cell r="E27" t="str">
            <v>ML</v>
          </cell>
          <cell r="F27">
            <v>144</v>
          </cell>
          <cell r="G27">
            <v>135869</v>
          </cell>
          <cell r="H27">
            <v>19565136</v>
          </cell>
          <cell r="I27"/>
        </row>
        <row r="28">
          <cell r="A28" t="str">
            <v>2.8</v>
          </cell>
          <cell r="B28" t="str">
            <v>803B-EPM</v>
          </cell>
          <cell r="C28" t="str">
            <v>TUBERIA NOVAFORT 400MM  PARA RED AGUAS LLUVIAS</v>
          </cell>
          <cell r="D28"/>
          <cell r="E28" t="str">
            <v>ML</v>
          </cell>
          <cell r="F28">
            <v>600</v>
          </cell>
          <cell r="G28">
            <v>210046</v>
          </cell>
          <cell r="H28">
            <v>126027600</v>
          </cell>
          <cell r="I28"/>
        </row>
        <row r="29">
          <cell r="A29" t="str">
            <v>2.9</v>
          </cell>
          <cell r="B29" t="str">
            <v>PAR-19</v>
          </cell>
          <cell r="C29" t="str">
            <v>CAJA DE INSPECCION RECTANGULAR 1*1 H=1.2M</v>
          </cell>
          <cell r="D29"/>
          <cell r="E29" t="str">
            <v>UNIDAD</v>
          </cell>
          <cell r="F29">
            <v>9</v>
          </cell>
          <cell r="G29">
            <v>854469</v>
          </cell>
          <cell r="H29">
            <v>7690221</v>
          </cell>
          <cell r="I29"/>
        </row>
        <row r="30">
          <cell r="A30" t="str">
            <v>2.10</v>
          </cell>
          <cell r="B30" t="str">
            <v>803C-EPM</v>
          </cell>
          <cell r="C30" t="str">
            <v>LLENO DE MATERIAL GRANULAR RIO PARA CIMIENTO DE LA TUBERIA</v>
          </cell>
          <cell r="D30"/>
          <cell r="E30" t="str">
            <v>M3</v>
          </cell>
          <cell r="F30">
            <v>130</v>
          </cell>
          <cell r="G30">
            <v>75718</v>
          </cell>
          <cell r="H30">
            <v>9843340</v>
          </cell>
          <cell r="I30"/>
        </row>
        <row r="31">
          <cell r="A31" t="str">
            <v>2.11</v>
          </cell>
          <cell r="B31" t="str">
            <v>PAR-20</v>
          </cell>
          <cell r="C31" t="str">
            <v xml:space="preserve">LLENO CON MATERIAL DE PRESTAMO LIMO </v>
          </cell>
          <cell r="D31"/>
          <cell r="E31" t="str">
            <v>M3</v>
          </cell>
          <cell r="F31">
            <v>622</v>
          </cell>
          <cell r="G31">
            <v>39562</v>
          </cell>
          <cell r="H31">
            <v>24607564</v>
          </cell>
          <cell r="I31"/>
        </row>
        <row r="32">
          <cell r="A32" t="str">
            <v>2.12</v>
          </cell>
          <cell r="B32" t="str">
            <v>PAR-17</v>
          </cell>
          <cell r="C32" t="str">
            <v xml:space="preserve">CAJA TIPO SUMIDERO </v>
          </cell>
          <cell r="D32"/>
          <cell r="E32" t="str">
            <v>UNIDAD</v>
          </cell>
          <cell r="F32">
            <v>36</v>
          </cell>
          <cell r="G32">
            <v>565664</v>
          </cell>
          <cell r="H32">
            <v>20363904</v>
          </cell>
          <cell r="I32"/>
        </row>
        <row r="33">
          <cell r="A33" t="str">
            <v>2.13</v>
          </cell>
          <cell r="B33" t="str">
            <v>PAR-17</v>
          </cell>
          <cell r="C33" t="str">
            <v>CONCRETO OBRA ENTREGA</v>
          </cell>
          <cell r="D33"/>
          <cell r="E33" t="str">
            <v>M3</v>
          </cell>
          <cell r="F33">
            <v>6</v>
          </cell>
          <cell r="G33">
            <v>565664</v>
          </cell>
          <cell r="H33">
            <v>3393984</v>
          </cell>
          <cell r="I33"/>
        </row>
        <row r="34">
          <cell r="A34" t="str">
            <v xml:space="preserve">3. PAVIMENTO </v>
          </cell>
          <cell r="B34"/>
          <cell r="C34"/>
          <cell r="D34"/>
          <cell r="E34"/>
          <cell r="F34"/>
          <cell r="G34"/>
          <cell r="H34">
            <v>1070345565</v>
          </cell>
          <cell r="I34"/>
        </row>
        <row r="35">
          <cell r="A35" t="str">
            <v>3.1</v>
          </cell>
          <cell r="B35" t="str">
            <v>210-13</v>
          </cell>
          <cell r="C35" t="str">
            <v>EXCAVACION  CAJEOS, PERFILACION Y NIVELACION</v>
          </cell>
          <cell r="D35"/>
          <cell r="E35" t="str">
            <v>M3</v>
          </cell>
          <cell r="F35">
            <v>1071</v>
          </cell>
          <cell r="G35">
            <v>28831</v>
          </cell>
          <cell r="H35">
            <v>30878001</v>
          </cell>
          <cell r="I35"/>
        </row>
        <row r="36">
          <cell r="A36" t="str">
            <v>3.2</v>
          </cell>
          <cell r="B36" t="str">
            <v>232-13</v>
          </cell>
          <cell r="C36" t="str">
            <v>ESTABILIZACION DE LOS SUELOS DE SUBRASANTE  CON GEOTEXTIL TEJIDO 2400</v>
          </cell>
          <cell r="D36"/>
          <cell r="E36" t="str">
            <v>M2</v>
          </cell>
          <cell r="F36">
            <v>0</v>
          </cell>
          <cell r="G36">
            <v>9649</v>
          </cell>
          <cell r="H36">
            <v>0</v>
          </cell>
          <cell r="I36"/>
        </row>
        <row r="37">
          <cell r="A37" t="str">
            <v>3.3</v>
          </cell>
          <cell r="B37" t="str">
            <v>230-13</v>
          </cell>
          <cell r="C37" t="str">
            <v xml:space="preserve">MEJORAMIENTO DE LA SUBRASANTE CON ADICION DE MATEIRALES GRANULAR DE PRESTAMO PARA REMPLAZO </v>
          </cell>
          <cell r="D37"/>
          <cell r="E37" t="str">
            <v>M3</v>
          </cell>
          <cell r="F37">
            <v>144</v>
          </cell>
          <cell r="G37">
            <v>125761</v>
          </cell>
          <cell r="H37">
            <v>18109584</v>
          </cell>
          <cell r="I37"/>
        </row>
        <row r="38">
          <cell r="A38" t="str">
            <v>3.4</v>
          </cell>
          <cell r="B38" t="str">
            <v>330-1</v>
          </cell>
          <cell r="C38" t="str">
            <v>SUB RASANTE ESTABILIZADA CON CEMENTO Y SUBBASE GRANULAR</v>
          </cell>
          <cell r="D38"/>
          <cell r="E38" t="str">
            <v>M3</v>
          </cell>
          <cell r="F38">
            <v>900</v>
          </cell>
          <cell r="G38">
            <v>106987</v>
          </cell>
          <cell r="H38">
            <v>96288300</v>
          </cell>
          <cell r="I38"/>
        </row>
        <row r="39">
          <cell r="A39" t="str">
            <v>3.5</v>
          </cell>
          <cell r="B39" t="str">
            <v>500-13</v>
          </cell>
          <cell r="C39" t="str">
            <v>PAVIMENTO EN CONCRETO HIDRAULICO MR 4 Mpa</v>
          </cell>
          <cell r="D39"/>
          <cell r="E39" t="str">
            <v>M3</v>
          </cell>
          <cell r="F39">
            <v>1080</v>
          </cell>
          <cell r="G39">
            <v>840822</v>
          </cell>
          <cell r="H39">
            <v>908087760</v>
          </cell>
          <cell r="I39"/>
        </row>
        <row r="40">
          <cell r="A40" t="str">
            <v>3.6</v>
          </cell>
          <cell r="B40" t="str">
            <v>641.1-13</v>
          </cell>
          <cell r="C40" t="str">
            <v>SUMINISTRO CORTE, FIGURACIÓN Y COLOCACIÓN DE ACERO 60000 PSI</v>
          </cell>
          <cell r="D40"/>
          <cell r="E40" t="str">
            <v>KG</v>
          </cell>
          <cell r="F40">
            <v>2160</v>
          </cell>
          <cell r="G40">
            <v>7862</v>
          </cell>
          <cell r="H40">
            <v>16981920</v>
          </cell>
          <cell r="I40"/>
        </row>
        <row r="41">
          <cell r="A41" t="str">
            <v>4. ANDENES Y URBANISMO</v>
          </cell>
          <cell r="B41"/>
          <cell r="C41"/>
          <cell r="D41"/>
          <cell r="E41"/>
          <cell r="F41"/>
          <cell r="G41"/>
          <cell r="H41">
            <v>486405822</v>
          </cell>
          <cell r="I41"/>
        </row>
        <row r="42">
          <cell r="A42" t="str">
            <v>4.1</v>
          </cell>
          <cell r="B42" t="str">
            <v>672-13</v>
          </cell>
          <cell r="C42" t="str">
            <v>BORDILLOS EN CONCRETO</v>
          </cell>
          <cell r="D42"/>
          <cell r="E42" t="str">
            <v>ML</v>
          </cell>
          <cell r="F42">
            <v>2112</v>
          </cell>
          <cell r="G42">
            <v>57082</v>
          </cell>
          <cell r="H42">
            <v>120557184</v>
          </cell>
          <cell r="I42"/>
        </row>
        <row r="43">
          <cell r="A43" t="str">
            <v>4.2</v>
          </cell>
          <cell r="B43" t="str">
            <v>710-13</v>
          </cell>
          <cell r="C43" t="str">
            <v>CUNETA EN CONCRETO DE 3000PSI</v>
          </cell>
          <cell r="D43"/>
          <cell r="E43" t="str">
            <v>M3</v>
          </cell>
          <cell r="F43">
            <v>0</v>
          </cell>
          <cell r="G43">
            <v>524205</v>
          </cell>
          <cell r="H43">
            <v>0</v>
          </cell>
          <cell r="I43"/>
        </row>
        <row r="44">
          <cell r="A44" t="str">
            <v>4.3</v>
          </cell>
          <cell r="B44" t="str">
            <v>230.1-13</v>
          </cell>
          <cell r="C44" t="str">
            <v>LLENO DE CONFINAMIENTO PARA BORDILLO CON MATERIAL GRANULAR DE EXCAVACIÓN NO CONTAMINADO AL 60% Y 40% SUBBASE GRANULAR</v>
          </cell>
          <cell r="D44"/>
          <cell r="E44" t="str">
            <v>M3</v>
          </cell>
          <cell r="F44">
            <v>633</v>
          </cell>
          <cell r="G44">
            <v>63946</v>
          </cell>
          <cell r="H44">
            <v>40477818</v>
          </cell>
          <cell r="I44"/>
        </row>
        <row r="45">
          <cell r="A45" t="str">
            <v>4.4</v>
          </cell>
          <cell r="B45" t="str">
            <v>PAR-07</v>
          </cell>
          <cell r="C45" t="str">
            <v xml:space="preserve">ANDEN EN TABLETA 20*20 TACTIL Y SEÑALIZADO SOBRE MORTERO DE 4CM </v>
          </cell>
          <cell r="D45"/>
          <cell r="E45" t="str">
            <v>M2</v>
          </cell>
          <cell r="F45">
            <v>2112</v>
          </cell>
          <cell r="G45">
            <v>100438</v>
          </cell>
          <cell r="H45">
            <v>212125056</v>
          </cell>
          <cell r="I45"/>
        </row>
        <row r="46">
          <cell r="A46" t="str">
            <v>4.5</v>
          </cell>
          <cell r="B46" t="str">
            <v>700,1-13</v>
          </cell>
          <cell r="C46" t="str">
            <v>SEÑALIZACION HORTIZONTAL (LINEAS DE DEMARCACION Y MARCAS VIALES)</v>
          </cell>
          <cell r="D46"/>
          <cell r="E46" t="str">
            <v>ML</v>
          </cell>
          <cell r="F46">
            <v>867</v>
          </cell>
          <cell r="G46">
            <v>38637</v>
          </cell>
          <cell r="H46">
            <v>33498279</v>
          </cell>
          <cell r="I46"/>
        </row>
        <row r="47">
          <cell r="A47" t="str">
            <v>4.6</v>
          </cell>
          <cell r="B47" t="str">
            <v>710-13</v>
          </cell>
          <cell r="C47" t="str">
            <v>PINTURA TIPO TRAFICO, RESALTOS Y CRUCES CICLORUTA</v>
          </cell>
          <cell r="D47"/>
          <cell r="E47" t="str">
            <v>M2</v>
          </cell>
          <cell r="F47">
            <v>108</v>
          </cell>
          <cell r="G47">
            <v>16000</v>
          </cell>
          <cell r="H47">
            <v>1728000</v>
          </cell>
          <cell r="I47"/>
        </row>
        <row r="48">
          <cell r="A48" t="str">
            <v>4.7</v>
          </cell>
          <cell r="B48" t="str">
            <v>PAR-10</v>
          </cell>
          <cell r="C48" t="str">
            <v>PISO EN LOSETA CUADRATICA PREFABRICADA TACTIL ALERTA, 20*20 E=60 MM-SE INSTALARÁ SOBRE UNA CAPA DE MORTERO 1:4 DE 4CM.</v>
          </cell>
          <cell r="D48"/>
          <cell r="E48" t="str">
            <v>M2</v>
          </cell>
          <cell r="F48">
            <v>77</v>
          </cell>
          <cell r="G48">
            <v>132330</v>
          </cell>
          <cell r="H48">
            <v>10189410</v>
          </cell>
          <cell r="I48"/>
        </row>
        <row r="49">
          <cell r="A49" t="str">
            <v>4.8</v>
          </cell>
          <cell r="B49" t="str">
            <v>630-13A</v>
          </cell>
          <cell r="C49" t="str">
            <v>CONCRETO REFORZADO 21MPA PARA VIGA DE CIERRE ANDENES, ZONAS VERDES</v>
          </cell>
          <cell r="D49"/>
          <cell r="E49" t="str">
            <v>M3</v>
          </cell>
          <cell r="F49">
            <v>63</v>
          </cell>
          <cell r="G49">
            <v>829680</v>
          </cell>
          <cell r="H49">
            <v>52269840</v>
          </cell>
          <cell r="I49"/>
        </row>
        <row r="50">
          <cell r="A50" t="str">
            <v>4.9</v>
          </cell>
          <cell r="B50" t="str">
            <v>630-13B</v>
          </cell>
          <cell r="C50" t="str">
            <v xml:space="preserve">CONCRETO COLOR PARA CICLORUTA </v>
          </cell>
          <cell r="D50"/>
          <cell r="E50" t="str">
            <v>M3</v>
          </cell>
          <cell r="F50">
            <v>0</v>
          </cell>
          <cell r="G50">
            <v>829823</v>
          </cell>
          <cell r="H50">
            <v>0</v>
          </cell>
          <cell r="I50"/>
        </row>
        <row r="51">
          <cell r="A51" t="str">
            <v>4.10</v>
          </cell>
          <cell r="B51" t="str">
            <v>630-13c</v>
          </cell>
          <cell r="C51" t="str">
            <v>BANCA EN CONCRETO</v>
          </cell>
          <cell r="D51"/>
          <cell r="E51" t="str">
            <v>UNIDAD</v>
          </cell>
          <cell r="F51">
            <v>0</v>
          </cell>
          <cell r="G51">
            <v>506207</v>
          </cell>
          <cell r="H51">
            <v>0</v>
          </cell>
          <cell r="I51"/>
        </row>
        <row r="52">
          <cell r="A52" t="str">
            <v>4.11</v>
          </cell>
          <cell r="B52" t="str">
            <v>630-13D</v>
          </cell>
          <cell r="C52" t="str">
            <v>BASE PARA BANCA EN CONCRETO</v>
          </cell>
          <cell r="D52"/>
          <cell r="E52" t="str">
            <v>UNIDAD</v>
          </cell>
          <cell r="F52">
            <v>0</v>
          </cell>
          <cell r="G52">
            <v>5853160</v>
          </cell>
          <cell r="H52">
            <v>0</v>
          </cell>
          <cell r="I52"/>
        </row>
        <row r="53">
          <cell r="A53" t="str">
            <v>4.12</v>
          </cell>
          <cell r="B53" t="str">
            <v>630-13E</v>
          </cell>
          <cell r="C53" t="str">
            <v>BASURERO URBANO EN ACERO INOXIDABLE</v>
          </cell>
          <cell r="D53"/>
          <cell r="E53" t="str">
            <v>UNIDAD</v>
          </cell>
          <cell r="F53">
            <v>0</v>
          </cell>
          <cell r="G53">
            <v>846848</v>
          </cell>
          <cell r="H53">
            <v>0</v>
          </cell>
          <cell r="I53"/>
        </row>
        <row r="54">
          <cell r="A54" t="str">
            <v>4.13</v>
          </cell>
          <cell r="B54" t="str">
            <v>630-13F</v>
          </cell>
          <cell r="C54" t="str">
            <v>BICICLETERO URBANO EN ACERO INOXIDABLE</v>
          </cell>
          <cell r="D54"/>
          <cell r="E54" t="str">
            <v>UNIDAD</v>
          </cell>
          <cell r="F54">
            <v>0</v>
          </cell>
          <cell r="G54">
            <v>946848</v>
          </cell>
          <cell r="H54">
            <v>0</v>
          </cell>
          <cell r="I54"/>
        </row>
        <row r="55">
          <cell r="A55" t="str">
            <v>4.14</v>
          </cell>
          <cell r="B55" t="str">
            <v>PAR-21</v>
          </cell>
          <cell r="C55" t="str">
            <v>SEÑAL VERTICAL DE INFORMACIO GEOGRAFICA, TURISTICA Y PUBLICITARIA</v>
          </cell>
          <cell r="D55"/>
          <cell r="E55" t="str">
            <v>UNIDAD</v>
          </cell>
          <cell r="F55">
            <v>0</v>
          </cell>
          <cell r="G55">
            <v>466358</v>
          </cell>
          <cell r="H55">
            <v>0</v>
          </cell>
          <cell r="I55"/>
        </row>
        <row r="56">
          <cell r="A56" t="str">
            <v>4.15</v>
          </cell>
          <cell r="B56" t="str">
            <v>PAR-22</v>
          </cell>
          <cell r="C56" t="str">
            <v xml:space="preserve">SEÑAL VERTICAL </v>
          </cell>
          <cell r="D56"/>
          <cell r="E56" t="str">
            <v>UNIDAD</v>
          </cell>
          <cell r="F56">
            <v>45</v>
          </cell>
          <cell r="G56">
            <v>345783</v>
          </cell>
          <cell r="H56">
            <v>15560235</v>
          </cell>
          <cell r="I56"/>
        </row>
        <row r="57">
          <cell r="A57" t="str">
            <v>5. SILVICULTURA URBANA</v>
          </cell>
          <cell r="B57"/>
          <cell r="C57"/>
          <cell r="D57"/>
          <cell r="E57"/>
          <cell r="F57"/>
          <cell r="G57"/>
          <cell r="H57">
            <v>0</v>
          </cell>
          <cell r="I57"/>
        </row>
        <row r="58">
          <cell r="A58" t="str">
            <v>5.1</v>
          </cell>
          <cell r="B58" t="str">
            <v>820-13a</v>
          </cell>
          <cell r="C58" t="str">
            <v>ESPECIES VEGETELES</v>
          </cell>
          <cell r="D58"/>
          <cell r="E58" t="str">
            <v>UNIDAD</v>
          </cell>
          <cell r="F58">
            <v>0</v>
          </cell>
          <cell r="G58">
            <v>73748</v>
          </cell>
          <cell r="H58">
            <v>0</v>
          </cell>
          <cell r="I58"/>
        </row>
        <row r="59">
          <cell r="A59" t="str">
            <v>5.2</v>
          </cell>
          <cell r="B59" t="str">
            <v>PAR-12</v>
          </cell>
          <cell r="C59" t="str">
            <v>CONTENEDOR DE RAÍZ EN CONCRETO DE 2,500PSI PARA MURO Y VIGA, INCLUYE REFUERZO Y PERFORACIONES SEGÚN DISEÑO IDU TIPO C, B-20</v>
          </cell>
          <cell r="D59"/>
          <cell r="E59" t="str">
            <v>ML</v>
          </cell>
          <cell r="F59">
            <v>0</v>
          </cell>
          <cell r="G59">
            <v>93662</v>
          </cell>
          <cell r="H59">
            <v>0</v>
          </cell>
          <cell r="I59"/>
        </row>
        <row r="60">
          <cell r="A60" t="str">
            <v>5.3</v>
          </cell>
          <cell r="B60" t="str">
            <v>PAR-13</v>
          </cell>
          <cell r="C60" t="str">
            <v>BORDE COMPLEMENTO CONTENEDOR DE RAÍCES  (14*14)</v>
          </cell>
          <cell r="D60"/>
          <cell r="E60" t="str">
            <v>ML</v>
          </cell>
          <cell r="F60">
            <v>0</v>
          </cell>
          <cell r="G60">
            <v>112078</v>
          </cell>
          <cell r="H60">
            <v>0</v>
          </cell>
          <cell r="I60"/>
        </row>
        <row r="61">
          <cell r="A61" t="str">
            <v>5.4</v>
          </cell>
          <cell r="B61" t="str">
            <v>820-13B</v>
          </cell>
          <cell r="C61" t="str">
            <v>ESPECIES Y JARDINERIA TIPO I</v>
          </cell>
          <cell r="D61"/>
          <cell r="E61" t="str">
            <v>UNIDAD</v>
          </cell>
          <cell r="F61" t="e">
            <v>#N/A</v>
          </cell>
          <cell r="G61">
            <v>138107</v>
          </cell>
          <cell r="H61" t="e">
            <v>#N/A</v>
          </cell>
          <cell r="I61"/>
        </row>
        <row r="62">
          <cell r="A62" t="str">
            <v>5.5</v>
          </cell>
          <cell r="B62" t="str">
            <v>820-13C</v>
          </cell>
          <cell r="C62" t="str">
            <v>ESPECIES Y JARDINERIA TIPO II</v>
          </cell>
          <cell r="D62"/>
          <cell r="E62" t="str">
            <v>UNIDAD</v>
          </cell>
          <cell r="F62" t="e">
            <v>#N/A</v>
          </cell>
          <cell r="G62">
            <v>196248</v>
          </cell>
          <cell r="H62" t="e">
            <v>#N/A</v>
          </cell>
          <cell r="I62"/>
        </row>
        <row r="63">
          <cell r="A63" t="str">
            <v>5.6</v>
          </cell>
          <cell r="B63" t="str">
            <v>820-13C</v>
          </cell>
          <cell r="C63" t="str">
            <v>ESPECIES Y JARDINERIA TIPO III</v>
          </cell>
          <cell r="D63"/>
          <cell r="E63" t="str">
            <v>UNIDAD</v>
          </cell>
          <cell r="F63" t="e">
            <v>#N/A</v>
          </cell>
          <cell r="G63">
            <v>196248</v>
          </cell>
          <cell r="H63" t="e">
            <v>#N/A</v>
          </cell>
          <cell r="I63"/>
        </row>
        <row r="64">
          <cell r="A64" t="str">
            <v>5.7</v>
          </cell>
          <cell r="B64" t="str">
            <v>820-13D</v>
          </cell>
          <cell r="C64" t="str">
            <v>ESPECIES Y JARDINERIA ZONA VERDE TIPO I</v>
          </cell>
          <cell r="D64"/>
          <cell r="E64" t="str">
            <v>UNIDAD</v>
          </cell>
          <cell r="F64" t="e">
            <v>#N/A</v>
          </cell>
          <cell r="G64">
            <v>641636</v>
          </cell>
          <cell r="H64" t="e">
            <v>#N/A</v>
          </cell>
          <cell r="I64"/>
        </row>
        <row r="65">
          <cell r="A65" t="str">
            <v>5.8</v>
          </cell>
          <cell r="B65" t="str">
            <v>820-13E</v>
          </cell>
          <cell r="C65" t="str">
            <v>ESPECIES Y JARDINERIA ZONA VERDE TIPO II</v>
          </cell>
          <cell r="D65"/>
          <cell r="E65" t="str">
            <v>UNIDAD</v>
          </cell>
          <cell r="F65" t="e">
            <v>#N/A</v>
          </cell>
          <cell r="G65">
            <v>743436</v>
          </cell>
          <cell r="H65" t="e">
            <v>#N/A</v>
          </cell>
          <cell r="I65"/>
        </row>
        <row r="66">
          <cell r="A66" t="str">
            <v>5.9</v>
          </cell>
          <cell r="B66" t="str">
            <v>820-13F</v>
          </cell>
          <cell r="C66" t="str">
            <v>ESPECIES Y JARDINERIA ZONA VERDE TIPO IIA</v>
          </cell>
          <cell r="D66"/>
          <cell r="E66" t="str">
            <v>UNIDAD</v>
          </cell>
          <cell r="F66" t="e">
            <v>#N/A</v>
          </cell>
          <cell r="G66">
            <v>328636</v>
          </cell>
          <cell r="H66" t="e">
            <v>#N/A</v>
          </cell>
          <cell r="I66"/>
        </row>
        <row r="67">
          <cell r="A67" t="str">
            <v>5.10</v>
          </cell>
          <cell r="B67" t="str">
            <v>820-13G</v>
          </cell>
          <cell r="C67" t="str">
            <v>ESPECIES Y JARDINERIA ZONA VERDE TIPO IIB</v>
          </cell>
          <cell r="D67"/>
          <cell r="E67" t="str">
            <v>UNIDAD</v>
          </cell>
          <cell r="F67" t="e">
            <v>#N/A</v>
          </cell>
          <cell r="G67">
            <v>328636</v>
          </cell>
          <cell r="H67" t="e">
            <v>#N/A</v>
          </cell>
          <cell r="I67"/>
        </row>
        <row r="68">
          <cell r="A68" t="str">
            <v>5.11</v>
          </cell>
          <cell r="B68" t="str">
            <v>820-13G</v>
          </cell>
          <cell r="C68" t="str">
            <v>ESPECIES Y JARDINERIA ZONA VERDE TIPO III</v>
          </cell>
          <cell r="D68"/>
          <cell r="E68" t="str">
            <v>UNIDAD</v>
          </cell>
          <cell r="F68" t="e">
            <v>#N/A</v>
          </cell>
          <cell r="G68">
            <v>328636</v>
          </cell>
          <cell r="H68" t="e">
            <v>#N/A</v>
          </cell>
          <cell r="I68"/>
        </row>
        <row r="69">
          <cell r="A69" t="str">
            <v>6. ALUMBRADO PUBLICO</v>
          </cell>
          <cell r="B69"/>
          <cell r="C69"/>
          <cell r="D69"/>
          <cell r="E69"/>
          <cell r="F69"/>
          <cell r="G69"/>
          <cell r="H69"/>
          <cell r="I69"/>
        </row>
        <row r="70">
          <cell r="A70" t="str">
            <v>6.1</v>
          </cell>
          <cell r="B70" t="str">
            <v>RET-01</v>
          </cell>
          <cell r="C70" t="str">
            <v>SUMINISTRO E INSTALACIÓN DE DUCTERIA EN TUBO PVC TIPO CONDUIT DE 1" INCLUYE; EXCAVACION, INSTALACION Y LLENO</v>
          </cell>
          <cell r="D70"/>
          <cell r="E70" t="e">
            <v>#N/A</v>
          </cell>
          <cell r="F70" t="e">
            <v>#N/A</v>
          </cell>
          <cell r="G70" t="e">
            <v>#N/A</v>
          </cell>
          <cell r="H70" t="e">
            <v>#N/A</v>
          </cell>
          <cell r="I70"/>
        </row>
        <row r="71">
          <cell r="A71" t="str">
            <v>6.2</v>
          </cell>
          <cell r="B71" t="str">
            <v>RET-02</v>
          </cell>
          <cell r="C71" t="str">
            <v>SUMISTRO E INSTALACIÓN DE CABLEADO EN 3#8 AWG DOS LINEAS Y UNA TIERRA INCLUYE, UNIONES, EMPALMES Y TERMINALES</v>
          </cell>
          <cell r="D71"/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I71"/>
        </row>
        <row r="72">
          <cell r="A72" t="str">
            <v>6.3</v>
          </cell>
          <cell r="B72" t="str">
            <v>RET-03</v>
          </cell>
          <cell r="C72" t="str">
            <v>SUMINISTRO E INSTALACIÓN DE CABLE ENCAUCHETADO 3X14 AWG INCLUYE CONECTORES, TERMINALES Y PRENSAESTOPA</v>
          </cell>
          <cell r="D72"/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I72"/>
        </row>
        <row r="73">
          <cell r="A73" t="str">
            <v>6.4</v>
          </cell>
          <cell r="B73" t="str">
            <v>RET-04</v>
          </cell>
          <cell r="C73" t="str">
            <v>SUMINISTRO E INSTALACION DE BAJANTE EN TUBERIA IMC DE 1" INCLUYE; CINTA VANDI, UNIONES, CAPACETE, CURVAS Y DEMAS ELEMENTOS PARA INSTALACION Y CORRECTO FUNCIONAMIENTO</v>
          </cell>
          <cell r="D73"/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I73"/>
        </row>
        <row r="74">
          <cell r="A74" t="str">
            <v>6.5</v>
          </cell>
          <cell r="B74" t="str">
            <v>RET-05</v>
          </cell>
          <cell r="C74" t="str">
            <v>PUNTOS DE CONEXIÓN ELÉCTRICO</v>
          </cell>
          <cell r="D74"/>
          <cell r="E74" t="e">
            <v>#N/A</v>
          </cell>
          <cell r="F74" t="e">
            <v>#N/A</v>
          </cell>
          <cell r="G74" t="e">
            <v>#N/A</v>
          </cell>
          <cell r="H74" t="e">
            <v>#N/A</v>
          </cell>
          <cell r="I74"/>
        </row>
        <row r="75">
          <cell r="A75" t="str">
            <v>6.6</v>
          </cell>
          <cell r="B75" t="str">
            <v>RET-06</v>
          </cell>
          <cell r="C75" t="str">
            <v>SUMINISTRO E INSTALACIÓN DE POSTE METÁLICO REDONDO DE 5 M EN 3" CON BASE INFERIOR Y PIEAMIGOS PARA ANCLAR A PEDESTAL Y BASE SUPERIOR PARA ANCLAR BASE DE BRAZOS GALVANIZADO CON PINTURA ELECTROSTÁTICA</v>
          </cell>
          <cell r="D75"/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/>
        </row>
        <row r="76">
          <cell r="A76" t="str">
            <v>6.7</v>
          </cell>
          <cell r="B76" t="str">
            <v>RET-07</v>
          </cell>
          <cell r="C76" t="str">
            <v>SUMINISTRO E INSTALACIÓN DE BRAZO TIPO REDONDO O LUNA BRAZO DOBLE PROPÓSITO DE 1" 1/2 GALVANIZADO CON PINTADO EN ELECTROSTÁTICA INCLUYE BASE.</v>
          </cell>
          <cell r="D76"/>
          <cell r="E76" t="e">
            <v>#N/A</v>
          </cell>
          <cell r="F76" t="e">
            <v>#N/A</v>
          </cell>
          <cell r="G76" t="e">
            <v>#N/A</v>
          </cell>
          <cell r="H76" t="e">
            <v>#N/A</v>
          </cell>
          <cell r="I76"/>
        </row>
        <row r="77">
          <cell r="A77" t="str">
            <v>6.8</v>
          </cell>
          <cell r="B77" t="str">
            <v>RET-08</v>
          </cell>
          <cell r="C77" t="str">
            <v>SUMINISTRO E INSTALACIÓN DE LUMINARIA LED ALUMBRADO PUBLICO  DXPRO 50W</v>
          </cell>
          <cell r="D77"/>
          <cell r="E77" t="e">
            <v>#N/A</v>
          </cell>
          <cell r="F77" t="e">
            <v>#N/A</v>
          </cell>
          <cell r="G77" t="e">
            <v>#N/A</v>
          </cell>
          <cell r="H77" t="e">
            <v>#N/A</v>
          </cell>
          <cell r="I77"/>
        </row>
        <row r="78">
          <cell r="A78" t="str">
            <v>6.10</v>
          </cell>
          <cell r="B78" t="str">
            <v>RET-10</v>
          </cell>
          <cell r="C78" t="str">
            <v>SUMINISTRO E INSTALACIÓN PUESTA A TIERRA PARA CIRCUITO DE ILUMINACIÓN INCLUYE; VARILLA COPPERWELD, SOLDADURA, CABLE EN COBRE Y TODO LO NECESARIO PARA SU INSTALACIÓN Y CORRECTO FUNCIONAMIENTO</v>
          </cell>
          <cell r="D78"/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/>
        </row>
        <row r="79">
          <cell r="A79" t="str">
            <v>6.11</v>
          </cell>
          <cell r="B79" t="str">
            <v>RET-11</v>
          </cell>
          <cell r="C79" t="str">
            <v>SUMINISTRO E INSTALACIÓN DE FOTOCONTROL INCLUYE; BASE, CAJA TERMOPLASTICA, CONTACTOR, CORAZA Y CABLE ENCAUCHETADO 3X14 AWG</v>
          </cell>
          <cell r="D79"/>
          <cell r="E79" t="e">
            <v>#N/A</v>
          </cell>
          <cell r="F79" t="e">
            <v>#N/A</v>
          </cell>
          <cell r="G79" t="e">
            <v>#N/A</v>
          </cell>
          <cell r="H79" t="e">
            <v>#N/A</v>
          </cell>
          <cell r="I79"/>
        </row>
        <row r="80">
          <cell r="A80" t="str">
            <v>6.12</v>
          </cell>
          <cell r="B80" t="str">
            <v>RET-12</v>
          </cell>
          <cell r="C80" t="str">
            <v>CAJA DE REGISTRO 30X30 CON HERRAJE INCLUYE; EXCAVACION, CONCRETO, HERRAJE Y TAPA</v>
          </cell>
          <cell r="D80"/>
          <cell r="E80" t="e">
            <v>#N/A</v>
          </cell>
          <cell r="F80" t="e">
            <v>#N/A</v>
          </cell>
          <cell r="G80" t="e">
            <v>#N/A</v>
          </cell>
          <cell r="H80" t="e">
            <v>#N/A</v>
          </cell>
          <cell r="I80"/>
        </row>
        <row r="81">
          <cell r="A81" t="str">
            <v>6.13</v>
          </cell>
          <cell r="B81" t="str">
            <v>RET-13</v>
          </cell>
          <cell r="C81" t="str">
            <v>POSTE EN CONCRETO 12 M PARA ALUMBRADO PUBLICO</v>
          </cell>
          <cell r="D81"/>
          <cell r="E81" t="e">
            <v>#N/A</v>
          </cell>
          <cell r="F81" t="e">
            <v>#N/A</v>
          </cell>
          <cell r="G81" t="e">
            <v>#N/A</v>
          </cell>
          <cell r="H81" t="e">
            <v>#N/A</v>
          </cell>
          <cell r="I81"/>
        </row>
        <row r="82">
          <cell r="A82" t="str">
            <v>6.14</v>
          </cell>
          <cell r="B82" t="str">
            <v>RET-14</v>
          </cell>
          <cell r="C82" t="str">
            <v>LAMPARA ALUMBRADO PUBLICO</v>
          </cell>
          <cell r="D82"/>
          <cell r="E82" t="e">
            <v>#N/A</v>
          </cell>
          <cell r="F82" t="e">
            <v>#N/A</v>
          </cell>
          <cell r="G82" t="e">
            <v>#N/A</v>
          </cell>
          <cell r="H82" t="e">
            <v>#N/A</v>
          </cell>
          <cell r="I82"/>
        </row>
        <row r="83">
          <cell r="A83" t="str">
            <v>6.15</v>
          </cell>
          <cell r="B83" t="str">
            <v>RET-15</v>
          </cell>
          <cell r="C83" t="str">
            <v>REHUBICACION DE SEMAFORO VEHICULAR Y PEATONAL</v>
          </cell>
          <cell r="D83"/>
          <cell r="E83" t="e">
            <v>#N/A</v>
          </cell>
          <cell r="F83" t="e">
            <v>#N/A</v>
          </cell>
          <cell r="G83" t="e">
            <v>#N/A</v>
          </cell>
          <cell r="H83" t="e">
            <v>#N/A</v>
          </cell>
          <cell r="I83"/>
        </row>
        <row r="84">
          <cell r="H84"/>
          <cell r="I84"/>
        </row>
        <row r="85">
          <cell r="A85" t="str">
            <v>COSTO DIRECTO</v>
          </cell>
          <cell r="B85"/>
          <cell r="C85"/>
          <cell r="D85"/>
          <cell r="E85"/>
          <cell r="F85"/>
          <cell r="G85"/>
          <cell r="H85">
            <v>1877842138</v>
          </cell>
          <cell r="I85"/>
        </row>
        <row r="86">
          <cell r="A86" t="str">
            <v>PGIO</v>
          </cell>
          <cell r="B86"/>
          <cell r="C86"/>
          <cell r="D86"/>
          <cell r="E86"/>
          <cell r="F86"/>
          <cell r="G86">
            <v>0.02</v>
          </cell>
          <cell r="H86">
            <v>37556842.759999998</v>
          </cell>
          <cell r="I86"/>
        </row>
        <row r="87">
          <cell r="A87" t="str">
            <v>ADMINISTRACION</v>
          </cell>
          <cell r="B87"/>
          <cell r="C87"/>
          <cell r="D87"/>
          <cell r="E87"/>
          <cell r="F87"/>
          <cell r="G87">
            <v>0.24</v>
          </cell>
          <cell r="H87">
            <v>450682113.12</v>
          </cell>
          <cell r="I87"/>
        </row>
        <row r="88">
          <cell r="A88" t="str">
            <v>IMPREVISTOS</v>
          </cell>
          <cell r="B88"/>
          <cell r="C88"/>
          <cell r="D88"/>
          <cell r="E88"/>
          <cell r="F88"/>
          <cell r="G88">
            <v>0.01</v>
          </cell>
          <cell r="H88">
            <v>18778421.379999999</v>
          </cell>
          <cell r="I88"/>
        </row>
        <row r="89">
          <cell r="A89" t="str">
            <v>UTILIDADES</v>
          </cell>
          <cell r="B89"/>
          <cell r="C89"/>
          <cell r="D89"/>
          <cell r="E89"/>
          <cell r="F89"/>
          <cell r="G89">
            <v>0.05</v>
          </cell>
          <cell r="H89">
            <v>93892106.900000006</v>
          </cell>
          <cell r="I89"/>
        </row>
        <row r="90">
          <cell r="A90" t="str">
            <v>VALOR TOTAL</v>
          </cell>
          <cell r="B90"/>
          <cell r="C90"/>
          <cell r="D90"/>
          <cell r="E90"/>
          <cell r="F90"/>
          <cell r="G90"/>
          <cell r="H90">
            <v>2478751622.1599998</v>
          </cell>
          <cell r="I90"/>
        </row>
        <row r="91">
          <cell r="H91"/>
          <cell r="I91"/>
        </row>
        <row r="92">
          <cell r="A92" t="str">
            <v>INTERVENTORIA 7%</v>
          </cell>
          <cell r="B92"/>
          <cell r="C92"/>
          <cell r="D92"/>
          <cell r="E92"/>
          <cell r="F92"/>
          <cell r="G92"/>
          <cell r="H92">
            <v>173512613.5512</v>
          </cell>
          <cell r="I92"/>
        </row>
        <row r="93">
          <cell r="H93"/>
          <cell r="I93"/>
        </row>
        <row r="94">
          <cell r="A94" t="str">
            <v>VALOR TOTAL</v>
          </cell>
          <cell r="B94"/>
          <cell r="C94"/>
          <cell r="D94"/>
          <cell r="E94"/>
          <cell r="F94"/>
          <cell r="G94"/>
          <cell r="H94">
            <v>2652264235.7111998</v>
          </cell>
          <cell r="I94"/>
        </row>
        <row r="95">
          <cell r="H95"/>
          <cell r="I95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</sheetData>
      <sheetData sheetId="6" refreshError="1"/>
      <sheetData sheetId="7" refreshError="1">
        <row r="10">
          <cell r="C10" t="str">
            <v>NOM_MUN</v>
          </cell>
        </row>
        <row r="11">
          <cell r="C11" t="str">
            <v>LOC_PRO</v>
          </cell>
        </row>
        <row r="12">
          <cell r="C12" t="str">
            <v>NOM_PRO</v>
          </cell>
        </row>
        <row r="13">
          <cell r="C13" t="str">
            <v>NORM</v>
          </cell>
        </row>
      </sheetData>
      <sheetData sheetId="8" refreshError="1">
        <row r="16">
          <cell r="A16" t="str">
            <v>EQUI</v>
          </cell>
          <cell r="B16" t="str">
            <v>E001</v>
          </cell>
          <cell r="C16" t="str">
            <v>COMPACTADOR TIPO CANGURO</v>
          </cell>
          <cell r="D16" t="str">
            <v>HORA</v>
          </cell>
          <cell r="E16">
            <v>7500</v>
          </cell>
          <cell r="F16"/>
          <cell r="G16"/>
        </row>
        <row r="17">
          <cell r="A17" t="str">
            <v>EQUI</v>
          </cell>
          <cell r="B17" t="str">
            <v>E002</v>
          </cell>
          <cell r="C17" t="str">
            <v>COMPACTADOR TIPO RANA</v>
          </cell>
          <cell r="D17" t="str">
            <v>HORA</v>
          </cell>
          <cell r="E17">
            <v>5000</v>
          </cell>
          <cell r="F17"/>
          <cell r="G17"/>
        </row>
        <row r="18">
          <cell r="A18" t="str">
            <v>EQUI</v>
          </cell>
          <cell r="B18" t="str">
            <v>E003</v>
          </cell>
          <cell r="C18" t="str">
            <v>CONCRETADORA 2 SACOS ACPM</v>
          </cell>
          <cell r="D18" t="str">
            <v>HORA</v>
          </cell>
          <cell r="E18">
            <v>6875</v>
          </cell>
          <cell r="F18"/>
          <cell r="G18"/>
        </row>
        <row r="19">
          <cell r="A19" t="str">
            <v>EQUI</v>
          </cell>
          <cell r="B19" t="str">
            <v>E004</v>
          </cell>
          <cell r="C19" t="str">
            <v>CORTADORA DE PAVIMENTO</v>
          </cell>
          <cell r="D19" t="str">
            <v>HORA</v>
          </cell>
          <cell r="E19">
            <v>7500</v>
          </cell>
          <cell r="F19"/>
          <cell r="G19"/>
        </row>
        <row r="20">
          <cell r="A20" t="str">
            <v>EQUI</v>
          </cell>
          <cell r="B20" t="str">
            <v>E005</v>
          </cell>
          <cell r="C20" t="str">
            <v>DIDACTICOS EQUIPO DE OFICINA</v>
          </cell>
          <cell r="D20" t="str">
            <v>MES</v>
          </cell>
          <cell r="E20">
            <v>985000</v>
          </cell>
          <cell r="F20"/>
          <cell r="G20"/>
        </row>
        <row r="21">
          <cell r="A21" t="str">
            <v>EQUI</v>
          </cell>
          <cell r="B21" t="str">
            <v>E006</v>
          </cell>
          <cell r="C21" t="str">
            <v>EQUIPO DE PAVIMENTO (FLOTA Y RASTRILLO)</v>
          </cell>
          <cell r="D21" t="str">
            <v>DIA</v>
          </cell>
          <cell r="E21">
            <v>1500</v>
          </cell>
          <cell r="F21"/>
          <cell r="G21"/>
        </row>
        <row r="22">
          <cell r="A22" t="str">
            <v>EQUI</v>
          </cell>
          <cell r="B22" t="str">
            <v>E007</v>
          </cell>
          <cell r="C22" t="str">
            <v>EQUIPO DE COMPRESOR PARA PINTURA</v>
          </cell>
          <cell r="D22" t="str">
            <v>HORA</v>
          </cell>
          <cell r="E22">
            <v>6500</v>
          </cell>
          <cell r="F22"/>
          <cell r="G22"/>
        </row>
        <row r="23">
          <cell r="A23" t="str">
            <v>EQUI</v>
          </cell>
          <cell r="B23" t="str">
            <v>E008</v>
          </cell>
          <cell r="C23" t="str">
            <v>EQUIPO DEMOLEDOR TIPO COMPRESOR</v>
          </cell>
          <cell r="D23" t="str">
            <v>HORA</v>
          </cell>
          <cell r="E23">
            <v>65000</v>
          </cell>
          <cell r="F23"/>
          <cell r="G23"/>
        </row>
        <row r="24">
          <cell r="A24" t="str">
            <v>EQUI</v>
          </cell>
          <cell r="B24" t="str">
            <v>E009</v>
          </cell>
          <cell r="C24" t="str">
            <v xml:space="preserve">EQUIPO PARA COMISION DE TOPOGRAFIA </v>
          </cell>
          <cell r="D24" t="str">
            <v>DIA</v>
          </cell>
          <cell r="E24">
            <v>60000</v>
          </cell>
          <cell r="F24"/>
          <cell r="G24"/>
        </row>
        <row r="25">
          <cell r="A25" t="str">
            <v>EQUI</v>
          </cell>
          <cell r="B25" t="str">
            <v>E010</v>
          </cell>
          <cell r="C25" t="str">
            <v>EQUIPO TANQUE PARA IRRIGAR SUBBASE</v>
          </cell>
          <cell r="D25" t="str">
            <v>HORA</v>
          </cell>
          <cell r="E25">
            <v>5000</v>
          </cell>
          <cell r="F25"/>
          <cell r="G25"/>
        </row>
        <row r="26">
          <cell r="A26" t="str">
            <v>EQUI</v>
          </cell>
          <cell r="B26" t="str">
            <v>E011</v>
          </cell>
          <cell r="C26" t="str">
            <v>FORMALETA OBRAS</v>
          </cell>
          <cell r="D26" t="str">
            <v>GL</v>
          </cell>
          <cell r="E26">
            <v>65000</v>
          </cell>
          <cell r="F26"/>
          <cell r="G26"/>
        </row>
        <row r="27">
          <cell r="A27" t="str">
            <v>EQUI</v>
          </cell>
          <cell r="B27" t="str">
            <v>E012</v>
          </cell>
          <cell r="C27" t="str">
            <v>FORMALETA PARA BORDILLO/CUNETA</v>
          </cell>
          <cell r="D27" t="str">
            <v>UN</v>
          </cell>
          <cell r="E27">
            <v>2150</v>
          </cell>
          <cell r="F27"/>
          <cell r="G27"/>
        </row>
        <row r="28">
          <cell r="A28" t="str">
            <v>EQUI</v>
          </cell>
          <cell r="B28" t="str">
            <v>E013</v>
          </cell>
          <cell r="C28" t="str">
            <v>FORMALETA MADERA (TABLA 3M 0,20M)</v>
          </cell>
          <cell r="D28" t="str">
            <v>UN</v>
          </cell>
          <cell r="E28">
            <v>7500</v>
          </cell>
          <cell r="F28"/>
          <cell r="G28"/>
        </row>
        <row r="29">
          <cell r="A29" t="str">
            <v>EQUI</v>
          </cell>
          <cell r="B29" t="str">
            <v>E014</v>
          </cell>
          <cell r="C29" t="str">
            <v>FORMALETA METALICA PARA PAVIMETNO</v>
          </cell>
          <cell r="D29" t="str">
            <v>PAR</v>
          </cell>
          <cell r="E29">
            <v>1000</v>
          </cell>
          <cell r="F29"/>
          <cell r="G29"/>
        </row>
        <row r="30">
          <cell r="A30" t="str">
            <v>EQUI</v>
          </cell>
          <cell r="B30" t="str">
            <v>E015</v>
          </cell>
          <cell r="C30" t="str">
            <v>FORMALETA PARA CAÑUELA</v>
          </cell>
          <cell r="D30" t="str">
            <v>UN</v>
          </cell>
          <cell r="E30">
            <v>65000</v>
          </cell>
          <cell r="F30"/>
          <cell r="G30"/>
        </row>
        <row r="31">
          <cell r="A31" t="str">
            <v>EQUI</v>
          </cell>
          <cell r="B31" t="str">
            <v>E016</v>
          </cell>
          <cell r="C31" t="str">
            <v>FORMALETA PARA CILINDRO</v>
          </cell>
          <cell r="D31" t="str">
            <v>HORA</v>
          </cell>
          <cell r="E31">
            <v>7500</v>
          </cell>
          <cell r="F31"/>
          <cell r="G31"/>
        </row>
        <row r="32">
          <cell r="A32" t="str">
            <v>EQUI</v>
          </cell>
          <cell r="B32" t="str">
            <v>E017</v>
          </cell>
          <cell r="C32" t="str">
            <v>FORMALETA PARA CONO</v>
          </cell>
          <cell r="D32" t="str">
            <v>HORA</v>
          </cell>
          <cell r="E32">
            <v>7500</v>
          </cell>
          <cell r="F32"/>
          <cell r="G32"/>
        </row>
        <row r="33">
          <cell r="A33" t="str">
            <v>EQUI</v>
          </cell>
          <cell r="B33" t="str">
            <v>E018</v>
          </cell>
          <cell r="C33" t="str">
            <v>LISTON Y VARILLA AJUS. FORMALETA METALICA</v>
          </cell>
          <cell r="D33" t="str">
            <v>UN</v>
          </cell>
          <cell r="E33">
            <v>1000</v>
          </cell>
          <cell r="F33"/>
          <cell r="G33"/>
        </row>
        <row r="34">
          <cell r="A34" t="str">
            <v>EQUI</v>
          </cell>
          <cell r="B34" t="str">
            <v>E019</v>
          </cell>
          <cell r="C34" t="str">
            <v>MOTONIVELADORA</v>
          </cell>
          <cell r="D34" t="str">
            <v>HORA</v>
          </cell>
          <cell r="E34">
            <v>140000</v>
          </cell>
          <cell r="F34"/>
          <cell r="G34"/>
        </row>
        <row r="35">
          <cell r="A35" t="str">
            <v>EQUI</v>
          </cell>
          <cell r="B35" t="str">
            <v>E020</v>
          </cell>
          <cell r="C35" t="str">
            <v>REGLA DE CORTE (CODAL 4M)</v>
          </cell>
          <cell r="D35" t="str">
            <v>UN</v>
          </cell>
          <cell r="E35">
            <v>35000</v>
          </cell>
          <cell r="F35"/>
          <cell r="G35"/>
        </row>
        <row r="36">
          <cell r="A36" t="str">
            <v>EQUI</v>
          </cell>
          <cell r="B36" t="str">
            <v>E021</v>
          </cell>
          <cell r="C36" t="str">
            <v>REGLA VIBRATORIA</v>
          </cell>
          <cell r="D36" t="str">
            <v>DIA</v>
          </cell>
          <cell r="E36">
            <v>2500</v>
          </cell>
          <cell r="F36"/>
          <cell r="G36"/>
        </row>
        <row r="37">
          <cell r="A37" t="str">
            <v>EQUI</v>
          </cell>
          <cell r="B37" t="str">
            <v>E022</v>
          </cell>
          <cell r="C37" t="str">
            <v>REGLETA, CODAL GUIA</v>
          </cell>
          <cell r="D37" t="str">
            <v>HORA</v>
          </cell>
          <cell r="E37">
            <v>1000</v>
          </cell>
          <cell r="F37"/>
          <cell r="G37"/>
        </row>
        <row r="38">
          <cell r="A38" t="str">
            <v>EQUI</v>
          </cell>
          <cell r="B38" t="str">
            <v>E023</v>
          </cell>
          <cell r="C38" t="str">
            <v>RETROCARGADOR</v>
          </cell>
          <cell r="D38" t="str">
            <v>HORA</v>
          </cell>
          <cell r="E38">
            <v>120000</v>
          </cell>
          <cell r="F38"/>
          <cell r="G38"/>
        </row>
        <row r="39">
          <cell r="A39" t="str">
            <v>EQUI</v>
          </cell>
          <cell r="B39" t="str">
            <v>E024</v>
          </cell>
          <cell r="C39" t="str">
            <v>RETROEXCAVADORA</v>
          </cell>
          <cell r="D39" t="str">
            <v>HORA</v>
          </cell>
          <cell r="E39">
            <v>122000</v>
          </cell>
          <cell r="F39"/>
          <cell r="G39"/>
        </row>
        <row r="40">
          <cell r="A40" t="str">
            <v>EQUI</v>
          </cell>
          <cell r="B40" t="str">
            <v>E025</v>
          </cell>
          <cell r="C40" t="str">
            <v>TALADRO PARA ANCLAJE</v>
          </cell>
          <cell r="D40" t="str">
            <v>DIA</v>
          </cell>
          <cell r="E40">
            <v>6875</v>
          </cell>
          <cell r="F40"/>
          <cell r="G40"/>
        </row>
        <row r="41">
          <cell r="A41" t="str">
            <v>EQUI</v>
          </cell>
          <cell r="B41" t="str">
            <v>E026</v>
          </cell>
          <cell r="C41" t="str">
            <v>TANQUE DE ALMACENAMIENTO DE AGUA</v>
          </cell>
          <cell r="D41" t="str">
            <v>DIA</v>
          </cell>
          <cell r="E41">
            <v>1000</v>
          </cell>
          <cell r="F41"/>
          <cell r="G41"/>
        </row>
        <row r="42">
          <cell r="A42" t="str">
            <v>EQUI</v>
          </cell>
          <cell r="B42" t="str">
            <v>E027</v>
          </cell>
          <cell r="C42" t="str">
            <v>VIBRADOR DE AGUJA</v>
          </cell>
          <cell r="D42" t="str">
            <v>HORA</v>
          </cell>
          <cell r="E42">
            <v>4375</v>
          </cell>
          <cell r="F42"/>
          <cell r="G42"/>
        </row>
        <row r="43">
          <cell r="A43" t="str">
            <v>EQUI</v>
          </cell>
          <cell r="B43" t="str">
            <v>E028</v>
          </cell>
          <cell r="C43" t="str">
            <v>VIBROCOMPACTADOR</v>
          </cell>
          <cell r="D43" t="str">
            <v>HORA</v>
          </cell>
          <cell r="E43">
            <v>120000</v>
          </cell>
          <cell r="F43"/>
          <cell r="G43"/>
        </row>
        <row r="44">
          <cell r="A44" t="str">
            <v>EQUI</v>
          </cell>
          <cell r="B44" t="str">
            <v>E029</v>
          </cell>
          <cell r="C44" t="str">
            <v>PLANTA ELECTRICA</v>
          </cell>
          <cell r="D44" t="str">
            <v>HORA</v>
          </cell>
          <cell r="E44">
            <v>23000</v>
          </cell>
          <cell r="F44"/>
          <cell r="G44"/>
        </row>
        <row r="45">
          <cell r="A45" t="str">
            <v>EQUI</v>
          </cell>
          <cell r="B45" t="str">
            <v>E030</v>
          </cell>
          <cell r="C45" t="str">
            <v>MOTOSIERRA</v>
          </cell>
          <cell r="D45" t="str">
            <v>HORA</v>
          </cell>
          <cell r="E45">
            <v>5800</v>
          </cell>
          <cell r="F45"/>
          <cell r="G45"/>
        </row>
        <row r="46">
          <cell r="A46" t="str">
            <v>EQUI</v>
          </cell>
          <cell r="B46" t="str">
            <v>E031</v>
          </cell>
          <cell r="C46" t="str">
            <v>MOTOBOMBA</v>
          </cell>
          <cell r="D46" t="str">
            <v>HORA</v>
          </cell>
          <cell r="E46">
            <v>7400</v>
          </cell>
          <cell r="F46"/>
          <cell r="G46"/>
        </row>
        <row r="47">
          <cell r="B47" t="str">
            <v>E032</v>
          </cell>
          <cell r="C47" t="str">
            <v xml:space="preserve">GRUA DE BRAZO </v>
          </cell>
          <cell r="D47" t="str">
            <v>HORA</v>
          </cell>
          <cell r="E47">
            <v>350000</v>
          </cell>
          <cell r="F47"/>
          <cell r="G47"/>
        </row>
        <row r="48">
          <cell r="B48" t="str">
            <v>E033</v>
          </cell>
          <cell r="C48" t="str">
            <v>TERMINADORA DE ASFALTO</v>
          </cell>
          <cell r="D48" t="str">
            <v>HORA</v>
          </cell>
          <cell r="E48">
            <v>187291.19999999998</v>
          </cell>
          <cell r="F48"/>
          <cell r="G48"/>
        </row>
        <row r="49">
          <cell r="B49" t="str">
            <v>E034</v>
          </cell>
          <cell r="C49" t="str">
            <v>VIBROCOMPACTADOR  (15 TON)</v>
          </cell>
          <cell r="D49" t="str">
            <v>HORA</v>
          </cell>
          <cell r="E49">
            <v>127302</v>
          </cell>
          <cell r="F49"/>
          <cell r="G49"/>
        </row>
        <row r="50">
          <cell r="B50" t="str">
            <v>E035</v>
          </cell>
          <cell r="C50" t="str">
            <v>COMPACTADOR NEUMATICO</v>
          </cell>
          <cell r="D50" t="str">
            <v>HORA</v>
          </cell>
          <cell r="E50">
            <v>106800</v>
          </cell>
          <cell r="F50"/>
          <cell r="G50"/>
        </row>
        <row r="51">
          <cell r="B51" t="str">
            <v>E036</v>
          </cell>
          <cell r="C51" t="str">
            <v>CARROTANQUE DE AGUA 10000 LITROS</v>
          </cell>
          <cell r="D51" t="str">
            <v>HORA</v>
          </cell>
          <cell r="E51">
            <v>90000</v>
          </cell>
          <cell r="F51"/>
          <cell r="G51"/>
        </row>
        <row r="52">
          <cell r="B52" t="str">
            <v>E037</v>
          </cell>
          <cell r="C52" t="str">
            <v>ANDAMIO CERT. H &lt; 3M CON BASE NIV</v>
          </cell>
          <cell r="D52" t="str">
            <v>DÍA</v>
          </cell>
          <cell r="E52">
            <v>22000</v>
          </cell>
          <cell r="F52"/>
          <cell r="G52"/>
        </row>
        <row r="53">
          <cell r="B53" t="str">
            <v>E038</v>
          </cell>
          <cell r="C53" t="str">
            <v>MINICARGADOR</v>
          </cell>
          <cell r="D53" t="str">
            <v>HORA</v>
          </cell>
          <cell r="E53">
            <v>80000</v>
          </cell>
          <cell r="F53"/>
          <cell r="G53"/>
        </row>
        <row r="55">
          <cell r="G55"/>
        </row>
        <row r="56">
          <cell r="G56"/>
        </row>
        <row r="57">
          <cell r="G57"/>
        </row>
      </sheetData>
      <sheetData sheetId="9" refreshError="1">
        <row r="16">
          <cell r="B16" t="str">
            <v>MO001</v>
          </cell>
          <cell r="C16" t="str">
            <v>TOPOGRAFO</v>
          </cell>
          <cell r="D16">
            <v>14826.936907575571</v>
          </cell>
          <cell r="E16"/>
          <cell r="F16">
            <v>0.56000000000000005</v>
          </cell>
          <cell r="G16">
            <v>23130.021575817893</v>
          </cell>
          <cell r="H16">
            <v>240</v>
          </cell>
          <cell r="I16">
            <v>5551205.1781962942</v>
          </cell>
        </row>
        <row r="17">
          <cell r="B17" t="str">
            <v>MO002</v>
          </cell>
          <cell r="C17" t="str">
            <v>CADENERO 1</v>
          </cell>
          <cell r="D17">
            <v>10985.571938383713</v>
          </cell>
          <cell r="E17"/>
          <cell r="F17">
            <v>0.56000000000000005</v>
          </cell>
          <cell r="G17">
            <v>17137.492223878595</v>
          </cell>
          <cell r="H17">
            <v>240</v>
          </cell>
          <cell r="I17">
            <v>4112998.1337308628</v>
          </cell>
        </row>
        <row r="18">
          <cell r="B18" t="str">
            <v>MO003</v>
          </cell>
          <cell r="C18" t="str">
            <v>CADENERO 2</v>
          </cell>
          <cell r="D18">
            <v>8051.6465000000007</v>
          </cell>
          <cell r="E18"/>
          <cell r="F18">
            <v>0.56000000000000005</v>
          </cell>
          <cell r="G18">
            <v>12560.568540000002</v>
          </cell>
          <cell r="H18">
            <v>240</v>
          </cell>
          <cell r="I18">
            <v>3014536.4496000004</v>
          </cell>
        </row>
        <row r="19">
          <cell r="B19" t="str">
            <v>MO004</v>
          </cell>
          <cell r="C19" t="str">
            <v>OFICIAL</v>
          </cell>
          <cell r="D19">
            <v>9301.6465000000026</v>
          </cell>
          <cell r="E19"/>
          <cell r="F19">
            <v>0.56000000000000005</v>
          </cell>
          <cell r="G19">
            <v>14510.568540000004</v>
          </cell>
          <cell r="H19">
            <v>240</v>
          </cell>
          <cell r="I19">
            <v>3482536.4496000009</v>
          </cell>
        </row>
        <row r="20">
          <cell r="B20" t="str">
            <v>MO005</v>
          </cell>
          <cell r="C20" t="str">
            <v>AYUDANTE ENTENDIDO</v>
          </cell>
          <cell r="D20">
            <v>8051.6465000000007</v>
          </cell>
          <cell r="E20"/>
          <cell r="F20">
            <v>0.56000000000000005</v>
          </cell>
          <cell r="G20">
            <v>12560.568540000002</v>
          </cell>
          <cell r="H20">
            <v>240</v>
          </cell>
          <cell r="I20">
            <v>3014536.4496000004</v>
          </cell>
        </row>
        <row r="21">
          <cell r="B21" t="str">
            <v>MO006</v>
          </cell>
          <cell r="C21" t="str">
            <v>AYUDANTE</v>
          </cell>
          <cell r="D21">
            <v>6801.6465000000007</v>
          </cell>
          <cell r="E21"/>
          <cell r="F21">
            <v>0.56000000000000005</v>
          </cell>
          <cell r="G21">
            <v>10610.568540000002</v>
          </cell>
          <cell r="H21">
            <v>240</v>
          </cell>
          <cell r="I21">
            <v>2546536.4496000004</v>
          </cell>
        </row>
        <row r="22">
          <cell r="B22" t="str">
            <v>MO010</v>
          </cell>
          <cell r="C22" t="str">
            <v>M. DE OBRA EXCAVACION MATERIAL COMU</v>
          </cell>
          <cell r="D22">
            <v>26138</v>
          </cell>
          <cell r="E22" t="str">
            <v>M3</v>
          </cell>
          <cell r="F22"/>
          <cell r="G22">
            <v>26138</v>
          </cell>
          <cell r="H22"/>
          <cell r="I22">
            <v>0</v>
          </cell>
        </row>
        <row r="23">
          <cell r="B23" t="str">
            <v>MO011</v>
          </cell>
          <cell r="C23" t="str">
            <v>M. DE OBRA INST. TUBERIA CONDUIT 1"</v>
          </cell>
          <cell r="D23">
            <v>3887.34</v>
          </cell>
          <cell r="E23" t="str">
            <v>ML</v>
          </cell>
          <cell r="F23"/>
          <cell r="G23">
            <v>3887.34</v>
          </cell>
          <cell r="H23"/>
          <cell r="I23">
            <v>0</v>
          </cell>
        </row>
        <row r="24">
          <cell r="B24" t="str">
            <v>MO012</v>
          </cell>
          <cell r="C24" t="str">
            <v>M.DE OBRA CABLADO 2LINEAS Y 1TIERRA</v>
          </cell>
          <cell r="D24">
            <v>4780</v>
          </cell>
          <cell r="E24" t="str">
            <v>ML</v>
          </cell>
          <cell r="F24"/>
          <cell r="G24">
            <v>4780</v>
          </cell>
          <cell r="H24"/>
          <cell r="I24">
            <v>0</v>
          </cell>
        </row>
        <row r="25">
          <cell r="B25" t="str">
            <v>MO013</v>
          </cell>
          <cell r="C25" t="str">
            <v xml:space="preserve">M. DE OBRA INTS. CABLEADO </v>
          </cell>
          <cell r="D25">
            <v>4780</v>
          </cell>
          <cell r="E25" t="str">
            <v>ML</v>
          </cell>
          <cell r="F25"/>
          <cell r="G25">
            <v>4780</v>
          </cell>
          <cell r="H25"/>
          <cell r="I25">
            <v>0</v>
          </cell>
        </row>
        <row r="26">
          <cell r="B26" t="str">
            <v>MO014</v>
          </cell>
          <cell r="C26" t="str">
            <v>M. DE OBRA INST. TUBERIA IMC 1"</v>
          </cell>
          <cell r="D26">
            <v>17500</v>
          </cell>
          <cell r="E26" t="str">
            <v>ML</v>
          </cell>
          <cell r="F26"/>
          <cell r="G26">
            <v>17500</v>
          </cell>
          <cell r="H26"/>
          <cell r="I26">
            <v>0</v>
          </cell>
        </row>
        <row r="27">
          <cell r="B27" t="str">
            <v>MO015</v>
          </cell>
          <cell r="C27" t="str">
            <v>M. DE OBRA PUNTO ELECTRICO</v>
          </cell>
          <cell r="D27">
            <v>52000</v>
          </cell>
          <cell r="E27" t="str">
            <v>UND</v>
          </cell>
          <cell r="F27"/>
          <cell r="G27">
            <v>52000</v>
          </cell>
          <cell r="H27"/>
          <cell r="I27">
            <v>0</v>
          </cell>
        </row>
        <row r="28">
          <cell r="B28" t="str">
            <v>MO016</v>
          </cell>
          <cell r="C28" t="str">
            <v>M. DE OBRA VACEO CONCRETO DE 3000PS</v>
          </cell>
          <cell r="D28">
            <v>114828</v>
          </cell>
          <cell r="E28" t="str">
            <v>M3</v>
          </cell>
          <cell r="F28"/>
          <cell r="G28">
            <v>114828</v>
          </cell>
          <cell r="H28"/>
          <cell r="I28">
            <v>0</v>
          </cell>
        </row>
        <row r="29">
          <cell r="B29" t="str">
            <v>MO017</v>
          </cell>
          <cell r="C29" t="str">
            <v>M.DE OBRA INST. POSTE MET. 5M</v>
          </cell>
          <cell r="D29">
            <v>110000</v>
          </cell>
          <cell r="E29" t="str">
            <v>UND</v>
          </cell>
          <cell r="F29"/>
          <cell r="G29">
            <v>110000</v>
          </cell>
          <cell r="H29"/>
          <cell r="I29">
            <v>0</v>
          </cell>
        </row>
        <row r="30">
          <cell r="B30" t="str">
            <v>MO018</v>
          </cell>
          <cell r="C30" t="str">
            <v>M. DE O BRAZO TIPO REDONDO MEDIALUN</v>
          </cell>
          <cell r="D30">
            <v>85000</v>
          </cell>
          <cell r="E30" t="str">
            <v>UND</v>
          </cell>
          <cell r="F30"/>
          <cell r="G30">
            <v>85000</v>
          </cell>
          <cell r="H30"/>
          <cell r="I30">
            <v>0</v>
          </cell>
        </row>
        <row r="31">
          <cell r="B31" t="str">
            <v>MO019</v>
          </cell>
          <cell r="C31" t="str">
            <v>M. DE O INST. LAMP. LED 50W</v>
          </cell>
          <cell r="D31">
            <v>67200</v>
          </cell>
          <cell r="E31" t="str">
            <v>UND</v>
          </cell>
          <cell r="F31"/>
          <cell r="G31">
            <v>67200</v>
          </cell>
          <cell r="H31"/>
          <cell r="I31">
            <v>0</v>
          </cell>
        </row>
        <row r="32">
          <cell r="B32" t="str">
            <v>MO020</v>
          </cell>
          <cell r="C32" t="str">
            <v>M. DE O INST. LAMP LED 60W</v>
          </cell>
          <cell r="D32">
            <v>67200</v>
          </cell>
          <cell r="E32" t="str">
            <v>UND</v>
          </cell>
          <cell r="F32"/>
          <cell r="G32">
            <v>67200</v>
          </cell>
          <cell r="H32"/>
          <cell r="I32">
            <v>0</v>
          </cell>
        </row>
        <row r="33">
          <cell r="B33" t="str">
            <v>MO021</v>
          </cell>
          <cell r="C33" t="str">
            <v>M. DE O INST. VARILLA COPPERWELD</v>
          </cell>
          <cell r="D33">
            <v>17200</v>
          </cell>
          <cell r="E33" t="str">
            <v>UND</v>
          </cell>
          <cell r="F33"/>
          <cell r="G33">
            <v>17200</v>
          </cell>
          <cell r="H33"/>
          <cell r="I33">
            <v>0</v>
          </cell>
        </row>
        <row r="34">
          <cell r="B34" t="str">
            <v>MO022</v>
          </cell>
          <cell r="C34" t="str">
            <v>M. DE O INST. PUESTA A TIERRA CIRCU</v>
          </cell>
          <cell r="D34">
            <v>37500</v>
          </cell>
          <cell r="E34" t="str">
            <v>UND</v>
          </cell>
          <cell r="F34"/>
          <cell r="G34">
            <v>37500</v>
          </cell>
          <cell r="H34"/>
          <cell r="I34">
            <v>0</v>
          </cell>
        </row>
        <row r="35">
          <cell r="B35" t="str">
            <v>MO023</v>
          </cell>
          <cell r="C35" t="str">
            <v>M. DE O INST. FOTOCONTROL</v>
          </cell>
          <cell r="D35">
            <v>130000</v>
          </cell>
          <cell r="E35" t="str">
            <v>UND</v>
          </cell>
          <cell r="F35"/>
          <cell r="G35">
            <v>130000</v>
          </cell>
          <cell r="H35"/>
          <cell r="I35">
            <v>0</v>
          </cell>
        </row>
        <row r="36">
          <cell r="B36" t="str">
            <v>MO024</v>
          </cell>
          <cell r="C36" t="str">
            <v>M. DE OBRA CONST. CJA INSP 30X30</v>
          </cell>
          <cell r="D36">
            <v>52360</v>
          </cell>
          <cell r="E36" t="str">
            <v>UND</v>
          </cell>
          <cell r="F36"/>
          <cell r="G36">
            <v>52360</v>
          </cell>
          <cell r="H36"/>
          <cell r="I36">
            <v>0</v>
          </cell>
        </row>
      </sheetData>
      <sheetData sheetId="10" refreshError="1">
        <row r="16">
          <cell r="B16" t="str">
            <v>T001</v>
          </cell>
          <cell r="C16" t="str">
            <v>TRANS INT CONCRETO M3</v>
          </cell>
          <cell r="D16" t="str">
            <v>M3</v>
          </cell>
          <cell r="E16">
            <v>4000</v>
          </cell>
          <cell r="F16"/>
          <cell r="G16"/>
        </row>
        <row r="17">
          <cell r="B17" t="str">
            <v>T002</v>
          </cell>
          <cell r="C17" t="str">
            <v>TRANS INT  MAT GRANULAR</v>
          </cell>
          <cell r="D17" t="str">
            <v>M3</v>
          </cell>
          <cell r="E17">
            <v>4000</v>
          </cell>
          <cell r="F17"/>
          <cell r="G17"/>
        </row>
        <row r="18">
          <cell r="B18" t="str">
            <v>T003</v>
          </cell>
          <cell r="C18" t="str">
            <v>TRANS AGUA 0-5KM</v>
          </cell>
          <cell r="D18" t="str">
            <v>M3</v>
          </cell>
          <cell r="E18">
            <v>1095</v>
          </cell>
          <cell r="F18"/>
          <cell r="G18"/>
        </row>
        <row r="19">
          <cell r="B19" t="str">
            <v>T004</v>
          </cell>
          <cell r="C19" t="str">
            <v>TRANS MAT SOBRANTE 0-5KM</v>
          </cell>
          <cell r="D19" t="str">
            <v>M3</v>
          </cell>
          <cell r="E19">
            <v>5600</v>
          </cell>
          <cell r="F19"/>
          <cell r="G19"/>
        </row>
        <row r="20">
          <cell r="B20" t="str">
            <v>T005</v>
          </cell>
          <cell r="C20" t="str">
            <v>TRANS INT  BORDILLO UN</v>
          </cell>
          <cell r="D20" t="str">
            <v>UN</v>
          </cell>
          <cell r="E20">
            <v>300</v>
          </cell>
          <cell r="F20"/>
          <cell r="G20"/>
        </row>
        <row r="21">
          <cell r="B21" t="str">
            <v>T006</v>
          </cell>
          <cell r="C21" t="str">
            <v>TRANS INT  LISTON SEÑALIZACION UN</v>
          </cell>
          <cell r="D21" t="str">
            <v>UN</v>
          </cell>
          <cell r="E21">
            <v>100</v>
          </cell>
          <cell r="F21"/>
          <cell r="G21"/>
        </row>
        <row r="22">
          <cell r="B22" t="str">
            <v>T007</v>
          </cell>
          <cell r="C22" t="str">
            <v>TRANS INT TABLETA-ADOQUIN UN</v>
          </cell>
          <cell r="D22" t="str">
            <v>UN</v>
          </cell>
          <cell r="E22">
            <v>200</v>
          </cell>
          <cell r="F22"/>
          <cell r="G22"/>
        </row>
        <row r="23">
          <cell r="B23" t="str">
            <v>T008</v>
          </cell>
          <cell r="C23" t="str">
            <v>TRANS MATERIAL &gt; 10 KM</v>
          </cell>
          <cell r="D23" t="str">
            <v>M3-KM</v>
          </cell>
          <cell r="E23">
            <v>980</v>
          </cell>
          <cell r="F23"/>
          <cell r="G23"/>
        </row>
        <row r="24">
          <cell r="B24" t="str">
            <v>T009</v>
          </cell>
          <cell r="C24" t="str">
            <v>TRANS MATERIAL &lt; 10 KM</v>
          </cell>
          <cell r="D24" t="str">
            <v>M3-KM</v>
          </cell>
          <cell r="E24">
            <v>1095</v>
          </cell>
          <cell r="F24"/>
          <cell r="G24"/>
        </row>
        <row r="25">
          <cell r="B25" t="str">
            <v>T010</v>
          </cell>
          <cell r="C25" t="str">
            <v>TRANSPORTE  CEMENTO</v>
          </cell>
          <cell r="D25" t="str">
            <v>SACO</v>
          </cell>
          <cell r="E25">
            <v>2000</v>
          </cell>
          <cell r="F25"/>
          <cell r="G25"/>
        </row>
        <row r="26">
          <cell r="B26" t="str">
            <v>T011</v>
          </cell>
          <cell r="C26" t="str">
            <v>TRANSPORTE  CCONCRETO PREMEZCLADO</v>
          </cell>
          <cell r="D26" t="str">
            <v>M3-KM</v>
          </cell>
          <cell r="E26">
            <v>2000</v>
          </cell>
          <cell r="F26"/>
          <cell r="G26"/>
        </row>
        <row r="27">
          <cell r="B27" t="str">
            <v>T012</v>
          </cell>
          <cell r="C27" t="str">
            <v>TRANSPORTE  POSTE DE CONCRETO ALUMBRADO PUBLICO</v>
          </cell>
          <cell r="D27" t="str">
            <v>UN</v>
          </cell>
          <cell r="E27">
            <v>35000</v>
          </cell>
        </row>
      </sheetData>
      <sheetData sheetId="11" refreshError="1">
        <row r="16">
          <cell r="B16" t="str">
            <v>M001</v>
          </cell>
          <cell r="C16" t="str">
            <v>1/4 DE PINTURA</v>
          </cell>
          <cell r="D16" t="str">
            <v>G/4</v>
          </cell>
          <cell r="E16">
            <v>19400</v>
          </cell>
          <cell r="F16"/>
          <cell r="G16">
            <v>0</v>
          </cell>
        </row>
        <row r="17">
          <cell r="B17" t="str">
            <v>M002</v>
          </cell>
          <cell r="C17" t="str">
            <v>ACERO  60000 PSI</v>
          </cell>
          <cell r="D17" t="str">
            <v>KG</v>
          </cell>
          <cell r="E17">
            <v>4540</v>
          </cell>
          <cell r="F17"/>
          <cell r="G17">
            <v>0</v>
          </cell>
        </row>
        <row r="18">
          <cell r="B18" t="str">
            <v>M003</v>
          </cell>
          <cell r="C18" t="str">
            <v>ACERO 40000 PSI</v>
          </cell>
          <cell r="D18" t="str">
            <v>KG</v>
          </cell>
          <cell r="E18">
            <v>4540</v>
          </cell>
          <cell r="F18"/>
          <cell r="G18">
            <v>0</v>
          </cell>
        </row>
        <row r="19">
          <cell r="B19" t="str">
            <v>M004</v>
          </cell>
          <cell r="C19" t="str">
            <v>AGUA</v>
          </cell>
          <cell r="D19" t="str">
            <v>M3</v>
          </cell>
          <cell r="E19">
            <v>2750</v>
          </cell>
          <cell r="F19"/>
          <cell r="G19">
            <v>0</v>
          </cell>
        </row>
        <row r="20">
          <cell r="B20" t="str">
            <v>M005</v>
          </cell>
          <cell r="C20" t="str">
            <v>ALAMBRE QUEMADO</v>
          </cell>
          <cell r="D20" t="str">
            <v>KG</v>
          </cell>
          <cell r="E20">
            <v>4500</v>
          </cell>
          <cell r="F20"/>
          <cell r="G20">
            <v>0</v>
          </cell>
        </row>
        <row r="21">
          <cell r="B21" t="str">
            <v>M006</v>
          </cell>
          <cell r="C21" t="str">
            <v>ANTICORROSIVO</v>
          </cell>
          <cell r="D21" t="str">
            <v>gl</v>
          </cell>
          <cell r="E21">
            <v>40000</v>
          </cell>
          <cell r="F21"/>
          <cell r="G21">
            <v>0</v>
          </cell>
        </row>
        <row r="22">
          <cell r="B22" t="str">
            <v>M007</v>
          </cell>
          <cell r="C22" t="str">
            <v>ARENA BASE Y SELLO ADOQUIN</v>
          </cell>
          <cell r="D22" t="str">
            <v>M3</v>
          </cell>
          <cell r="E22">
            <v>30000</v>
          </cell>
          <cell r="F22"/>
          <cell r="G22">
            <v>0</v>
          </cell>
        </row>
        <row r="23">
          <cell r="B23" t="str">
            <v>M008</v>
          </cell>
          <cell r="C23" t="str">
            <v>ARENA PARA CONCRETO</v>
          </cell>
          <cell r="D23" t="str">
            <v>M3</v>
          </cell>
          <cell r="E23">
            <v>32000</v>
          </cell>
          <cell r="F23"/>
          <cell r="G23">
            <v>0</v>
          </cell>
        </row>
        <row r="24">
          <cell r="B24" t="str">
            <v>M009</v>
          </cell>
          <cell r="C24" t="str">
            <v>BREA SOLIDA</v>
          </cell>
          <cell r="D24" t="str">
            <v>KG</v>
          </cell>
          <cell r="E24">
            <v>2950</v>
          </cell>
          <cell r="F24"/>
          <cell r="G24">
            <v>0</v>
          </cell>
        </row>
        <row r="25">
          <cell r="B25" t="str">
            <v>M010</v>
          </cell>
          <cell r="C25" t="str">
            <v>CASCAJO DE RIO TIPO CANTO RODADO SELECCIONADO TAMAÑO MAX 3/4"</v>
          </cell>
          <cell r="D25" t="str">
            <v>M3</v>
          </cell>
          <cell r="E25">
            <v>33000</v>
          </cell>
          <cell r="F25"/>
          <cell r="G25">
            <v>0</v>
          </cell>
        </row>
        <row r="26">
          <cell r="B26" t="str">
            <v>M011</v>
          </cell>
          <cell r="C26" t="str">
            <v>CEMENTO GRIS</v>
          </cell>
          <cell r="D26" t="str">
            <v>SACO</v>
          </cell>
          <cell r="E26">
            <v>26500</v>
          </cell>
          <cell r="F26"/>
          <cell r="G26">
            <v>0</v>
          </cell>
        </row>
        <row r="27">
          <cell r="B27" t="str">
            <v>M012</v>
          </cell>
          <cell r="C27" t="str">
            <v>CINTA REFLECTIVA SEÑALIZACION</v>
          </cell>
          <cell r="D27" t="str">
            <v>ROLLO</v>
          </cell>
          <cell r="E27">
            <v>6700</v>
          </cell>
          <cell r="F27"/>
          <cell r="G27">
            <v>0</v>
          </cell>
        </row>
        <row r="28">
          <cell r="B28" t="str">
            <v>M013</v>
          </cell>
          <cell r="C28" t="str">
            <v>CLAVO ACERO</v>
          </cell>
          <cell r="D28" t="str">
            <v>LB</v>
          </cell>
          <cell r="E28">
            <v>4100</v>
          </cell>
          <cell r="F28"/>
          <cell r="G28">
            <v>0</v>
          </cell>
        </row>
        <row r="29">
          <cell r="B29" t="str">
            <v>M014</v>
          </cell>
          <cell r="C29" t="str">
            <v>CLAVO COMUN</v>
          </cell>
          <cell r="D29" t="str">
            <v>LB</v>
          </cell>
          <cell r="E29">
            <v>10029</v>
          </cell>
          <cell r="F29"/>
          <cell r="G29">
            <v>0</v>
          </cell>
        </row>
        <row r="30">
          <cell r="B30" t="str">
            <v>M015</v>
          </cell>
          <cell r="C30" t="str">
            <v>COLO MINERAL</v>
          </cell>
          <cell r="D30" t="str">
            <v>SACO</v>
          </cell>
          <cell r="E30">
            <v>5650</v>
          </cell>
          <cell r="F30"/>
          <cell r="G30">
            <v>0</v>
          </cell>
        </row>
        <row r="31">
          <cell r="B31" t="str">
            <v>M016</v>
          </cell>
          <cell r="C31" t="str">
            <v>CONCRETO 2500 PSI</v>
          </cell>
          <cell r="D31" t="str">
            <v>M3</v>
          </cell>
          <cell r="E31">
            <v>420000</v>
          </cell>
          <cell r="F31"/>
          <cell r="G31">
            <v>0</v>
          </cell>
        </row>
        <row r="32">
          <cell r="B32" t="str">
            <v>M017</v>
          </cell>
          <cell r="C32" t="str">
            <v>CURADOR TIPO ANTISOL</v>
          </cell>
          <cell r="D32" t="str">
            <v>KG</v>
          </cell>
          <cell r="E32">
            <v>5440</v>
          </cell>
          <cell r="F32"/>
          <cell r="G32">
            <v>0</v>
          </cell>
        </row>
        <row r="33">
          <cell r="B33" t="str">
            <v>M018</v>
          </cell>
          <cell r="C33" t="str">
            <v>DIOXIDO DE HIERRO COLOR AMARILLO</v>
          </cell>
          <cell r="D33" t="str">
            <v>SACO</v>
          </cell>
          <cell r="E33">
            <v>185000</v>
          </cell>
          <cell r="F33"/>
          <cell r="G33">
            <v>0</v>
          </cell>
        </row>
        <row r="34">
          <cell r="B34" t="str">
            <v>M019</v>
          </cell>
          <cell r="C34" t="str">
            <v>DISCO DIAMANTADO DE 14"</v>
          </cell>
          <cell r="D34" t="str">
            <v>UN</v>
          </cell>
          <cell r="E34">
            <v>250000</v>
          </cell>
          <cell r="F34"/>
          <cell r="G34">
            <v>0</v>
          </cell>
        </row>
        <row r="35">
          <cell r="B35" t="str">
            <v>M020</v>
          </cell>
          <cell r="C35" t="str">
            <v>DISOLVENTE</v>
          </cell>
          <cell r="D35" t="str">
            <v>GL</v>
          </cell>
          <cell r="E35">
            <v>21650</v>
          </cell>
          <cell r="F35"/>
          <cell r="G35">
            <v>0</v>
          </cell>
        </row>
        <row r="36">
          <cell r="B36" t="str">
            <v>M021</v>
          </cell>
          <cell r="C36" t="str">
            <v>ELEMENTOS DE PROTECCION</v>
          </cell>
          <cell r="D36" t="str">
            <v>MES</v>
          </cell>
          <cell r="E36">
            <v>700000</v>
          </cell>
          <cell r="F36">
            <v>4</v>
          </cell>
          <cell r="G36">
            <v>2800000</v>
          </cell>
        </row>
        <row r="37">
          <cell r="B37" t="str">
            <v>M022</v>
          </cell>
          <cell r="C37" t="str">
            <v xml:space="preserve">ELEMENTOS DE SEÑALIZACION </v>
          </cell>
          <cell r="D37" t="str">
            <v>MES</v>
          </cell>
          <cell r="E37">
            <v>700000</v>
          </cell>
          <cell r="F37">
            <v>4</v>
          </cell>
          <cell r="G37">
            <v>2800000</v>
          </cell>
        </row>
        <row r="38">
          <cell r="B38" t="str">
            <v>M023</v>
          </cell>
          <cell r="C38" t="str">
            <v>EPOXICO PARA  ANCLAJE TIPO SIKA</v>
          </cell>
          <cell r="D38" t="str">
            <v>KG</v>
          </cell>
          <cell r="E38">
            <v>122094</v>
          </cell>
          <cell r="F38"/>
          <cell r="G38">
            <v>0</v>
          </cell>
        </row>
        <row r="39">
          <cell r="B39" t="str">
            <v>M024</v>
          </cell>
          <cell r="C39" t="str">
            <v>FERTILIZANTE Foliar</v>
          </cell>
          <cell r="D39" t="str">
            <v>LITRO</v>
          </cell>
          <cell r="E39">
            <v>30000</v>
          </cell>
          <cell r="F39"/>
          <cell r="G39">
            <v>0</v>
          </cell>
        </row>
        <row r="40">
          <cell r="B40" t="str">
            <v>M025</v>
          </cell>
          <cell r="C40" t="str">
            <v xml:space="preserve">FERTILIZANTE FÓSFORO </v>
          </cell>
          <cell r="D40" t="str">
            <v>BULTO</v>
          </cell>
          <cell r="E40">
            <v>110000</v>
          </cell>
          <cell r="F40"/>
          <cell r="G40">
            <v>0</v>
          </cell>
        </row>
        <row r="41">
          <cell r="B41" t="str">
            <v>M026</v>
          </cell>
          <cell r="C41" t="str">
            <v>FERTILIZANTE Urea</v>
          </cell>
          <cell r="D41" t="str">
            <v>BULTO</v>
          </cell>
          <cell r="E41">
            <v>95000</v>
          </cell>
          <cell r="F41"/>
          <cell r="G41">
            <v>0</v>
          </cell>
        </row>
        <row r="42">
          <cell r="B42" t="str">
            <v>M027</v>
          </cell>
          <cell r="C42" t="str">
            <v>GEOTEXTIL TEJIDO 2400 T</v>
          </cell>
          <cell r="D42" t="str">
            <v>M2</v>
          </cell>
          <cell r="E42">
            <v>8500</v>
          </cell>
          <cell r="F42"/>
          <cell r="G42">
            <v>0</v>
          </cell>
        </row>
        <row r="43">
          <cell r="B43" t="str">
            <v>M028</v>
          </cell>
          <cell r="C43" t="str">
            <v>HERRAJE PARA CAJA DOMICILIARIA INC REF</v>
          </cell>
          <cell r="D43" t="str">
            <v>UN</v>
          </cell>
          <cell r="E43">
            <v>165000</v>
          </cell>
          <cell r="F43"/>
          <cell r="G43">
            <v>0</v>
          </cell>
        </row>
        <row r="44">
          <cell r="B44" t="str">
            <v>M029</v>
          </cell>
          <cell r="C44" t="str">
            <v>HERRAJE PARA CAMARA DE INSPECCION TIPO MH</v>
          </cell>
          <cell r="D44" t="str">
            <v>Unidad</v>
          </cell>
          <cell r="E44">
            <v>220000</v>
          </cell>
          <cell r="F44"/>
          <cell r="G44">
            <v>0</v>
          </cell>
        </row>
        <row r="45">
          <cell r="B45" t="str">
            <v>M030</v>
          </cell>
          <cell r="C45" t="str">
            <v>LISTON 2*2 MADEROA TIPO CHOIVA</v>
          </cell>
          <cell r="D45" t="str">
            <v>Unidad</v>
          </cell>
          <cell r="E45">
            <v>8000</v>
          </cell>
          <cell r="F45"/>
          <cell r="G45">
            <v>0</v>
          </cell>
        </row>
        <row r="46">
          <cell r="B46" t="str">
            <v>M031</v>
          </cell>
          <cell r="C46" t="str">
            <v>MALLA ELECTROSOLDADA</v>
          </cell>
          <cell r="D46" t="str">
            <v>KG</v>
          </cell>
          <cell r="E46">
            <v>4500</v>
          </cell>
          <cell r="F46"/>
          <cell r="G46">
            <v>0</v>
          </cell>
        </row>
        <row r="47">
          <cell r="B47" t="str">
            <v>M032</v>
          </cell>
          <cell r="C47" t="str">
            <v>MATERIAL GRANULAR PIEDRA &gt;3"</v>
          </cell>
          <cell r="D47" t="str">
            <v>M3</v>
          </cell>
          <cell r="E47">
            <v>44000</v>
          </cell>
          <cell r="F47"/>
          <cell r="G47">
            <v>0</v>
          </cell>
        </row>
        <row r="48">
          <cell r="B48" t="str">
            <v>M033</v>
          </cell>
          <cell r="C48" t="str">
            <v>MATERIAL GRANULAR DE PRESTAMO</v>
          </cell>
          <cell r="D48" t="str">
            <v>M3</v>
          </cell>
          <cell r="E48">
            <v>23000</v>
          </cell>
          <cell r="F48"/>
          <cell r="G48">
            <v>0</v>
          </cell>
        </row>
        <row r="49">
          <cell r="B49" t="str">
            <v>M034</v>
          </cell>
          <cell r="C49" t="str">
            <v>MORTERO 1:6 PARA PEGA Y REVITADA</v>
          </cell>
          <cell r="D49" t="str">
            <v>M3</v>
          </cell>
          <cell r="E49">
            <v>370000</v>
          </cell>
          <cell r="F49"/>
          <cell r="G49">
            <v>0</v>
          </cell>
        </row>
        <row r="50">
          <cell r="B50" t="str">
            <v>M035</v>
          </cell>
          <cell r="C50" t="str">
            <v>NIPLE 6"</v>
          </cell>
          <cell r="D50" t="str">
            <v>Unidad</v>
          </cell>
          <cell r="E50">
            <v>100000</v>
          </cell>
          <cell r="F50"/>
          <cell r="G50">
            <v>0</v>
          </cell>
        </row>
        <row r="51">
          <cell r="B51" t="str">
            <v>M036</v>
          </cell>
          <cell r="C51" t="str">
            <v>PAPELERIA E INSUMOS PARA CAPACITACION</v>
          </cell>
          <cell r="D51" t="str">
            <v>MES</v>
          </cell>
          <cell r="E51">
            <v>500000</v>
          </cell>
          <cell r="F51"/>
          <cell r="G51">
            <v>0</v>
          </cell>
        </row>
        <row r="52">
          <cell r="B52" t="str">
            <v>M037</v>
          </cell>
          <cell r="C52" t="str">
            <v>PINTURA TRAFICO</v>
          </cell>
          <cell r="D52" t="str">
            <v>GL</v>
          </cell>
          <cell r="E52">
            <v>145000</v>
          </cell>
          <cell r="F52"/>
          <cell r="G52">
            <v>0</v>
          </cell>
        </row>
        <row r="53">
          <cell r="B53" t="str">
            <v>M038</v>
          </cell>
          <cell r="C53" t="str">
            <v>POLIZOMBRA</v>
          </cell>
          <cell r="D53" t="str">
            <v>ML</v>
          </cell>
          <cell r="E53">
            <v>3100</v>
          </cell>
          <cell r="F53"/>
          <cell r="G53">
            <v>0</v>
          </cell>
        </row>
        <row r="54">
          <cell r="B54" t="str">
            <v>M039</v>
          </cell>
          <cell r="C54" t="str">
            <v xml:space="preserve">POSTE DE MADERA </v>
          </cell>
          <cell r="D54" t="str">
            <v>Unidad</v>
          </cell>
          <cell r="E54">
            <v>9500</v>
          </cell>
          <cell r="F54"/>
          <cell r="G54">
            <v>0</v>
          </cell>
        </row>
        <row r="55">
          <cell r="B55" t="str">
            <v>M040</v>
          </cell>
          <cell r="C55" t="str">
            <v>PREFABRICADO ALCORQUE</v>
          </cell>
          <cell r="D55" t="str">
            <v>UN</v>
          </cell>
          <cell r="E55">
            <v>65000</v>
          </cell>
          <cell r="F55"/>
          <cell r="G55">
            <v>0</v>
          </cell>
        </row>
        <row r="56">
          <cell r="B56" t="str">
            <v>M041</v>
          </cell>
          <cell r="C56" t="str">
            <v>REJILLA TIPO SUMIDERO</v>
          </cell>
          <cell r="D56" t="str">
            <v>Unidad</v>
          </cell>
          <cell r="E56">
            <v>190000</v>
          </cell>
          <cell r="F56"/>
          <cell r="G56">
            <v>0</v>
          </cell>
        </row>
        <row r="57">
          <cell r="B57" t="str">
            <v>M042</v>
          </cell>
          <cell r="C57" t="str">
            <v>SEÑAL VERTICAL</v>
          </cell>
          <cell r="D57" t="str">
            <v>un</v>
          </cell>
          <cell r="E57">
            <v>305000</v>
          </cell>
          <cell r="F57"/>
          <cell r="G57">
            <v>0</v>
          </cell>
        </row>
        <row r="58">
          <cell r="B58" t="str">
            <v>M043</v>
          </cell>
          <cell r="C58" t="str">
            <v>SIKAFLEX 1A 300ML</v>
          </cell>
          <cell r="D58" t="str">
            <v>CC</v>
          </cell>
          <cell r="E58">
            <v>48900</v>
          </cell>
          <cell r="F58"/>
          <cell r="G58">
            <v>0</v>
          </cell>
        </row>
        <row r="59">
          <cell r="B59" t="str">
            <v>M044</v>
          </cell>
          <cell r="C59" t="str">
            <v>SIKAROD</v>
          </cell>
          <cell r="D59" t="str">
            <v>ML</v>
          </cell>
          <cell r="E59">
            <v>2600</v>
          </cell>
          <cell r="F59"/>
          <cell r="G59">
            <v>0</v>
          </cell>
        </row>
        <row r="60">
          <cell r="B60" t="str">
            <v>M045</v>
          </cell>
          <cell r="C60" t="str">
            <v>SILVICULTURA ESPECIE FORESTAL</v>
          </cell>
          <cell r="D60" t="str">
            <v>Unidad</v>
          </cell>
          <cell r="E60">
            <v>45000</v>
          </cell>
          <cell r="F60"/>
          <cell r="G60">
            <v>0</v>
          </cell>
        </row>
        <row r="61">
          <cell r="B61" t="str">
            <v>M046</v>
          </cell>
          <cell r="C61" t="str">
            <v>SOLDADURA</v>
          </cell>
          <cell r="D61" t="str">
            <v>kg</v>
          </cell>
          <cell r="E61">
            <v>9500</v>
          </cell>
          <cell r="F61"/>
          <cell r="G61">
            <v>0</v>
          </cell>
        </row>
        <row r="62">
          <cell r="B62" t="str">
            <v>M047</v>
          </cell>
          <cell r="C62" t="str">
            <v>SUBBASE GRANULAR</v>
          </cell>
          <cell r="D62" t="str">
            <v>M3</v>
          </cell>
          <cell r="E62">
            <v>34000</v>
          </cell>
          <cell r="F62"/>
          <cell r="G62">
            <v>0</v>
          </cell>
        </row>
        <row r="63">
          <cell r="B63" t="str">
            <v>M048</v>
          </cell>
          <cell r="C63" t="str">
            <v>TABLETA COLORES TIPO ADOQUIN 20*20</v>
          </cell>
          <cell r="D63" t="str">
            <v>UN</v>
          </cell>
          <cell r="E63">
            <v>2000</v>
          </cell>
          <cell r="F63"/>
          <cell r="G63">
            <v>0</v>
          </cell>
        </row>
        <row r="64">
          <cell r="B64" t="str">
            <v>M049</v>
          </cell>
          <cell r="C64" t="str">
            <v>TABLETA SEÑALIZACION 0,1*20 M GRIS</v>
          </cell>
          <cell r="D64" t="str">
            <v>UN</v>
          </cell>
          <cell r="E64">
            <v>1100</v>
          </cell>
          <cell r="F64"/>
          <cell r="G64">
            <v>0</v>
          </cell>
        </row>
        <row r="65">
          <cell r="B65" t="str">
            <v>M050</v>
          </cell>
          <cell r="C65" t="str">
            <v>TABLETA TACTIL  GUIA 0,2*,2 M COLOR GRIS</v>
          </cell>
          <cell r="D65" t="str">
            <v>UN</v>
          </cell>
          <cell r="E65">
            <v>2000</v>
          </cell>
          <cell r="F65"/>
          <cell r="G65">
            <v>0</v>
          </cell>
        </row>
        <row r="66">
          <cell r="B66" t="str">
            <v>M051</v>
          </cell>
          <cell r="C66" t="str">
            <v>TABLETA TACTIL ALERTA 20*20</v>
          </cell>
          <cell r="D66" t="str">
            <v>UN</v>
          </cell>
          <cell r="E66">
            <v>2000</v>
          </cell>
          <cell r="F66"/>
          <cell r="G66">
            <v>0</v>
          </cell>
        </row>
        <row r="67">
          <cell r="B67" t="str">
            <v>M052</v>
          </cell>
          <cell r="C67" t="str">
            <v>THINER</v>
          </cell>
          <cell r="D67" t="str">
            <v>GL</v>
          </cell>
          <cell r="E67">
            <v>18900</v>
          </cell>
          <cell r="F67"/>
          <cell r="G67">
            <v>0</v>
          </cell>
        </row>
        <row r="68">
          <cell r="B68" t="str">
            <v>M053</v>
          </cell>
          <cell r="C68" t="str">
            <v>TRITURADO 3/4"</v>
          </cell>
          <cell r="D68" t="str">
            <v>M3</v>
          </cell>
          <cell r="E68">
            <v>34000</v>
          </cell>
          <cell r="F68"/>
          <cell r="G68">
            <v>0</v>
          </cell>
        </row>
        <row r="69">
          <cell r="B69" t="str">
            <v>M054</v>
          </cell>
          <cell r="C69" t="str">
            <v>TUBERIA CONCRETO 24"</v>
          </cell>
          <cell r="D69" t="str">
            <v>ML</v>
          </cell>
          <cell r="E69">
            <v>380000</v>
          </cell>
          <cell r="F69"/>
          <cell r="G69">
            <v>0</v>
          </cell>
        </row>
        <row r="70">
          <cell r="B70" t="str">
            <v>M055</v>
          </cell>
          <cell r="C70" t="str">
            <v>TUBERIA CONCRETO 36"</v>
          </cell>
          <cell r="D70" t="str">
            <v>ML</v>
          </cell>
          <cell r="E70">
            <v>420000</v>
          </cell>
          <cell r="F70"/>
          <cell r="G70">
            <v>0</v>
          </cell>
        </row>
        <row r="71">
          <cell r="B71" t="str">
            <v>M056</v>
          </cell>
          <cell r="C71" t="str">
            <v>TUBERIA NOVAFORT 14"</v>
          </cell>
          <cell r="D71" t="str">
            <v>ML</v>
          </cell>
          <cell r="E71">
            <v>130374.5</v>
          </cell>
          <cell r="F71"/>
          <cell r="G71">
            <v>0</v>
          </cell>
        </row>
        <row r="72">
          <cell r="B72" t="str">
            <v>M057</v>
          </cell>
          <cell r="C72" t="str">
            <v>TUBERIA NOVAFORT 16"</v>
          </cell>
          <cell r="D72" t="str">
            <v>ML</v>
          </cell>
          <cell r="E72">
            <v>182849.83333333334</v>
          </cell>
          <cell r="F72"/>
          <cell r="G72">
            <v>0</v>
          </cell>
        </row>
        <row r="73">
          <cell r="B73" t="str">
            <v>M058</v>
          </cell>
          <cell r="C73" t="str">
            <v>TUBERIA NOVAFORT 18"</v>
          </cell>
          <cell r="D73" t="str">
            <v>ML</v>
          </cell>
          <cell r="E73">
            <v>242620.16666666666</v>
          </cell>
          <cell r="F73"/>
          <cell r="G73">
            <v>0</v>
          </cell>
        </row>
        <row r="74">
          <cell r="B74" t="str">
            <v>M059</v>
          </cell>
          <cell r="C74" t="str">
            <v>TUBERIA NOVAFORT 20"</v>
          </cell>
          <cell r="D74" t="str">
            <v>ML</v>
          </cell>
          <cell r="E74">
            <v>303819.66666666669</v>
          </cell>
          <cell r="F74"/>
          <cell r="G74">
            <v>0</v>
          </cell>
        </row>
        <row r="75">
          <cell r="B75" t="str">
            <v>M060</v>
          </cell>
          <cell r="C75" t="str">
            <v>TUBERIA NOVAFORT 24"</v>
          </cell>
          <cell r="D75" t="str">
            <v>ML</v>
          </cell>
          <cell r="E75">
            <v>429379.69230769231</v>
          </cell>
          <cell r="F75"/>
          <cell r="G75">
            <v>0</v>
          </cell>
        </row>
        <row r="76">
          <cell r="B76" t="str">
            <v>M061</v>
          </cell>
          <cell r="C76" t="str">
            <v>TUBERIA NOVAFORT 30"</v>
          </cell>
          <cell r="D76" t="str">
            <v>ML</v>
          </cell>
          <cell r="E76">
            <v>641538</v>
          </cell>
          <cell r="F76"/>
          <cell r="G76">
            <v>0</v>
          </cell>
        </row>
        <row r="77">
          <cell r="B77" t="str">
            <v>M062</v>
          </cell>
          <cell r="C77" t="str">
            <v>TUBERIA NOVAFORT 8"</v>
          </cell>
          <cell r="D77" t="str">
            <v>ML</v>
          </cell>
          <cell r="E77">
            <v>52260.706666666665</v>
          </cell>
          <cell r="F77"/>
          <cell r="G77">
            <v>0</v>
          </cell>
        </row>
        <row r="78">
          <cell r="B78" t="str">
            <v>M063</v>
          </cell>
          <cell r="C78" t="str">
            <v>TUBERIA NOVAFORT 10"</v>
          </cell>
          <cell r="D78" t="str">
            <v>ML</v>
          </cell>
          <cell r="E78">
            <v>76329.546666666662</v>
          </cell>
          <cell r="F78"/>
          <cell r="G78">
            <v>0</v>
          </cell>
        </row>
        <row r="79">
          <cell r="B79" t="str">
            <v>M064</v>
          </cell>
          <cell r="C79" t="str">
            <v>CONCRETO 3000 PSI</v>
          </cell>
          <cell r="D79" t="str">
            <v>M3</v>
          </cell>
          <cell r="E79">
            <v>410000</v>
          </cell>
          <cell r="F79"/>
          <cell r="G79">
            <v>0</v>
          </cell>
        </row>
        <row r="80">
          <cell r="B80" t="str">
            <v>M068</v>
          </cell>
          <cell r="C80" t="str">
            <v>CONCRETO  PREMEZCLADO MR 40</v>
          </cell>
          <cell r="D80" t="str">
            <v>M3</v>
          </cell>
          <cell r="E80">
            <v>547400</v>
          </cell>
          <cell r="F80"/>
          <cell r="G80">
            <v>0</v>
          </cell>
        </row>
        <row r="81">
          <cell r="B81" t="str">
            <v>M065</v>
          </cell>
          <cell r="C81" t="str">
            <v>BANCA EN CONCRETO</v>
          </cell>
          <cell r="D81" t="str">
            <v>UN</v>
          </cell>
          <cell r="E81">
            <v>240000</v>
          </cell>
          <cell r="F81"/>
          <cell r="G81">
            <v>0</v>
          </cell>
        </row>
        <row r="82">
          <cell r="B82" t="str">
            <v>M066</v>
          </cell>
          <cell r="C82" t="str">
            <v>GRAMA ZONA VERDE</v>
          </cell>
          <cell r="D82" t="str">
            <v>M2</v>
          </cell>
          <cell r="E82">
            <v>13000</v>
          </cell>
          <cell r="F82"/>
          <cell r="G82">
            <v>0</v>
          </cell>
        </row>
        <row r="83">
          <cell r="B83" t="str">
            <v>M069</v>
          </cell>
          <cell r="C83" t="str">
            <v>MATERIAL TIPO LIMO DE PRESTAMO</v>
          </cell>
          <cell r="D83" t="str">
            <v>M3</v>
          </cell>
          <cell r="E83">
            <v>22000</v>
          </cell>
          <cell r="F83"/>
          <cell r="G83">
            <v>0</v>
          </cell>
        </row>
        <row r="84">
          <cell r="B84" t="str">
            <v>M070</v>
          </cell>
          <cell r="C84" t="str">
            <v>MEZCLA DENSA EN CALIENTE MDC-2</v>
          </cell>
          <cell r="D84" t="str">
            <v>M3</v>
          </cell>
          <cell r="E84">
            <v>365750</v>
          </cell>
          <cell r="F84"/>
          <cell r="G84">
            <v>0</v>
          </cell>
        </row>
        <row r="85">
          <cell r="B85" t="str">
            <v>M071</v>
          </cell>
          <cell r="C85" t="str">
            <v>IMPRIMACIÓN O RIEGO DE LIGA</v>
          </cell>
          <cell r="D85" t="str">
            <v>M2</v>
          </cell>
          <cell r="E85">
            <v>16500</v>
          </cell>
          <cell r="F85"/>
          <cell r="G85">
            <v>0</v>
          </cell>
        </row>
        <row r="86">
          <cell r="B86" t="str">
            <v>M072</v>
          </cell>
          <cell r="C86" t="str">
            <v>BASE GRANULAR</v>
          </cell>
          <cell r="D86" t="str">
            <v>M3</v>
          </cell>
          <cell r="E86">
            <v>32000</v>
          </cell>
          <cell r="F86"/>
          <cell r="G86">
            <v>0</v>
          </cell>
        </row>
        <row r="87">
          <cell r="B87" t="str">
            <v>M073</v>
          </cell>
          <cell r="C87" t="str">
            <v>ESTOPA BLANCA X KILO</v>
          </cell>
          <cell r="D87" t="str">
            <v>KG</v>
          </cell>
          <cell r="E87">
            <v>8625</v>
          </cell>
          <cell r="F87"/>
          <cell r="G87">
            <v>0</v>
          </cell>
        </row>
        <row r="88">
          <cell r="B88" t="str">
            <v>M074</v>
          </cell>
          <cell r="C88" t="str">
            <v>LIMPIADOR FINAL DE OBRA X 540ML</v>
          </cell>
          <cell r="D88" t="str">
            <v>UND</v>
          </cell>
          <cell r="E88">
            <v>18630</v>
          </cell>
          <cell r="G88">
            <v>0</v>
          </cell>
        </row>
        <row r="89">
          <cell r="B89" t="str">
            <v>M075</v>
          </cell>
          <cell r="C89" t="str">
            <v>TUBO CONDUIT 1" X 3MTS</v>
          </cell>
          <cell r="D89" t="str">
            <v>UND</v>
          </cell>
          <cell r="E89">
            <v>8049.9999999999991</v>
          </cell>
          <cell r="G89">
            <v>0</v>
          </cell>
        </row>
        <row r="90">
          <cell r="B90" t="str">
            <v>M076</v>
          </cell>
          <cell r="C90" t="str">
            <v>CURVA CONDUIT PVC 1"</v>
          </cell>
          <cell r="D90" t="str">
            <v>UND</v>
          </cell>
          <cell r="E90">
            <v>632.5</v>
          </cell>
          <cell r="G90">
            <v>0</v>
          </cell>
        </row>
        <row r="91">
          <cell r="B91" t="str">
            <v>M077</v>
          </cell>
          <cell r="C91" t="str">
            <v>SOLDADURA LIQUIDA PVC (1/4 GL)</v>
          </cell>
          <cell r="D91" t="str">
            <v>G/4</v>
          </cell>
          <cell r="E91">
            <v>60949.999999999993</v>
          </cell>
          <cell r="G91">
            <v>0</v>
          </cell>
        </row>
        <row r="92">
          <cell r="B92" t="str">
            <v>M078</v>
          </cell>
          <cell r="C92" t="str">
            <v>CABLE #8 AWG</v>
          </cell>
          <cell r="D92" t="str">
            <v>M</v>
          </cell>
          <cell r="E92">
            <v>4563.2</v>
          </cell>
          <cell r="G92">
            <v>0</v>
          </cell>
        </row>
        <row r="93">
          <cell r="B93" t="str">
            <v>M079</v>
          </cell>
          <cell r="C93" t="str">
            <v>ACCESORIOS ELECTRICO CABLEADO</v>
          </cell>
          <cell r="D93" t="str">
            <v>M</v>
          </cell>
          <cell r="E93">
            <v>1380</v>
          </cell>
          <cell r="G93">
            <v>0</v>
          </cell>
        </row>
        <row r="94">
          <cell r="B94" t="str">
            <v>M080</v>
          </cell>
          <cell r="C94" t="str">
            <v>CABLE ENCAUCHETADO 2X12</v>
          </cell>
          <cell r="D94" t="str">
            <v>M</v>
          </cell>
          <cell r="E94">
            <v>4427.5</v>
          </cell>
          <cell r="G94">
            <v>0</v>
          </cell>
        </row>
        <row r="95">
          <cell r="B95" t="str">
            <v>M081</v>
          </cell>
          <cell r="C95" t="str">
            <v>CABLE ENCAUCHETADO 3X14 AWG</v>
          </cell>
          <cell r="D95" t="str">
            <v>M</v>
          </cell>
          <cell r="E95">
            <v>7415.2</v>
          </cell>
          <cell r="G95">
            <v>0</v>
          </cell>
        </row>
        <row r="96">
          <cell r="B96" t="str">
            <v>M082</v>
          </cell>
          <cell r="C96" t="str">
            <v>TUBERIA IMC 1"</v>
          </cell>
          <cell r="D96" t="str">
            <v>M</v>
          </cell>
          <cell r="E96">
            <v>22520.449999999997</v>
          </cell>
          <cell r="G96">
            <v>0</v>
          </cell>
        </row>
        <row r="97">
          <cell r="B97" t="str">
            <v>M083</v>
          </cell>
          <cell r="C97" t="str">
            <v>ACCESORIOS INST. TUBERIA IMC 1"</v>
          </cell>
          <cell r="D97" t="str">
            <v>M</v>
          </cell>
          <cell r="E97">
            <v>13799.999999999998</v>
          </cell>
          <cell r="G97">
            <v>0</v>
          </cell>
        </row>
        <row r="98">
          <cell r="B98" t="str">
            <v>M084</v>
          </cell>
          <cell r="C98" t="str">
            <v>CONECTORES ELECTRICOS</v>
          </cell>
          <cell r="D98" t="str">
            <v>UND</v>
          </cell>
          <cell r="E98">
            <v>6468.7499999999991</v>
          </cell>
          <cell r="G98">
            <v>0</v>
          </cell>
        </row>
        <row r="99">
          <cell r="B99" t="str">
            <v>M085</v>
          </cell>
          <cell r="C99" t="str">
            <v>CINTA AUTOFONDENTE</v>
          </cell>
          <cell r="D99" t="str">
            <v>UND</v>
          </cell>
          <cell r="E99">
            <v>32775</v>
          </cell>
          <cell r="G99">
            <v>0</v>
          </cell>
        </row>
        <row r="100">
          <cell r="B100" t="str">
            <v>M086</v>
          </cell>
          <cell r="C100" t="str">
            <v>CINTA AISLANTE SUPERESCOT</v>
          </cell>
          <cell r="D100" t="str">
            <v>UND</v>
          </cell>
          <cell r="E100">
            <v>15812.499999999998</v>
          </cell>
          <cell r="G100">
            <v>0</v>
          </cell>
        </row>
        <row r="101">
          <cell r="B101" t="str">
            <v>M087</v>
          </cell>
          <cell r="C101" t="str">
            <v>POSTE MET. RED. 5M 3" PINT. ELECTRO</v>
          </cell>
          <cell r="D101" t="str">
            <v>UND</v>
          </cell>
          <cell r="E101">
            <v>715875</v>
          </cell>
          <cell r="G101">
            <v>0</v>
          </cell>
        </row>
        <row r="102">
          <cell r="B102" t="str">
            <v>M088</v>
          </cell>
          <cell r="C102" t="str">
            <v>CONCRETO 3000PSI EN OBRA</v>
          </cell>
          <cell r="D102" t="str">
            <v>M3</v>
          </cell>
          <cell r="E102">
            <v>438756.05</v>
          </cell>
          <cell r="G102">
            <v>0</v>
          </cell>
        </row>
        <row r="103">
          <cell r="B103" t="str">
            <v>M089</v>
          </cell>
          <cell r="C103" t="str">
            <v>BRAZO TIPO REDONDO MEDIALUNA DOBLE</v>
          </cell>
          <cell r="D103" t="str">
            <v>UND</v>
          </cell>
          <cell r="E103">
            <v>406812.49999999994</v>
          </cell>
          <cell r="G103">
            <v>0</v>
          </cell>
        </row>
        <row r="104">
          <cell r="B104" t="str">
            <v>M090</v>
          </cell>
          <cell r="C104" t="str">
            <v>LAMPARA LED DXPRO 50W</v>
          </cell>
          <cell r="D104" t="str">
            <v>UND</v>
          </cell>
          <cell r="E104">
            <v>484362.74999999994</v>
          </cell>
          <cell r="G104">
            <v>0</v>
          </cell>
        </row>
        <row r="105">
          <cell r="B105" t="str">
            <v>M091</v>
          </cell>
          <cell r="C105" t="str">
            <v>LAMPARA LED DXPRO 60W</v>
          </cell>
          <cell r="D105" t="str">
            <v>UND</v>
          </cell>
          <cell r="E105">
            <v>683997</v>
          </cell>
          <cell r="G105">
            <v>0</v>
          </cell>
        </row>
        <row r="106">
          <cell r="B106" t="str">
            <v>M092</v>
          </cell>
          <cell r="C106" t="str">
            <v>VARILLA COPPERWELD</v>
          </cell>
          <cell r="D106" t="str">
            <v>UND</v>
          </cell>
          <cell r="E106">
            <v>201249.99999999997</v>
          </cell>
          <cell r="G106">
            <v>0</v>
          </cell>
        </row>
        <row r="107">
          <cell r="B107" t="str">
            <v>M093</v>
          </cell>
          <cell r="C107" t="str">
            <v>SOLDADURA ISOTERMICA</v>
          </cell>
          <cell r="D107" t="str">
            <v>UND</v>
          </cell>
          <cell r="E107">
            <v>31624.999999999996</v>
          </cell>
          <cell r="G107">
            <v>0</v>
          </cell>
        </row>
        <row r="108">
          <cell r="B108" t="str">
            <v>M094</v>
          </cell>
          <cell r="C108" t="str">
            <v>CABLE ENCAUCHETADO 3X14 AWG</v>
          </cell>
          <cell r="D108" t="str">
            <v>M</v>
          </cell>
          <cell r="E108">
            <v>7415.2</v>
          </cell>
          <cell r="G108">
            <v>0</v>
          </cell>
        </row>
        <row r="109">
          <cell r="B109" t="str">
            <v>M095</v>
          </cell>
          <cell r="C109" t="str">
            <v>FOTOCELDA</v>
          </cell>
          <cell r="D109" t="str">
            <v>UND</v>
          </cell>
          <cell r="E109">
            <v>27139.999999999996</v>
          </cell>
          <cell r="G109">
            <v>0</v>
          </cell>
        </row>
        <row r="110">
          <cell r="B110" t="str">
            <v>M096</v>
          </cell>
          <cell r="C110" t="str">
            <v>BASE FOTOCELDA</v>
          </cell>
          <cell r="D110" t="str">
            <v>UND</v>
          </cell>
          <cell r="E110">
            <v>7359.9999999999991</v>
          </cell>
          <cell r="G110">
            <v>0</v>
          </cell>
        </row>
        <row r="111">
          <cell r="B111" t="str">
            <v>M097</v>
          </cell>
          <cell r="C111" t="str">
            <v>CONTACTOR DE 20 A 32 A</v>
          </cell>
          <cell r="D111" t="str">
            <v>UND</v>
          </cell>
          <cell r="E111">
            <v>100164.99999999999</v>
          </cell>
          <cell r="G111">
            <v>0</v>
          </cell>
        </row>
        <row r="112">
          <cell r="B112" t="str">
            <v>M098</v>
          </cell>
          <cell r="C112" t="str">
            <v>CORAZA FOTOCELDA</v>
          </cell>
          <cell r="D112" t="str">
            <v>UND</v>
          </cell>
          <cell r="E112">
            <v>12649.999999999998</v>
          </cell>
          <cell r="G112">
            <v>0</v>
          </cell>
        </row>
        <row r="113">
          <cell r="B113" t="str">
            <v>M099</v>
          </cell>
          <cell r="C113" t="str">
            <v>CAJA TERMOPLASTICA</v>
          </cell>
          <cell r="D113" t="str">
            <v>UND</v>
          </cell>
          <cell r="E113">
            <v>37662.5</v>
          </cell>
          <cell r="G113">
            <v>0</v>
          </cell>
        </row>
        <row r="114">
          <cell r="B114" t="str">
            <v>M100</v>
          </cell>
          <cell r="C114" t="str">
            <v>HERRAJE PARA CAJ REG 30X30 CON TAPA</v>
          </cell>
          <cell r="D114" t="str">
            <v>UND</v>
          </cell>
          <cell r="E114">
            <v>57269.999999999993</v>
          </cell>
          <cell r="G114">
            <v>0</v>
          </cell>
        </row>
        <row r="115">
          <cell r="B115" t="str">
            <v>M101</v>
          </cell>
          <cell r="C115" t="str">
            <v>GEOTEXTIL NO  TEJIDO 2500 NT</v>
          </cell>
          <cell r="D115" t="str">
            <v>M2</v>
          </cell>
          <cell r="E115">
            <v>8500</v>
          </cell>
          <cell r="G115">
            <v>0</v>
          </cell>
        </row>
        <row r="116">
          <cell r="B116" t="str">
            <v>M102</v>
          </cell>
          <cell r="C116" t="str">
            <v>TUBERIA 100MM PARA FILTRO</v>
          </cell>
          <cell r="D116" t="str">
            <v>ML</v>
          </cell>
          <cell r="E116">
            <v>31500</v>
          </cell>
          <cell r="G116">
            <v>0</v>
          </cell>
        </row>
        <row r="117">
          <cell r="B117" t="str">
            <v>M103</v>
          </cell>
          <cell r="C117" t="str">
            <v>GRAVA FILTRANTE</v>
          </cell>
          <cell r="D117" t="str">
            <v>M3</v>
          </cell>
          <cell r="E117">
            <v>35000</v>
          </cell>
          <cell r="G117">
            <v>0</v>
          </cell>
        </row>
        <row r="118">
          <cell r="B118" t="str">
            <v>M104</v>
          </cell>
          <cell r="C118" t="str">
            <v>CONCRETO COLOR FC 250 KG/CM2 PREMEZCLADO</v>
          </cell>
          <cell r="D118" t="str">
            <v>M3</v>
          </cell>
          <cell r="E118">
            <v>487900</v>
          </cell>
          <cell r="G118">
            <v>0</v>
          </cell>
        </row>
        <row r="119">
          <cell r="B119" t="str">
            <v>M105</v>
          </cell>
          <cell r="C119" t="str">
            <v>PASAJUNTAS  1Ø3/4 @0,3l=,35</v>
          </cell>
          <cell r="D119" t="str">
            <v>UN</v>
          </cell>
          <cell r="E119">
            <v>60000</v>
          </cell>
          <cell r="G119">
            <v>0</v>
          </cell>
        </row>
        <row r="120">
          <cell r="B120" t="str">
            <v>M106</v>
          </cell>
          <cell r="C120" t="str">
            <v>BANCA EN CONCRETO ARQUITECTONICA TIPO MC</v>
          </cell>
          <cell r="D120" t="str">
            <v>UN</v>
          </cell>
          <cell r="E120">
            <v>1653473</v>
          </cell>
          <cell r="G120">
            <v>0</v>
          </cell>
        </row>
        <row r="121">
          <cell r="B121" t="str">
            <v>M107</v>
          </cell>
          <cell r="C121" t="str">
            <v>BANCA EN CONCRETO ARQUITECTONICA TIPO SAMBLE CON ESPALDAR</v>
          </cell>
          <cell r="D121" t="str">
            <v>UN</v>
          </cell>
          <cell r="E121">
            <v>870578</v>
          </cell>
          <cell r="G121">
            <v>0</v>
          </cell>
        </row>
        <row r="122">
          <cell r="B122" t="str">
            <v>M108</v>
          </cell>
          <cell r="C122" t="str">
            <v>BANCA EN CONCRETO ARQUITECTONICA TIPO SAMBLE SIN ESPALDAR</v>
          </cell>
          <cell r="D122" t="str">
            <v>UN</v>
          </cell>
          <cell r="E122">
            <v>1089789</v>
          </cell>
          <cell r="G122">
            <v>0</v>
          </cell>
        </row>
        <row r="123">
          <cell r="B123" t="str">
            <v>M109</v>
          </cell>
          <cell r="C123" t="str">
            <v>BOLARDO EN ACERO INOXIDABLE</v>
          </cell>
          <cell r="D123" t="str">
            <v>UN</v>
          </cell>
          <cell r="E123">
            <v>250000</v>
          </cell>
          <cell r="G123">
            <v>0</v>
          </cell>
        </row>
        <row r="124">
          <cell r="B124" t="str">
            <v>M110</v>
          </cell>
          <cell r="C124" t="str">
            <v>BICICLETERO ACERO</v>
          </cell>
          <cell r="D124" t="str">
            <v>UN</v>
          </cell>
          <cell r="E124">
            <v>850000</v>
          </cell>
          <cell r="G124">
            <v>0</v>
          </cell>
        </row>
        <row r="125">
          <cell r="B125" t="str">
            <v>M111</v>
          </cell>
          <cell r="C125" t="str">
            <v>BASURERO EN ACERO</v>
          </cell>
          <cell r="D125" t="str">
            <v>UN</v>
          </cell>
          <cell r="E125">
            <v>750000</v>
          </cell>
          <cell r="G125">
            <v>0</v>
          </cell>
        </row>
        <row r="126">
          <cell r="B126" t="str">
            <v>M112</v>
          </cell>
          <cell r="C126" t="str">
            <v>SEÑAL DE INFORMACION GEOGRFICA, TURISTICA Y PUBLICITARIA VERTICAL</v>
          </cell>
          <cell r="D126" t="str">
            <v>UN</v>
          </cell>
          <cell r="E126">
            <v>395000</v>
          </cell>
          <cell r="G126">
            <v>0</v>
          </cell>
        </row>
        <row r="127">
          <cell r="B127" t="str">
            <v>M113</v>
          </cell>
          <cell r="C127" t="str">
            <v>SEÑAL DE INFORMACION DIGITAL TIPO PUBLIC</v>
          </cell>
          <cell r="D127" t="str">
            <v>UN</v>
          </cell>
          <cell r="E127">
            <v>305000</v>
          </cell>
          <cell r="G127">
            <v>0</v>
          </cell>
        </row>
        <row r="128">
          <cell r="B128" t="str">
            <v>M114</v>
          </cell>
          <cell r="C128" t="str">
            <v>ESPECIE LLUVIA DE ORO</v>
          </cell>
          <cell r="D128" t="str">
            <v>UN</v>
          </cell>
          <cell r="E128">
            <v>22500</v>
          </cell>
          <cell r="G128">
            <v>0</v>
          </cell>
        </row>
        <row r="129">
          <cell r="B129" t="str">
            <v>M115</v>
          </cell>
          <cell r="C129" t="str">
            <v xml:space="preserve">ESPECIE VERANERA </v>
          </cell>
          <cell r="D129" t="str">
            <v>UN</v>
          </cell>
          <cell r="E129">
            <v>22500</v>
          </cell>
          <cell r="G129">
            <v>0</v>
          </cell>
        </row>
        <row r="130">
          <cell r="B130" t="str">
            <v>M116</v>
          </cell>
          <cell r="C130" t="str">
            <v>ESPECIE CROTO VICTORIA</v>
          </cell>
          <cell r="D130" t="str">
            <v>UN</v>
          </cell>
          <cell r="E130">
            <v>21600</v>
          </cell>
          <cell r="G130">
            <v>0</v>
          </cell>
        </row>
        <row r="131">
          <cell r="B131" t="str">
            <v>M117</v>
          </cell>
          <cell r="C131" t="str">
            <v>ESPECIE NIÑA BARCO</v>
          </cell>
          <cell r="D131" t="str">
            <v>UN</v>
          </cell>
          <cell r="E131">
            <v>6500</v>
          </cell>
          <cell r="G131">
            <v>0</v>
          </cell>
        </row>
        <row r="132">
          <cell r="B132" t="str">
            <v>M118</v>
          </cell>
          <cell r="C132" t="str">
            <v>ESPECIE CITA CORA</v>
          </cell>
          <cell r="D132" t="str">
            <v>UN</v>
          </cell>
          <cell r="E132">
            <v>13000</v>
          </cell>
          <cell r="G132">
            <v>0</v>
          </cell>
        </row>
        <row r="133">
          <cell r="B133" t="str">
            <v>M119</v>
          </cell>
          <cell r="C133" t="str">
            <v>ESPECIE CAHVELITA</v>
          </cell>
          <cell r="D133" t="str">
            <v>UN</v>
          </cell>
          <cell r="E133">
            <v>6500</v>
          </cell>
          <cell r="G133">
            <v>0</v>
          </cell>
        </row>
        <row r="134">
          <cell r="B134" t="str">
            <v>M120</v>
          </cell>
          <cell r="C134" t="str">
            <v>ESPECIE ROSA LAUREL</v>
          </cell>
          <cell r="D134" t="str">
            <v>UN</v>
          </cell>
          <cell r="E134">
            <v>29000</v>
          </cell>
          <cell r="G134">
            <v>0</v>
          </cell>
        </row>
        <row r="135">
          <cell r="B135" t="str">
            <v>M121</v>
          </cell>
          <cell r="C135" t="str">
            <v>BULTO TIERRA</v>
          </cell>
          <cell r="D135" t="str">
            <v>BULTO</v>
          </cell>
          <cell r="E135">
            <v>15000</v>
          </cell>
          <cell r="G135">
            <v>0</v>
          </cell>
        </row>
        <row r="136">
          <cell r="B136" t="str">
            <v>M122</v>
          </cell>
          <cell r="C136" t="str">
            <v xml:space="preserve">POSTE CONCRETO 12M </v>
          </cell>
          <cell r="D136" t="str">
            <v>UN</v>
          </cell>
          <cell r="E136">
            <v>1200000</v>
          </cell>
          <cell r="G136">
            <v>0</v>
          </cell>
        </row>
        <row r="137">
          <cell r="B137" t="str">
            <v>M123</v>
          </cell>
          <cell r="C137" t="str">
            <v>LAMPARA COMPLETA LUMNARIA LED 60 W BRAZO 3M INCLUIDA Y FOTOCELDA</v>
          </cell>
          <cell r="D137" t="str">
            <v>UN</v>
          </cell>
          <cell r="E137">
            <v>600000</v>
          </cell>
          <cell r="G137">
            <v>0</v>
          </cell>
        </row>
        <row r="138">
          <cell r="B138" t="str">
            <v>M124</v>
          </cell>
          <cell r="C138" t="str">
            <v>INSUMOS PARA MOVIMEINTO DE POSTE</v>
          </cell>
          <cell r="D138" t="str">
            <v>UN</v>
          </cell>
          <cell r="E138">
            <v>5300000</v>
          </cell>
          <cell r="G138">
            <v>0</v>
          </cell>
        </row>
        <row r="139">
          <cell r="B139" t="str">
            <v>M125</v>
          </cell>
          <cell r="C139" t="str">
            <v>FIGURA EN PARA PROTECCION EN VARILLA CUADRADA 3/4 PARA 1 ML INCLU 6 FIGURAS</v>
          </cell>
          <cell r="D139" t="str">
            <v>UN</v>
          </cell>
          <cell r="E139">
            <v>60000</v>
          </cell>
          <cell r="G139">
            <v>0</v>
          </cell>
        </row>
        <row r="140">
          <cell r="B140" t="str">
            <v>M126</v>
          </cell>
          <cell r="C140" t="str">
            <v xml:space="preserve">ESPECIE DURANTA VERDE </v>
          </cell>
          <cell r="D140" t="str">
            <v>UN</v>
          </cell>
          <cell r="E140">
            <v>4800</v>
          </cell>
          <cell r="G140">
            <v>0</v>
          </cell>
        </row>
        <row r="141">
          <cell r="B141" t="str">
            <v>M127</v>
          </cell>
          <cell r="C141" t="str">
            <v>ESPECIE DURANTA ROJA</v>
          </cell>
          <cell r="D141" t="str">
            <v>UN</v>
          </cell>
          <cell r="E141">
            <v>4800</v>
          </cell>
          <cell r="G141">
            <v>0</v>
          </cell>
        </row>
        <row r="142">
          <cell r="B142" t="str">
            <v>M128</v>
          </cell>
          <cell r="C142" t="str">
            <v>ESPECIE OITI</v>
          </cell>
          <cell r="D142" t="str">
            <v>UN</v>
          </cell>
          <cell r="E142">
            <v>33600</v>
          </cell>
          <cell r="G142">
            <v>0</v>
          </cell>
        </row>
        <row r="143">
          <cell r="B143" t="str">
            <v>M129</v>
          </cell>
          <cell r="C143" t="str">
            <v>ESPECIE NIM</v>
          </cell>
          <cell r="D143" t="str">
            <v>UN</v>
          </cell>
          <cell r="E143">
            <v>33600</v>
          </cell>
          <cell r="G143">
            <v>0</v>
          </cell>
        </row>
        <row r="144">
          <cell r="B144" t="str">
            <v>M130</v>
          </cell>
          <cell r="C144" t="str">
            <v>ESPECIE LENGUA DE SUEGRA</v>
          </cell>
          <cell r="D144" t="str">
            <v>UN</v>
          </cell>
          <cell r="E144">
            <v>18000</v>
          </cell>
          <cell r="G144">
            <v>0</v>
          </cell>
        </row>
        <row r="145">
          <cell r="B145" t="str">
            <v>M131</v>
          </cell>
          <cell r="C145" t="str">
            <v>ESPECIE HELICONIA</v>
          </cell>
          <cell r="D145" t="str">
            <v>UN</v>
          </cell>
          <cell r="E145">
            <v>11200.000000000002</v>
          </cell>
          <cell r="G145">
            <v>0</v>
          </cell>
        </row>
        <row r="146">
          <cell r="B146" t="str">
            <v>M132</v>
          </cell>
          <cell r="C146" t="str">
            <v>CASETA EN ACERO INOXIDABLE 7M2</v>
          </cell>
          <cell r="D146" t="str">
            <v>UN</v>
          </cell>
          <cell r="E146">
            <v>13000000</v>
          </cell>
          <cell r="G146">
            <v>0</v>
          </cell>
        </row>
        <row r="147">
          <cell r="B147" t="str">
            <v>M133</v>
          </cell>
          <cell r="C147" t="str">
            <v>INSUMOS PARA SERVICIOS ELECTICO ACUEDUCTO Y ALCANTARILLADO CASETA</v>
          </cell>
          <cell r="D147" t="str">
            <v>UN</v>
          </cell>
          <cell r="E147">
            <v>1050000</v>
          </cell>
          <cell r="G147">
            <v>0</v>
          </cell>
        </row>
        <row r="148">
          <cell r="G148">
            <v>5600000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B6" t="str">
            <v>M_APO</v>
          </cell>
          <cell r="C6" t="str">
            <v>MUNICIPIO DE APARTADO</v>
          </cell>
        </row>
        <row r="7">
          <cell r="C7"/>
        </row>
        <row r="8">
          <cell r="B8" t="str">
            <v>M_APO_SEC</v>
          </cell>
          <cell r="C8" t="str">
            <v>SECRETARIA DE INFRAESTRCUTURA</v>
          </cell>
        </row>
        <row r="10">
          <cell r="B10" t="str">
            <v>M_TUR</v>
          </cell>
          <cell r="C10" t="str">
            <v>MUNICIPIO DE TURBO</v>
          </cell>
        </row>
        <row r="11">
          <cell r="B11"/>
          <cell r="C11"/>
        </row>
        <row r="12">
          <cell r="B12" t="str">
            <v>M_TUR_SEC</v>
          </cell>
          <cell r="C12" t="str">
            <v>SECRETARIA DE PLANEACION Y SECRETARIA DE OBRAS PUBLICAS</v>
          </cell>
        </row>
        <row r="14">
          <cell r="B14" t="str">
            <v>M_CHIG</v>
          </cell>
          <cell r="C14" t="str">
            <v>MUNICIPIO DE CHIGOROO</v>
          </cell>
        </row>
        <row r="15">
          <cell r="B15"/>
          <cell r="C15"/>
        </row>
        <row r="16">
          <cell r="B16" t="str">
            <v>M_CHIG_SEC</v>
          </cell>
          <cell r="C16" t="str">
            <v>SECRETARIA DE PLANEACION Y SECRETARIA DE OBRAS PUBLICAS</v>
          </cell>
        </row>
      </sheetData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FLUJO1"/>
      <sheetName val="PRESUPUESTOA"/>
      <sheetName val="AIU Obra civil "/>
      <sheetName val="aiu insumos"/>
      <sheetName val="MEM"/>
      <sheetName val="PGIO"/>
      <sheetName val="PMT"/>
      <sheetName val="CRONOGRAMA "/>
      <sheetName val="MDEO ADMON"/>
      <sheetName val="prespuesto interventoria"/>
      <sheetName val="FACTOR MULTIPLICADOR"/>
      <sheetName val="PRESUPUESTO"/>
      <sheetName val="APU"/>
      <sheetName val="APU1"/>
      <sheetName val="EQUI"/>
      <sheetName val="MAT1"/>
      <sheetName val="MAT2"/>
      <sheetName val="TRAN"/>
      <sheetName val="MDEO"/>
      <sheetName val="PRESTACION"/>
      <sheetName val="DIS APU"/>
      <sheetName val="CUADRO CANTIDADES"/>
      <sheetName val="ADMON INTERVENT"/>
      <sheetName val="POLIZAS"/>
      <sheetName val="ESPECIFICACION NORMA"/>
      <sheetName val="DOTACION"/>
      <sheetName val="ESQUE"/>
      <sheetName val="LOGOS SUB REGION"/>
      <sheetName val="NORMA INV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B6" t="str">
            <v>M_APO</v>
          </cell>
          <cell r="C6" t="str">
            <v>MUNICIPIO DE APARTADO</v>
          </cell>
        </row>
        <row r="7">
          <cell r="C7"/>
        </row>
        <row r="8">
          <cell r="B8" t="str">
            <v>M_APO_SEC</v>
          </cell>
          <cell r="C8" t="str">
            <v>SECRETARIA DE INFRAESTRCUTURA</v>
          </cell>
        </row>
        <row r="10">
          <cell r="B10" t="str">
            <v>M_TUR</v>
          </cell>
          <cell r="C10" t="str">
            <v>DISTRITO DE TURBO</v>
          </cell>
        </row>
        <row r="11">
          <cell r="B11"/>
          <cell r="C11"/>
        </row>
        <row r="12">
          <cell r="B12" t="str">
            <v>M_TUR_SEC</v>
          </cell>
          <cell r="C12" t="str">
            <v>SECRETARIA DISTRITAL DE INFRAESTRUCTURA</v>
          </cell>
        </row>
        <row r="14">
          <cell r="B14" t="str">
            <v>M_CHIG</v>
          </cell>
          <cell r="C14" t="str">
            <v>MUNICIPIO DE CHIGOROO</v>
          </cell>
        </row>
        <row r="15">
          <cell r="B15"/>
          <cell r="C15"/>
        </row>
        <row r="16">
          <cell r="B16" t="str">
            <v>M_CHIG_SEC</v>
          </cell>
          <cell r="C16" t="str">
            <v>SECRETARIA DE PLANEACION Y SECRETARIA DE OBRAS PUBLICAS</v>
          </cell>
        </row>
      </sheetData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Hoja4"/>
      <sheetName val="Hoja3"/>
      <sheetName val="DIS APU"/>
      <sheetName val="FLUJO"/>
      <sheetName val="PRESUPUESTO"/>
      <sheetName val="MDEO"/>
      <sheetName val="EQUI"/>
      <sheetName val="TRAN"/>
      <sheetName val="MAT sum"/>
      <sheetName val="FLUJO (2)"/>
      <sheetName val="PRESUPUESTO (2)"/>
      <sheetName val="MDEO (2)"/>
      <sheetName val="EQUI (2)"/>
      <sheetName val="TRAN (2)"/>
      <sheetName val="MAT sum (2)"/>
      <sheetName val="MEM"/>
      <sheetName val="APU"/>
      <sheetName val="MAT mun"/>
      <sheetName val="MATsenaliza pgi"/>
      <sheetName val="ADMON OBRA"/>
      <sheetName val="CUADRO CANTIDADES"/>
      <sheetName val="ADMON INTERVENT"/>
      <sheetName val="FACTOR MULTIPLICADOR"/>
      <sheetName val="POLIZAS"/>
      <sheetName val="PRESTACION"/>
      <sheetName val="ESPECIFICACION NORMA"/>
      <sheetName val="DOTACION"/>
      <sheetName val="ESQUE"/>
      <sheetName val="LOGOS SUB REGION"/>
      <sheetName val="NORMA INVIAS"/>
      <sheetName val="CRONOGRAM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B6" t="str">
            <v>M_APO</v>
          </cell>
          <cell r="C6" t="str">
            <v>MUNICIPIO DE APARTADO</v>
          </cell>
        </row>
        <row r="7">
          <cell r="C7"/>
        </row>
        <row r="8">
          <cell r="B8" t="str">
            <v>M_APO_SEC</v>
          </cell>
          <cell r="C8" t="str">
            <v>SECRETARIA DE INFRAESTRCUTURA</v>
          </cell>
        </row>
        <row r="10">
          <cell r="B10" t="str">
            <v>M_TUR</v>
          </cell>
          <cell r="C10" t="str">
            <v>MUNICIPIO DE TURBO</v>
          </cell>
        </row>
        <row r="11">
          <cell r="B11"/>
          <cell r="C11"/>
        </row>
        <row r="12">
          <cell r="B12" t="str">
            <v>M_TUR_SEC</v>
          </cell>
          <cell r="C12" t="str">
            <v>SECRETARIA DE PLANEACION Y SECRETARIA DE OBRAS PUBLICAS</v>
          </cell>
        </row>
        <row r="14">
          <cell r="B14" t="str">
            <v>M_CHIG</v>
          </cell>
          <cell r="C14" t="str">
            <v>MUNICIPIO DE CHIGOROO</v>
          </cell>
        </row>
        <row r="15">
          <cell r="B15"/>
          <cell r="C15"/>
        </row>
        <row r="16">
          <cell r="B16" t="str">
            <v>M_CHIG_SEC</v>
          </cell>
          <cell r="C16" t="str">
            <v>SECRETARIA DE PLANEACION Y SECRETARIA DE OBRAS PUBLICAS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1&#216;1/2@,3%20AMBAS%20CARAS" TargetMode="External"/><Relationship Id="rId13" Type="http://schemas.openxmlformats.org/officeDocument/2006/relationships/hyperlink" Target="mailto:1&#216;1/2@,3%20AMBAS%20CARAS" TargetMode="External"/><Relationship Id="rId18" Type="http://schemas.openxmlformats.org/officeDocument/2006/relationships/hyperlink" Target="mailto:1&#216;1/2@,3%20AMBAS%20CARAS" TargetMode="External"/><Relationship Id="rId26" Type="http://schemas.openxmlformats.org/officeDocument/2006/relationships/drawing" Target="../drawings/drawing5.xml"/><Relationship Id="rId3" Type="http://schemas.openxmlformats.org/officeDocument/2006/relationships/hyperlink" Target="mailto:1&#216;1/2@,3%20AMBAS%20CARAS" TargetMode="External"/><Relationship Id="rId21" Type="http://schemas.openxmlformats.org/officeDocument/2006/relationships/hyperlink" Target="mailto:1&#216;1/2@,3%20AMBAS%20CARAS" TargetMode="External"/><Relationship Id="rId7" Type="http://schemas.openxmlformats.org/officeDocument/2006/relationships/hyperlink" Target="mailto:1&#216;1/2@,3%20AMBAS%20CARAS" TargetMode="External"/><Relationship Id="rId12" Type="http://schemas.openxmlformats.org/officeDocument/2006/relationships/hyperlink" Target="mailto:1&#216;1/2@,3%20AMBAS%20CARAS" TargetMode="External"/><Relationship Id="rId17" Type="http://schemas.openxmlformats.org/officeDocument/2006/relationships/hyperlink" Target="mailto:1&#216;1/2@,3%20AMBAS%20CARAS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mailto:1&#216;1/2@,3%20AMBAS%20CARAS" TargetMode="External"/><Relationship Id="rId16" Type="http://schemas.openxmlformats.org/officeDocument/2006/relationships/hyperlink" Target="mailto:1&#216;1/2@,3%20AMBAS%20CARAS" TargetMode="External"/><Relationship Id="rId20" Type="http://schemas.openxmlformats.org/officeDocument/2006/relationships/hyperlink" Target="mailto:1&#216;1/2@,3%20AMBAS%20CARAS" TargetMode="External"/><Relationship Id="rId1" Type="http://schemas.openxmlformats.org/officeDocument/2006/relationships/hyperlink" Target="mailto:1&#216;1/2@,3%20AMBAS%20CARAS" TargetMode="External"/><Relationship Id="rId6" Type="http://schemas.openxmlformats.org/officeDocument/2006/relationships/hyperlink" Target="mailto:1&#216;1/2@,3%20AMBAS%20CARAS" TargetMode="External"/><Relationship Id="rId11" Type="http://schemas.openxmlformats.org/officeDocument/2006/relationships/hyperlink" Target="mailto:1&#216;1/2@,3%20AMBAS%20CARAS" TargetMode="External"/><Relationship Id="rId24" Type="http://schemas.openxmlformats.org/officeDocument/2006/relationships/hyperlink" Target="mailto:1&#216;1/2@,3%20AMBAS%20CARAS" TargetMode="External"/><Relationship Id="rId5" Type="http://schemas.openxmlformats.org/officeDocument/2006/relationships/hyperlink" Target="mailto:1&#216;1/2@,3%20AMBAS%20CARAS" TargetMode="External"/><Relationship Id="rId15" Type="http://schemas.openxmlformats.org/officeDocument/2006/relationships/hyperlink" Target="mailto:1&#216;1/2@,3%20AMBAS%20CARAS" TargetMode="External"/><Relationship Id="rId23" Type="http://schemas.openxmlformats.org/officeDocument/2006/relationships/hyperlink" Target="mailto:1&#216;1/2@,3%20AMBAS%20CARAS" TargetMode="External"/><Relationship Id="rId10" Type="http://schemas.openxmlformats.org/officeDocument/2006/relationships/hyperlink" Target="mailto:1&#216;1/2@,3%20AMBAS%20CARAS" TargetMode="External"/><Relationship Id="rId19" Type="http://schemas.openxmlformats.org/officeDocument/2006/relationships/hyperlink" Target="mailto:1&#216;1/2@,3%20AMBAS%20CARAS" TargetMode="External"/><Relationship Id="rId4" Type="http://schemas.openxmlformats.org/officeDocument/2006/relationships/hyperlink" Target="mailto:1&#216;1/2@,3%20AMBAS%20CARAS" TargetMode="External"/><Relationship Id="rId9" Type="http://schemas.openxmlformats.org/officeDocument/2006/relationships/hyperlink" Target="mailto:1&#216;1/2@,3%20AMBAS%20CARAS" TargetMode="External"/><Relationship Id="rId14" Type="http://schemas.openxmlformats.org/officeDocument/2006/relationships/hyperlink" Target="mailto:1&#216;1/2@,3%20AMBAS%20CARAS" TargetMode="External"/><Relationship Id="rId22" Type="http://schemas.openxmlformats.org/officeDocument/2006/relationships/hyperlink" Target="mailto:1&#216;1/2@,3%20AMBAS%20CARA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61B5-A973-4655-97C9-88A49F9F74B6}">
  <sheetPr>
    <tabColor rgb="FF00CC00"/>
  </sheetPr>
  <dimension ref="A1:U83"/>
  <sheetViews>
    <sheetView showGridLines="0" view="pageBreakPreview" topLeftCell="A5" zoomScaleNormal="100" zoomScaleSheetLayoutView="100" workbookViewId="0">
      <selection activeCell="H63" sqref="H63:I63"/>
    </sheetView>
  </sheetViews>
  <sheetFormatPr baseColWidth="10" defaultColWidth="11.44140625" defaultRowHeight="10.199999999999999" x14ac:dyDescent="0.2"/>
  <cols>
    <col min="1" max="1" width="5.88671875" style="68" customWidth="1"/>
    <col min="2" max="2" width="7.5546875" style="68" customWidth="1"/>
    <col min="3" max="3" width="15.109375" style="109" customWidth="1"/>
    <col min="4" max="4" width="14.109375" style="109" customWidth="1"/>
    <col min="5" max="5" width="7.5546875" style="68" customWidth="1"/>
    <col min="6" max="6" width="9" style="68" customWidth="1"/>
    <col min="7" max="7" width="10.5546875" style="69" customWidth="1"/>
    <col min="8" max="8" width="16.77734375" style="68" customWidth="1"/>
    <col min="9" max="9" width="27.33203125" style="68" customWidth="1"/>
    <col min="10" max="10" width="16.6640625" style="68" hidden="1" customWidth="1"/>
    <col min="11" max="12" width="0" style="68" hidden="1" customWidth="1"/>
    <col min="13" max="13" width="12.88671875" style="68" hidden="1" customWidth="1"/>
    <col min="14" max="15" width="12.33203125" style="68" hidden="1" customWidth="1"/>
    <col min="16" max="18" width="0" style="68" hidden="1" customWidth="1"/>
    <col min="19" max="19" width="11.44140625" style="68"/>
    <col min="20" max="20" width="13.6640625" style="459" bestFit="1" customWidth="1"/>
    <col min="21" max="16384" width="11.44140625" style="68"/>
  </cols>
  <sheetData>
    <row r="1" spans="1:20" ht="38.25" customHeight="1" x14ac:dyDescent="0.2">
      <c r="A1" s="67"/>
      <c r="B1" s="67"/>
      <c r="C1" s="600"/>
      <c r="D1" s="600"/>
      <c r="E1" s="600"/>
      <c r="F1" s="600"/>
      <c r="G1" s="600"/>
      <c r="H1" s="600"/>
      <c r="I1" s="600"/>
      <c r="T1" s="458"/>
    </row>
    <row r="2" spans="1:20" ht="10.5" customHeight="1" x14ac:dyDescent="0.2">
      <c r="A2" s="601"/>
      <c r="B2" s="601"/>
      <c r="E2" s="236"/>
      <c r="F2" s="236"/>
      <c r="G2" s="602" t="s">
        <v>60</v>
      </c>
      <c r="H2" s="602"/>
      <c r="I2" s="602"/>
      <c r="T2" s="458"/>
    </row>
    <row r="3" spans="1:20" ht="10.5" customHeight="1" x14ac:dyDescent="0.2">
      <c r="A3" s="601"/>
      <c r="B3" s="601"/>
      <c r="E3" s="236"/>
      <c r="F3" s="600"/>
      <c r="G3" s="602" t="s">
        <v>61</v>
      </c>
      <c r="H3" s="602"/>
      <c r="I3" s="602"/>
      <c r="T3" s="458"/>
    </row>
    <row r="4" spans="1:20" ht="10.5" customHeight="1" x14ac:dyDescent="0.2">
      <c r="A4" s="601"/>
      <c r="B4" s="601"/>
      <c r="E4" s="236"/>
      <c r="F4" s="600"/>
      <c r="G4" s="603" t="s">
        <v>1061</v>
      </c>
      <c r="H4" s="603"/>
      <c r="I4" s="603"/>
      <c r="J4" s="603"/>
      <c r="T4" s="458"/>
    </row>
    <row r="5" spans="1:20" ht="10.5" customHeight="1" x14ac:dyDescent="0.2">
      <c r="A5" s="601"/>
      <c r="B5" s="601"/>
      <c r="E5" s="236"/>
      <c r="F5" s="45" t="s">
        <v>281</v>
      </c>
      <c r="G5" s="603" t="s">
        <v>1062</v>
      </c>
      <c r="H5" s="603"/>
      <c r="I5" s="603"/>
      <c r="J5" s="603"/>
      <c r="T5" s="458"/>
    </row>
    <row r="6" spans="1:20" ht="10.5" customHeight="1" x14ac:dyDescent="0.2">
      <c r="B6" s="27"/>
      <c r="F6" s="45" t="s">
        <v>280</v>
      </c>
      <c r="T6" s="458"/>
    </row>
    <row r="7" spans="1:20" x14ac:dyDescent="0.2">
      <c r="A7" s="604" t="s">
        <v>21</v>
      </c>
      <c r="B7" s="604"/>
      <c r="C7" s="605" t="str">
        <f>+G4</f>
        <v>DISTRITO DE TURBO</v>
      </c>
      <c r="D7" s="605"/>
      <c r="E7" s="604" t="s">
        <v>22</v>
      </c>
      <c r="F7" s="604"/>
      <c r="G7" s="604"/>
      <c r="H7" s="606" t="str">
        <f>+G3</f>
        <v>DEPARTAMENTO DE ANTIOQUIA</v>
      </c>
      <c r="I7" s="606"/>
      <c r="T7" s="458"/>
    </row>
    <row r="8" spans="1:20" x14ac:dyDescent="0.2">
      <c r="A8" s="2"/>
      <c r="B8" s="2"/>
      <c r="C8" s="228"/>
      <c r="D8" s="228"/>
      <c r="E8" s="3"/>
      <c r="F8" s="3"/>
      <c r="G8" s="65"/>
      <c r="H8" s="3"/>
      <c r="I8" s="3"/>
      <c r="T8" s="458"/>
    </row>
    <row r="9" spans="1:20" ht="7.5" customHeight="1" x14ac:dyDescent="0.2">
      <c r="A9" s="607" t="s">
        <v>20</v>
      </c>
      <c r="B9" s="608"/>
      <c r="C9" s="609" t="s">
        <v>116</v>
      </c>
      <c r="D9" s="609"/>
      <c r="E9" s="610" t="s">
        <v>10</v>
      </c>
      <c r="F9" s="610"/>
      <c r="G9" s="610"/>
      <c r="H9" s="611">
        <v>45152</v>
      </c>
      <c r="I9" s="611"/>
      <c r="J9" s="611"/>
      <c r="T9" s="458"/>
    </row>
    <row r="10" spans="1:20" ht="7.5" customHeight="1" x14ac:dyDescent="0.2">
      <c r="A10" s="607" t="s">
        <v>8</v>
      </c>
      <c r="B10" s="608"/>
      <c r="C10" s="241" t="s">
        <v>62</v>
      </c>
      <c r="D10" s="615" t="s">
        <v>1061</v>
      </c>
      <c r="E10" s="615"/>
      <c r="F10" s="615"/>
      <c r="G10" s="615"/>
      <c r="H10" s="615"/>
      <c r="I10" s="615"/>
      <c r="T10" s="458"/>
    </row>
    <row r="11" spans="1:20" ht="7.5" customHeight="1" x14ac:dyDescent="0.2">
      <c r="A11" s="607" t="s">
        <v>7</v>
      </c>
      <c r="B11" s="608"/>
      <c r="C11" s="241" t="s">
        <v>63</v>
      </c>
      <c r="D11" s="615" t="s">
        <v>1117</v>
      </c>
      <c r="E11" s="615"/>
      <c r="F11" s="615"/>
      <c r="G11" s="615"/>
      <c r="H11" s="615"/>
      <c r="I11" s="615"/>
      <c r="T11" s="458"/>
    </row>
    <row r="12" spans="1:20" ht="7.5" customHeight="1" x14ac:dyDescent="0.2">
      <c r="A12" s="607" t="s">
        <v>9</v>
      </c>
      <c r="B12" s="608"/>
      <c r="C12" s="241" t="s">
        <v>62</v>
      </c>
      <c r="D12" s="615" t="s">
        <v>1035</v>
      </c>
      <c r="E12" s="615"/>
      <c r="F12" s="615"/>
      <c r="G12" s="615"/>
      <c r="H12" s="615"/>
      <c r="I12" s="615"/>
      <c r="T12" s="458"/>
    </row>
    <row r="13" spans="1:20" ht="7.5" customHeight="1" x14ac:dyDescent="0.2">
      <c r="A13" s="607" t="s">
        <v>66</v>
      </c>
      <c r="B13" s="608"/>
      <c r="C13" s="241" t="s">
        <v>65</v>
      </c>
      <c r="D13" s="615" t="s">
        <v>67</v>
      </c>
      <c r="E13" s="615"/>
      <c r="F13" s="615"/>
      <c r="G13" s="615"/>
      <c r="H13" s="615"/>
      <c r="I13" s="615"/>
      <c r="T13" s="458"/>
    </row>
    <row r="14" spans="1:20" ht="7.2" customHeight="1" x14ac:dyDescent="0.2"/>
    <row r="15" spans="1:20" s="73" customFormat="1" ht="20.399999999999999" x14ac:dyDescent="0.3">
      <c r="A15" s="264" t="s">
        <v>11</v>
      </c>
      <c r="B15" s="261" t="s">
        <v>294</v>
      </c>
      <c r="C15" s="616" t="s">
        <v>35</v>
      </c>
      <c r="D15" s="616"/>
      <c r="E15" s="264" t="s">
        <v>12</v>
      </c>
      <c r="F15" s="264" t="s">
        <v>13</v>
      </c>
      <c r="G15" s="265" t="s">
        <v>119</v>
      </c>
      <c r="H15" s="264" t="s">
        <v>38</v>
      </c>
      <c r="I15" s="264" t="s">
        <v>118</v>
      </c>
      <c r="T15" s="460"/>
    </row>
    <row r="16" spans="1:20" s="73" customFormat="1" ht="16.5" customHeight="1" x14ac:dyDescent="0.3">
      <c r="A16" s="617" t="s">
        <v>122</v>
      </c>
      <c r="B16" s="617"/>
      <c r="C16" s="617"/>
      <c r="D16" s="617"/>
      <c r="E16" s="617"/>
      <c r="F16" s="617"/>
      <c r="G16" s="617"/>
      <c r="H16" s="618">
        <f>SUM(H17:H18)</f>
        <v>97493115</v>
      </c>
      <c r="I16" s="619"/>
      <c r="T16" s="460"/>
    </row>
    <row r="17" spans="1:20" s="44" customFormat="1" ht="28.5" customHeight="1" x14ac:dyDescent="0.3">
      <c r="A17" s="43" t="s">
        <v>25</v>
      </c>
      <c r="B17" s="21" t="s">
        <v>117</v>
      </c>
      <c r="C17" s="612" t="s">
        <v>1250</v>
      </c>
      <c r="D17" s="612"/>
      <c r="E17" s="43" t="s">
        <v>391</v>
      </c>
      <c r="F17" s="43">
        <f>VLOOKUP(A17,[1]MEM!$B$285:$L$286,11,FALSE)</f>
        <v>9031</v>
      </c>
      <c r="G17" s="74">
        <f>VLOOKUP(B17,[1]APU1!$B$16:$I$1290,8,FALSE)</f>
        <v>1421</v>
      </c>
      <c r="H17" s="75">
        <f>+G17*F17</f>
        <v>12833051</v>
      </c>
      <c r="I17" s="613"/>
      <c r="T17" s="461"/>
    </row>
    <row r="18" spans="1:20" s="78" customFormat="1" ht="27.6" customHeight="1" x14ac:dyDescent="0.3">
      <c r="A18" s="43" t="s">
        <v>205</v>
      </c>
      <c r="B18" s="21" t="s">
        <v>206</v>
      </c>
      <c r="C18" s="612" t="s">
        <v>1245</v>
      </c>
      <c r="D18" s="612"/>
      <c r="E18" s="43" t="str">
        <f>VLOOKUP(B18,[1]APU!$B$16:$I$1858,4,FALSE)</f>
        <v>M2</v>
      </c>
      <c r="F18" s="43">
        <f>VLOOKUP(A18,[1]MEM!$B$285:$L$4976,11,FALSE)</f>
        <v>4432</v>
      </c>
      <c r="G18" s="74">
        <f>VLOOKUP(B18,[1]APU1!$B$16:$I$1290,8,FALSE)</f>
        <v>19102</v>
      </c>
      <c r="H18" s="75">
        <f>+G18*F18</f>
        <v>84660064</v>
      </c>
      <c r="I18" s="614"/>
      <c r="T18" s="462"/>
    </row>
    <row r="19" spans="1:20" s="73" customFormat="1" ht="15" customHeight="1" x14ac:dyDescent="0.3">
      <c r="A19" s="617" t="s">
        <v>1083</v>
      </c>
      <c r="B19" s="617"/>
      <c r="C19" s="617"/>
      <c r="D19" s="617"/>
      <c r="E19" s="617"/>
      <c r="F19" s="617"/>
      <c r="G19" s="617"/>
      <c r="H19" s="618">
        <f>SUM(H20:H33)</f>
        <v>1178704341.6199999</v>
      </c>
      <c r="I19" s="619"/>
      <c r="T19" s="460"/>
    </row>
    <row r="20" spans="1:20" ht="44.25" customHeight="1" x14ac:dyDescent="0.2">
      <c r="A20" s="43" t="s">
        <v>209</v>
      </c>
      <c r="B20" s="351" t="s">
        <v>210</v>
      </c>
      <c r="C20" s="620" t="s">
        <v>1251</v>
      </c>
      <c r="D20" s="621"/>
      <c r="E20" s="43" t="str">
        <f>VLOOKUP(B20,[1]APU!$B$16:$I$1858,4,FALSE)</f>
        <v>M3</v>
      </c>
      <c r="F20" s="43">
        <f>VLOOKUP(A20,[1]MEM!$B$285:$L$4976,11,FALSE)</f>
        <v>3180</v>
      </c>
      <c r="G20" s="74">
        <f>VLOOKUP(B20,[1]APU1!$B$16:$I$1290,8,FALSE)</f>
        <v>16479</v>
      </c>
      <c r="H20" s="74">
        <f t="shared" ref="H20:H33" si="0">+G20*F20</f>
        <v>52403220</v>
      </c>
      <c r="I20" s="622"/>
    </row>
    <row r="21" spans="1:20" ht="28.5" customHeight="1" x14ac:dyDescent="0.2">
      <c r="A21" s="43" t="s">
        <v>211</v>
      </c>
      <c r="B21" s="351" t="s">
        <v>212</v>
      </c>
      <c r="C21" s="620" t="s">
        <v>1252</v>
      </c>
      <c r="D21" s="621"/>
      <c r="E21" s="43" t="str">
        <f>VLOOKUP(B21,[1]APU!$B$16:$I$1858,4,FALSE)</f>
        <v>m3</v>
      </c>
      <c r="F21" s="43">
        <f>VLOOKUP(A21,[1]MEM!$B$285:$L$4976,11,FALSE)</f>
        <v>5385</v>
      </c>
      <c r="G21" s="74">
        <f>VLOOKUP(B21,[1]APU1!$B$16:$I$1290,8,FALSE)</f>
        <v>16283</v>
      </c>
      <c r="H21" s="74">
        <f t="shared" si="0"/>
        <v>87683955</v>
      </c>
      <c r="I21" s="623"/>
    </row>
    <row r="22" spans="1:20" ht="16.5" customHeight="1" x14ac:dyDescent="0.2">
      <c r="A22" s="43" t="s">
        <v>214</v>
      </c>
      <c r="B22" s="351" t="s">
        <v>222</v>
      </c>
      <c r="C22" s="620" t="s">
        <v>1253</v>
      </c>
      <c r="D22" s="621"/>
      <c r="E22" s="43" t="str">
        <f>VLOOKUP(B22,[1]APU!$B$16:$I$1858,4,FALSE)</f>
        <v>UNIDAD</v>
      </c>
      <c r="F22" s="43">
        <f>VLOOKUP(A22,[1]MEM!$B$285:$L$4976,11,FALSE)</f>
        <v>31</v>
      </c>
      <c r="G22" s="74">
        <f>VLOOKUP(B22,[1]APU1!$B$16:$I$1290,8,FALSE)</f>
        <v>124050</v>
      </c>
      <c r="H22" s="74">
        <f t="shared" si="0"/>
        <v>3845550</v>
      </c>
      <c r="I22" s="623"/>
    </row>
    <row r="23" spans="1:20" ht="18.899999999999999" customHeight="1" x14ac:dyDescent="0.2">
      <c r="A23" s="43" t="s">
        <v>215</v>
      </c>
      <c r="B23" s="351" t="s">
        <v>223</v>
      </c>
      <c r="C23" s="620" t="s">
        <v>1254</v>
      </c>
      <c r="D23" s="621"/>
      <c r="E23" s="43" t="str">
        <f>VLOOKUP(B23,[1]APU!$B$16:$I$1858,4,FALSE)</f>
        <v>UNIDAD</v>
      </c>
      <c r="F23" s="43">
        <f>VLOOKUP(A23,[1]MEM!$B$285:$L$4976,11,FALSE)</f>
        <v>132</v>
      </c>
      <c r="G23" s="74">
        <f>VLOOKUP(B23,[1]APU1!$B$16:$I$1290,8,FALSE)</f>
        <v>433476</v>
      </c>
      <c r="H23" s="74">
        <f t="shared" si="0"/>
        <v>57218832</v>
      </c>
      <c r="I23" s="623"/>
    </row>
    <row r="24" spans="1:20" ht="16.95" customHeight="1" x14ac:dyDescent="0.2">
      <c r="A24" s="43" t="s">
        <v>217</v>
      </c>
      <c r="B24" s="351" t="s">
        <v>226</v>
      </c>
      <c r="C24" s="620" t="s">
        <v>1255</v>
      </c>
      <c r="D24" s="621"/>
      <c r="E24" s="43" t="str">
        <f>VLOOKUP(B24,[1]APU!$B$16:$I$1858,4,FALSE)</f>
        <v>UNIDAD</v>
      </c>
      <c r="F24" s="43">
        <f>VLOOKUP(A24,[1]MEM!$B$285:$L$4976,11,FALSE)</f>
        <v>165</v>
      </c>
      <c r="G24" s="74">
        <f>VLOOKUP(B24,[1]APU1!$B$16:$I$1290,8,FALSE)</f>
        <v>320240</v>
      </c>
      <c r="H24" s="74">
        <f t="shared" si="0"/>
        <v>52839600</v>
      </c>
      <c r="I24" s="623"/>
    </row>
    <row r="25" spans="1:20" ht="16.95" customHeight="1" x14ac:dyDescent="0.2">
      <c r="A25" s="43" t="s">
        <v>218</v>
      </c>
      <c r="B25" s="351" t="s">
        <v>293</v>
      </c>
      <c r="C25" s="620" t="s">
        <v>1256</v>
      </c>
      <c r="D25" s="621"/>
      <c r="E25" s="43" t="str">
        <f>VLOOKUP(B25,[1]APU!$B$16:$I$1858,4,FALSE)</f>
        <v>UNIDAD</v>
      </c>
      <c r="F25" s="43">
        <f>VLOOKUP(A25,[1]MEM!$B$285:$L$4976,11,FALSE)</f>
        <v>165</v>
      </c>
      <c r="G25" s="74">
        <f>VLOOKUP(B25,[1]APU1!$B$16:$I$1290,8,FALSE)</f>
        <v>76455</v>
      </c>
      <c r="H25" s="74">
        <f t="shared" si="0"/>
        <v>12615075</v>
      </c>
      <c r="I25" s="623"/>
    </row>
    <row r="26" spans="1:20" ht="16.95" customHeight="1" x14ac:dyDescent="0.2">
      <c r="A26" s="43" t="s">
        <v>219</v>
      </c>
      <c r="B26" s="351" t="s">
        <v>282</v>
      </c>
      <c r="C26" s="620" t="s">
        <v>1257</v>
      </c>
      <c r="D26" s="621"/>
      <c r="E26" s="43" t="str">
        <f>VLOOKUP(B26,[1]APU!$B$16:$I$1858,4,FALSE)</f>
        <v>ML</v>
      </c>
      <c r="F26" s="43">
        <f>VLOOKUP(A26,[1]MEM!$B$285:$L$4976,11,FALSE)</f>
        <v>1797</v>
      </c>
      <c r="G26" s="74">
        <f>VLOOKUP(B26,[1]APU1!$B$16:$I$1290,8,FALSE)</f>
        <v>16220</v>
      </c>
      <c r="H26" s="75">
        <f t="shared" si="0"/>
        <v>29147340</v>
      </c>
      <c r="I26" s="623"/>
    </row>
    <row r="27" spans="1:20" ht="16.95" customHeight="1" x14ac:dyDescent="0.2">
      <c r="A27" s="43" t="s">
        <v>220</v>
      </c>
      <c r="B27" s="351" t="s">
        <v>283</v>
      </c>
      <c r="C27" s="620" t="s">
        <v>1258</v>
      </c>
      <c r="D27" s="621"/>
      <c r="E27" s="43" t="str">
        <f>VLOOKUP(B27,[1]APU!$B$16:$I$1858,4,FALSE)</f>
        <v>ML</v>
      </c>
      <c r="F27" s="43">
        <f>VLOOKUP(A27,[1]MEM!$B$285:$L$4976,11,FALSE)</f>
        <v>1428.02</v>
      </c>
      <c r="G27" s="74">
        <f>VLOOKUP(B27,[1]APU1!$B$16:$I$1290,8,FALSE)</f>
        <v>18431</v>
      </c>
      <c r="H27" s="75">
        <f t="shared" si="0"/>
        <v>26319836.620000001</v>
      </c>
      <c r="I27" s="623"/>
      <c r="K27" s="68">
        <f>18*2.54</f>
        <v>45.72</v>
      </c>
    </row>
    <row r="28" spans="1:20" ht="16.95" customHeight="1" x14ac:dyDescent="0.2">
      <c r="A28" s="43" t="s">
        <v>221</v>
      </c>
      <c r="B28" s="351" t="s">
        <v>995</v>
      </c>
      <c r="C28" s="620" t="s">
        <v>1259</v>
      </c>
      <c r="D28" s="621"/>
      <c r="E28" s="43" t="str">
        <f>VLOOKUP(B28,[1]APU!$B$16:$I$1858,4,FALSE)</f>
        <v>ML</v>
      </c>
      <c r="F28" s="43">
        <f>VLOOKUP(A28,[1]MEM!$B$285:$L$4976,11,FALSE)</f>
        <v>1228.6500000000001</v>
      </c>
      <c r="G28" s="74">
        <f>VLOOKUP(B28,[1]APU1!$B$16:$I$1290,8,FALSE)</f>
        <v>18800</v>
      </c>
      <c r="H28" s="75">
        <f>+G28*F28</f>
        <v>23098620</v>
      </c>
      <c r="I28" s="623"/>
    </row>
    <row r="29" spans="1:20" ht="16.95" customHeight="1" x14ac:dyDescent="0.2">
      <c r="A29" s="43" t="s">
        <v>426</v>
      </c>
      <c r="B29" s="351" t="s">
        <v>285</v>
      </c>
      <c r="C29" s="620" t="s">
        <v>1260</v>
      </c>
      <c r="D29" s="621"/>
      <c r="E29" s="43" t="str">
        <f>VLOOKUP(B29,[1]APU!$B$16:$I$1858,4,FALSE)</f>
        <v>ML</v>
      </c>
      <c r="F29" s="43">
        <f>VLOOKUP(A29,[1]MEM!$B$285:$L$4976,11,FALSE)</f>
        <v>560</v>
      </c>
      <c r="G29" s="74">
        <f>VLOOKUP(B29,[1]APU1!$B$16:$I$1290,8,FALSE)</f>
        <v>19169</v>
      </c>
      <c r="H29" s="75">
        <f>+G29*F29</f>
        <v>10734640</v>
      </c>
      <c r="I29" s="623"/>
    </row>
    <row r="30" spans="1:20" ht="16.95" customHeight="1" x14ac:dyDescent="0.2">
      <c r="A30" s="43" t="s">
        <v>412</v>
      </c>
      <c r="B30" s="351" t="s">
        <v>416</v>
      </c>
      <c r="C30" s="620" t="s">
        <v>1261</v>
      </c>
      <c r="D30" s="621"/>
      <c r="E30" s="43" t="str">
        <f>VLOOKUP(B30,[1]APU!$B$16:$I$1858,4,FALSE)</f>
        <v>UNIDAD</v>
      </c>
      <c r="F30" s="43">
        <f>VLOOKUP(A30,[1]MEM!$B$285:$L$4976,11,FALSE)</f>
        <v>36</v>
      </c>
      <c r="G30" s="74">
        <f>VLOOKUP(B30,[1]APU1!$B$16:$I$1290,8,FALSE)</f>
        <v>1338089</v>
      </c>
      <c r="H30" s="75">
        <f t="shared" si="0"/>
        <v>48171204</v>
      </c>
      <c r="I30" s="623"/>
    </row>
    <row r="31" spans="1:20" ht="16.95" customHeight="1" x14ac:dyDescent="0.2">
      <c r="A31" s="43" t="s">
        <v>413</v>
      </c>
      <c r="B31" s="351" t="s">
        <v>284</v>
      </c>
      <c r="C31" s="620" t="s">
        <v>1262</v>
      </c>
      <c r="D31" s="621"/>
      <c r="E31" s="43" t="str">
        <f>VLOOKUP(B31,[1]APU!$B$16:$I$1858,4,FALSE)</f>
        <v>M3</v>
      </c>
      <c r="F31" s="43">
        <f>VLOOKUP(A31,[1]MEM!$B$285:$L$4976,11,FALSE)</f>
        <v>1890</v>
      </c>
      <c r="G31" s="74">
        <f>VLOOKUP(B31,[1]APU1!$B$16:$I$1290,8,FALSE)</f>
        <v>113921</v>
      </c>
      <c r="H31" s="75">
        <f t="shared" si="0"/>
        <v>215310690</v>
      </c>
      <c r="I31" s="623"/>
    </row>
    <row r="32" spans="1:20" ht="11.4" customHeight="1" x14ac:dyDescent="0.2">
      <c r="A32" s="43" t="s">
        <v>864</v>
      </c>
      <c r="B32" s="351" t="s">
        <v>429</v>
      </c>
      <c r="C32" s="620" t="s">
        <v>1263</v>
      </c>
      <c r="D32" s="621"/>
      <c r="E32" s="43" t="str">
        <f>VLOOKUP(B32,[1]APU!$B$16:$I$1858,4,FALSE)</f>
        <v>M3</v>
      </c>
      <c r="F32" s="43">
        <f>VLOOKUP(A32,[1]MEM!$B$285:$L$4976,11,FALSE)</f>
        <v>1527</v>
      </c>
      <c r="G32" s="74">
        <f>VLOOKUP(B32,[1]APU1!$B$16:$I$1290,8,FALSE)</f>
        <v>55597</v>
      </c>
      <c r="H32" s="75">
        <f t="shared" si="0"/>
        <v>84896619</v>
      </c>
      <c r="I32" s="623"/>
    </row>
    <row r="33" spans="1:11" ht="12" customHeight="1" x14ac:dyDescent="0.2">
      <c r="A33" s="43" t="s">
        <v>865</v>
      </c>
      <c r="B33" s="351" t="s">
        <v>393</v>
      </c>
      <c r="C33" s="620" t="s">
        <v>1264</v>
      </c>
      <c r="D33" s="621"/>
      <c r="E33" s="43" t="str">
        <f>VLOOKUP(B33,[1]APU!$B$16:$I$1858,4,FALSE)</f>
        <v>UNIDAD</v>
      </c>
      <c r="F33" s="43">
        <f>VLOOKUP(A33,[1]MEM!$B$285:$L$4976,11,FALSE)</f>
        <v>426</v>
      </c>
      <c r="G33" s="74">
        <f>VLOOKUP(B33,[1]APU1!$B$16:$I$1290,8,FALSE)</f>
        <v>1113660</v>
      </c>
      <c r="H33" s="75">
        <f t="shared" si="0"/>
        <v>474419160</v>
      </c>
      <c r="I33" s="624"/>
    </row>
    <row r="34" spans="1:11" ht="16.5" customHeight="1" x14ac:dyDescent="0.2">
      <c r="A34" s="617" t="s">
        <v>1084</v>
      </c>
      <c r="B34" s="617"/>
      <c r="C34" s="617"/>
      <c r="D34" s="617"/>
      <c r="E34" s="617"/>
      <c r="F34" s="617"/>
      <c r="G34" s="617"/>
      <c r="H34" s="625">
        <f>SUM(H35:H43)</f>
        <v>3368921231.4758992</v>
      </c>
      <c r="I34" s="626"/>
    </row>
    <row r="35" spans="1:11" ht="27.6" customHeight="1" x14ac:dyDescent="0.2">
      <c r="A35" s="43" t="s">
        <v>243</v>
      </c>
      <c r="B35" s="21" t="s">
        <v>245</v>
      </c>
      <c r="C35" s="627" t="s">
        <v>1398</v>
      </c>
      <c r="D35" s="628"/>
      <c r="E35" s="43" t="str">
        <f>VLOOKUP(B35,[1]APU!$B$16:$I$1858,4,FALSE)</f>
        <v>M3</v>
      </c>
      <c r="F35" s="43">
        <f>VLOOKUP(A35,[1]MEM!$B$285:$L$4976,11,FALSE)</f>
        <v>2205</v>
      </c>
      <c r="G35" s="74">
        <f>VLOOKUP(B35,[1]APU1!$B$16:$I$1290,8,FALSE)</f>
        <v>11636.979561632334</v>
      </c>
      <c r="H35" s="75">
        <f t="shared" ref="H35:H43" si="1">+G35*F35</f>
        <v>25659539.933399297</v>
      </c>
      <c r="I35" s="622"/>
    </row>
    <row r="36" spans="1:11" ht="27.9" customHeight="1" x14ac:dyDescent="0.2">
      <c r="A36" s="43" t="s">
        <v>249</v>
      </c>
      <c r="B36" s="21" t="s">
        <v>246</v>
      </c>
      <c r="C36" s="627" t="s">
        <v>1397</v>
      </c>
      <c r="D36" s="628"/>
      <c r="E36" s="43" t="str">
        <f>VLOOKUP(B36,[1]APU!$B$16:$I$1858,4,FALSE)</f>
        <v>M2</v>
      </c>
      <c r="F36" s="43">
        <f>VLOOKUP(A36,[1]MEM!$B$285:$L$4976,11,FALSE)</f>
        <v>14703</v>
      </c>
      <c r="G36" s="74">
        <f>VLOOKUP(B36,[1]APU1!$B$16:$I$1290,8,FALSE)</f>
        <v>10759</v>
      </c>
      <c r="H36" s="75">
        <f t="shared" si="1"/>
        <v>158189577</v>
      </c>
      <c r="I36" s="623"/>
    </row>
    <row r="37" spans="1:11" ht="30" customHeight="1" x14ac:dyDescent="0.2">
      <c r="A37" s="43" t="s">
        <v>253</v>
      </c>
      <c r="B37" s="21" t="s">
        <v>247</v>
      </c>
      <c r="C37" s="627" t="s">
        <v>1392</v>
      </c>
      <c r="D37" s="628"/>
      <c r="E37" s="43" t="str">
        <f>VLOOKUP(B37,[1]APU!$B$16:$I$1858,4,FALSE)</f>
        <v>M3</v>
      </c>
      <c r="F37" s="43">
        <f>VLOOKUP(A37,[1]MEM!$B$285:$L$4976,11,FALSE)</f>
        <v>2205</v>
      </c>
      <c r="G37" s="74">
        <f>VLOOKUP(B37,[1]APU1!$B$16:$I$1290,8,FALSE)</f>
        <v>124919</v>
      </c>
      <c r="H37" s="75">
        <f t="shared" si="1"/>
        <v>275446395</v>
      </c>
      <c r="I37" s="623"/>
    </row>
    <row r="38" spans="1:11" ht="39" customHeight="1" x14ac:dyDescent="0.2">
      <c r="A38" s="43" t="s">
        <v>254</v>
      </c>
      <c r="B38" s="21" t="s">
        <v>434</v>
      </c>
      <c r="C38" s="627" t="s">
        <v>1380</v>
      </c>
      <c r="D38" s="628"/>
      <c r="E38" s="43" t="str">
        <f>VLOOKUP(B38,[1]APU!$B$16:$I$1858,4,FALSE)</f>
        <v>M3</v>
      </c>
      <c r="F38" s="43">
        <f>VLOOKUP(A38,[1]MEM!$B$285:$L$4976,11,FALSE)</f>
        <v>6888</v>
      </c>
      <c r="G38" s="74">
        <f>VLOOKUP(B38,[1]APU1!$B$16:$I$1290,8,FALSE)</f>
        <v>88479</v>
      </c>
      <c r="H38" s="75">
        <f t="shared" si="1"/>
        <v>609443352</v>
      </c>
      <c r="I38" s="623"/>
    </row>
    <row r="39" spans="1:11" ht="19.95" customHeight="1" x14ac:dyDescent="0.2">
      <c r="A39" s="43" t="s">
        <v>255</v>
      </c>
      <c r="B39" s="21" t="s">
        <v>248</v>
      </c>
      <c r="C39" s="627" t="s">
        <v>1393</v>
      </c>
      <c r="D39" s="628"/>
      <c r="E39" s="43" t="str">
        <f>VLOOKUP(B39,[2]APU!$B$16:$I$2863,4,FALSE)</f>
        <v>M3</v>
      </c>
      <c r="F39" s="43">
        <f>VLOOKUP(A39,[1]MEM!$B$285:$L$4976,11,FALSE)</f>
        <v>9134</v>
      </c>
      <c r="G39" s="74">
        <f>VLOOKUP(B39,[1]APU1!$B$16:$I$1290,8,FALSE)</f>
        <v>134965</v>
      </c>
      <c r="H39" s="75">
        <f>+G39*F39</f>
        <v>1232770310</v>
      </c>
      <c r="I39" s="623"/>
      <c r="K39" s="68">
        <f>+F39/25</f>
        <v>365.36</v>
      </c>
    </row>
    <row r="40" spans="1:11" ht="22.8" customHeight="1" x14ac:dyDescent="0.2">
      <c r="A40" s="43" t="s">
        <v>256</v>
      </c>
      <c r="B40" s="21" t="s">
        <v>259</v>
      </c>
      <c r="C40" s="627" t="s">
        <v>1394</v>
      </c>
      <c r="D40" s="628"/>
      <c r="E40" s="43" t="str">
        <f>VLOOKUP(B40,[2]APU!$B$16:$I$2863,4,FALSE)</f>
        <v>KG</v>
      </c>
      <c r="F40" s="43">
        <f>VLOOKUP(A40,[1]MEM!$B$285:$L$4976,11,FALSE)</f>
        <v>13466</v>
      </c>
      <c r="G40" s="74">
        <f>VLOOKUP(B40,[1]APU1!$B$16:$I$1290,8,FALSE)</f>
        <v>2108</v>
      </c>
      <c r="H40" s="75">
        <f t="shared" si="1"/>
        <v>28386328</v>
      </c>
      <c r="I40" s="623"/>
    </row>
    <row r="41" spans="1:11" ht="20.399999999999999" customHeight="1" x14ac:dyDescent="0.2">
      <c r="A41" s="43" t="s">
        <v>258</v>
      </c>
      <c r="B41" s="21" t="s">
        <v>1602</v>
      </c>
      <c r="C41" s="627" t="s">
        <v>1391</v>
      </c>
      <c r="D41" s="628"/>
      <c r="E41" s="43" t="s">
        <v>129</v>
      </c>
      <c r="F41" s="225">
        <f>VLOOKUP(A41,[1]MEM!$B$285:$L$4976,11,FALSE)</f>
        <v>27148.241249999992</v>
      </c>
      <c r="G41" s="74">
        <f>+[1]APU1!I805</f>
        <v>20051</v>
      </c>
      <c r="H41" s="75">
        <f>+G41*F41</f>
        <v>544349385.3037498</v>
      </c>
      <c r="I41" s="623"/>
    </row>
    <row r="42" spans="1:11" ht="20.399999999999999" customHeight="1" x14ac:dyDescent="0.2">
      <c r="A42" s="43" t="s">
        <v>1233</v>
      </c>
      <c r="B42" s="21" t="s">
        <v>1602</v>
      </c>
      <c r="C42" s="627" t="s">
        <v>1395</v>
      </c>
      <c r="D42" s="628"/>
      <c r="E42" s="43" t="s">
        <v>129</v>
      </c>
      <c r="F42" s="225">
        <f>VLOOKUP(A42,[1]MEM!$B$285:$L$4976,11,FALSE)</f>
        <v>27148.241249999992</v>
      </c>
      <c r="G42" s="74">
        <f>+[1]APU1!I837</f>
        <v>14687</v>
      </c>
      <c r="H42" s="75">
        <f t="shared" si="1"/>
        <v>398726219.23874986</v>
      </c>
      <c r="I42" s="623"/>
    </row>
    <row r="43" spans="1:11" ht="21" customHeight="1" x14ac:dyDescent="0.2">
      <c r="A43" s="43" t="s">
        <v>1234</v>
      </c>
      <c r="B43" s="21" t="s">
        <v>1602</v>
      </c>
      <c r="C43" s="627" t="s">
        <v>1396</v>
      </c>
      <c r="D43" s="628"/>
      <c r="E43" s="43" t="s">
        <v>12</v>
      </c>
      <c r="F43" s="225">
        <f>VLOOKUP(A43,[1]MEM!$B$285:$L$4976,11,FALSE)</f>
        <v>5644.1249999999973</v>
      </c>
      <c r="G43" s="74">
        <v>17000</v>
      </c>
      <c r="H43" s="75">
        <f t="shared" si="1"/>
        <v>95950124.999999955</v>
      </c>
      <c r="I43" s="624"/>
    </row>
    <row r="44" spans="1:11" ht="13.5" customHeight="1" x14ac:dyDescent="0.2">
      <c r="A44" s="617" t="s">
        <v>265</v>
      </c>
      <c r="B44" s="617"/>
      <c r="C44" s="617"/>
      <c r="D44" s="617"/>
      <c r="E44" s="617"/>
      <c r="F44" s="617"/>
      <c r="G44" s="617"/>
      <c r="H44" s="618">
        <f>SUM(H45:H51)</f>
        <v>4579095928</v>
      </c>
      <c r="I44" s="619"/>
    </row>
    <row r="45" spans="1:11" ht="21" customHeight="1" x14ac:dyDescent="0.2">
      <c r="A45" s="43" t="s">
        <v>266</v>
      </c>
      <c r="B45" s="21" t="s">
        <v>273</v>
      </c>
      <c r="C45" s="620" t="s">
        <v>1399</v>
      </c>
      <c r="D45" s="621"/>
      <c r="E45" s="43" t="str">
        <f>VLOOKUP(B45,[1]APU!$B$16:$I$1858,4,FALSE)</f>
        <v>ML</v>
      </c>
      <c r="F45" s="43">
        <f>VLOOKUP(A45,[1]MEM!$B$285:$L$4976,11,FALSE)</f>
        <v>15131</v>
      </c>
      <c r="G45" s="74">
        <f>VLOOKUP(B45,[1]APU1!$B$16:$I$1290,8,FALSE)</f>
        <v>80232</v>
      </c>
      <c r="H45" s="75">
        <f t="shared" ref="H45:H50" si="2">+G45*F45</f>
        <v>1213990392</v>
      </c>
      <c r="I45" s="622"/>
    </row>
    <row r="46" spans="1:11" ht="29.4" customHeight="1" x14ac:dyDescent="0.2">
      <c r="A46" s="43" t="s">
        <v>267</v>
      </c>
      <c r="B46" s="21" t="s">
        <v>387</v>
      </c>
      <c r="C46" s="620" t="s">
        <v>1400</v>
      </c>
      <c r="D46" s="621"/>
      <c r="E46" s="43" t="str">
        <f>VLOOKUP(B46,[1]APU!$B$16:$I$1858,4,FALSE)</f>
        <v>M3</v>
      </c>
      <c r="F46" s="43">
        <f>VLOOKUP(A46,[1]MEM!$B$285:$L$4976,11,FALSE)</f>
        <v>4237</v>
      </c>
      <c r="G46" s="74">
        <f>VLOOKUP(B46,[1]APU1!$B$16:$I$1290,8,FALSE)</f>
        <v>80048</v>
      </c>
      <c r="H46" s="75">
        <f t="shared" si="2"/>
        <v>339163376</v>
      </c>
      <c r="I46" s="623"/>
    </row>
    <row r="47" spans="1:11" ht="28.2" customHeight="1" x14ac:dyDescent="0.2">
      <c r="A47" s="43" t="s">
        <v>268</v>
      </c>
      <c r="B47" s="21" t="s">
        <v>291</v>
      </c>
      <c r="C47" s="620" t="s">
        <v>1246</v>
      </c>
      <c r="D47" s="621"/>
      <c r="E47" s="43" t="str">
        <f>VLOOKUP(B47,[1]APU!$B$16:$I$1858,4,FALSE)</f>
        <v>M2</v>
      </c>
      <c r="F47" s="43">
        <f>VLOOKUP(A47,[1]MEM!$B$285:$L$4976,11,FALSE)</f>
        <v>18157</v>
      </c>
      <c r="G47" s="74">
        <f>VLOOKUP(B47,[1]APU1!$B$16:$I$1290,8,FALSE)</f>
        <v>138136</v>
      </c>
      <c r="H47" s="75">
        <f t="shared" si="2"/>
        <v>2508135352</v>
      </c>
      <c r="I47" s="623"/>
    </row>
    <row r="48" spans="1:11" ht="20.399999999999999" customHeight="1" x14ac:dyDescent="0.2">
      <c r="A48" s="43" t="s">
        <v>269</v>
      </c>
      <c r="B48" s="21" t="s">
        <v>274</v>
      </c>
      <c r="C48" s="620" t="s">
        <v>1413</v>
      </c>
      <c r="D48" s="621"/>
      <c r="E48" s="43" t="s">
        <v>26</v>
      </c>
      <c r="F48" s="43">
        <f>VLOOKUP(A48,[1]MEM!$B$285:$L$4976,11,FALSE)</f>
        <v>540</v>
      </c>
      <c r="G48" s="74">
        <f>VLOOKUP(B48,[1]APU1!$B$16:$I$1290,8,FALSE)</f>
        <v>28333</v>
      </c>
      <c r="H48" s="75">
        <f t="shared" si="2"/>
        <v>15299820</v>
      </c>
      <c r="I48" s="623"/>
    </row>
    <row r="49" spans="1:19" ht="27.75" customHeight="1" x14ac:dyDescent="0.2">
      <c r="A49" s="43" t="s">
        <v>270</v>
      </c>
      <c r="B49" s="21" t="s">
        <v>292</v>
      </c>
      <c r="C49" s="620" t="s">
        <v>1247</v>
      </c>
      <c r="D49" s="621"/>
      <c r="E49" s="43" t="str">
        <f>VLOOKUP(B49,[1]APU!$B$16:$I$1858,4,FALSE)</f>
        <v>m2</v>
      </c>
      <c r="F49" s="43">
        <f>VLOOKUP(A49,[1]MEM!$B$285:$L$4976,11,FALSE)</f>
        <v>124</v>
      </c>
      <c r="G49" s="74">
        <f>VLOOKUP(B49,[1]APU1!$B$16:$I$1290,8,FALSE)</f>
        <v>109657</v>
      </c>
      <c r="H49" s="75">
        <f t="shared" si="2"/>
        <v>13597468</v>
      </c>
      <c r="I49" s="623"/>
    </row>
    <row r="50" spans="1:19" ht="18.75" customHeight="1" x14ac:dyDescent="0.2">
      <c r="A50" s="43" t="s">
        <v>271</v>
      </c>
      <c r="B50" s="21" t="s">
        <v>439</v>
      </c>
      <c r="C50" s="620" t="s">
        <v>1248</v>
      </c>
      <c r="D50" s="621"/>
      <c r="E50" s="43" t="str">
        <f>VLOOKUP(B50,[1]APU!$B$16:$I$1858,4,FALSE)</f>
        <v>M3</v>
      </c>
      <c r="F50" s="43">
        <f>VLOOKUP(A50,[1]MEM!$B$285:$L$4976,11,FALSE)</f>
        <v>454</v>
      </c>
      <c r="G50" s="74">
        <f>VLOOKUP(B50,[1]APU1!$B$16:$I$1290,8,FALSE)</f>
        <v>603900</v>
      </c>
      <c r="H50" s="75">
        <f t="shared" si="2"/>
        <v>274170600</v>
      </c>
      <c r="I50" s="623"/>
    </row>
    <row r="51" spans="1:19" ht="27" customHeight="1" x14ac:dyDescent="0.2">
      <c r="A51" s="43" t="s">
        <v>272</v>
      </c>
      <c r="B51" s="21" t="s">
        <v>443</v>
      </c>
      <c r="C51" s="620" t="s">
        <v>1249</v>
      </c>
      <c r="D51" s="621"/>
      <c r="E51" s="43" t="str">
        <f>VLOOKUP(B51,[1]APU!$B$16:$I$1858,4,FALSE)</f>
        <v>UNIDAD</v>
      </c>
      <c r="F51" s="43">
        <f>VLOOKUP(A51,[1]MEM!$B$285:$L$4976,11,FALSE)</f>
        <v>422</v>
      </c>
      <c r="G51" s="74">
        <f>VLOOKUP(B51,[1]APU1!$B$16:$I$1290,8,FALSE)</f>
        <v>508860</v>
      </c>
      <c r="H51" s="75">
        <f>+G51*F51</f>
        <v>214738920</v>
      </c>
      <c r="I51" s="624"/>
    </row>
    <row r="52" spans="1:19" x14ac:dyDescent="0.2">
      <c r="A52" s="617" t="s">
        <v>1118</v>
      </c>
      <c r="B52" s="617"/>
      <c r="C52" s="617"/>
      <c r="D52" s="617"/>
      <c r="E52" s="617"/>
      <c r="F52" s="617"/>
      <c r="G52" s="617"/>
      <c r="H52" s="618">
        <f>SUM(H53:H59)</f>
        <v>7321947924.2211533</v>
      </c>
      <c r="I52" s="619"/>
      <c r="K52" s="190"/>
    </row>
    <row r="53" spans="1:19" ht="10.5" customHeight="1" x14ac:dyDescent="0.2">
      <c r="A53" s="472" t="s">
        <v>276</v>
      </c>
      <c r="B53" s="477" t="s">
        <v>1095</v>
      </c>
      <c r="C53" s="633" t="s">
        <v>1401</v>
      </c>
      <c r="D53" s="634"/>
      <c r="E53" s="472" t="s">
        <v>125</v>
      </c>
      <c r="F53" s="474">
        <v>7466</v>
      </c>
      <c r="G53" s="475">
        <f>+[1]APU1!F679</f>
        <v>32700</v>
      </c>
      <c r="H53" s="476">
        <f>+G53*F53</f>
        <v>244138200</v>
      </c>
      <c r="I53" s="635"/>
      <c r="K53" s="43">
        <v>14090</v>
      </c>
    </row>
    <row r="54" spans="1:19" ht="10.5" customHeight="1" x14ac:dyDescent="0.2">
      <c r="A54" s="472" t="s">
        <v>277</v>
      </c>
      <c r="B54" s="477" t="s">
        <v>1096</v>
      </c>
      <c r="C54" s="633" t="s">
        <v>1402</v>
      </c>
      <c r="D54" s="634"/>
      <c r="E54" s="472" t="s">
        <v>124</v>
      </c>
      <c r="F54" s="478">
        <f>+[1]APU1!K716</f>
        <v>9134</v>
      </c>
      <c r="G54" s="475">
        <f>+[1]APU1!F716</f>
        <v>584766</v>
      </c>
      <c r="H54" s="476">
        <f>+G54*F54</f>
        <v>5341252644</v>
      </c>
      <c r="I54" s="636"/>
      <c r="J54" s="291">
        <f>+H54/(H71)</f>
        <v>0.26079273730151953</v>
      </c>
      <c r="K54" s="225">
        <v>15659</v>
      </c>
    </row>
    <row r="55" spans="1:19" ht="10.5" customHeight="1" x14ac:dyDescent="0.2">
      <c r="A55" s="43" t="s">
        <v>278</v>
      </c>
      <c r="B55" s="21" t="s">
        <v>1094</v>
      </c>
      <c r="C55" s="620" t="s">
        <v>1403</v>
      </c>
      <c r="D55" s="621"/>
      <c r="E55" s="43" t="s">
        <v>129</v>
      </c>
      <c r="F55" s="293">
        <f>+[1]APU1!K295</f>
        <v>1797</v>
      </c>
      <c r="G55" s="74">
        <f>+[1]APU1!F295</f>
        <v>102263.16666666667</v>
      </c>
      <c r="H55" s="75">
        <f t="shared" ref="H55:H59" si="3">+G55*F55</f>
        <v>183766910.5</v>
      </c>
      <c r="I55" s="636"/>
      <c r="K55" s="225">
        <v>2838</v>
      </c>
      <c r="N55" s="68">
        <f>+F54/35</f>
        <v>260.97142857142859</v>
      </c>
    </row>
    <row r="56" spans="1:19" ht="10.5" customHeight="1" x14ac:dyDescent="0.2">
      <c r="A56" s="43" t="s">
        <v>279</v>
      </c>
      <c r="B56" s="21" t="s">
        <v>1094</v>
      </c>
      <c r="C56" s="620" t="s">
        <v>1404</v>
      </c>
      <c r="D56" s="621"/>
      <c r="E56" s="43" t="s">
        <v>129</v>
      </c>
      <c r="F56" s="242">
        <f>+[1]APU1!K330</f>
        <v>1428.02</v>
      </c>
      <c r="G56" s="74">
        <f>+[1]APU1!F330</f>
        <v>187447.5</v>
      </c>
      <c r="H56" s="75">
        <f t="shared" si="3"/>
        <v>267678778.94999999</v>
      </c>
      <c r="I56" s="636"/>
      <c r="K56" s="43">
        <v>1494</v>
      </c>
      <c r="N56" s="68">
        <f>+N55/26</f>
        <v>10.037362637362637</v>
      </c>
    </row>
    <row r="57" spans="1:19" ht="10.5" customHeight="1" x14ac:dyDescent="0.2">
      <c r="A57" s="43" t="s">
        <v>290</v>
      </c>
      <c r="B57" s="21" t="s">
        <v>1094</v>
      </c>
      <c r="C57" s="620" t="s">
        <v>1405</v>
      </c>
      <c r="D57" s="621"/>
      <c r="E57" s="43" t="s">
        <v>129</v>
      </c>
      <c r="F57" s="242">
        <f>+[1]APU1!K363</f>
        <v>1228.6500000000001</v>
      </c>
      <c r="G57" s="74">
        <f>+[1]APU1!F363</f>
        <v>242088.5</v>
      </c>
      <c r="H57" s="75">
        <f t="shared" si="3"/>
        <v>297442035.52500004</v>
      </c>
      <c r="I57" s="636"/>
      <c r="K57" s="43">
        <v>2022</v>
      </c>
    </row>
    <row r="58" spans="1:19" ht="10.5" customHeight="1" x14ac:dyDescent="0.2">
      <c r="A58" s="43" t="s">
        <v>452</v>
      </c>
      <c r="B58" s="21" t="s">
        <v>1094</v>
      </c>
      <c r="C58" s="620" t="s">
        <v>1406</v>
      </c>
      <c r="D58" s="621"/>
      <c r="E58" s="43" t="s">
        <v>129</v>
      </c>
      <c r="F58" s="242">
        <f>+[1]APU1!K396</f>
        <v>560</v>
      </c>
      <c r="G58" s="74">
        <f>+[1]APU1!F396</f>
        <v>448153.84615384613</v>
      </c>
      <c r="H58" s="75">
        <f t="shared" si="3"/>
        <v>250966153.84615383</v>
      </c>
      <c r="I58" s="636"/>
      <c r="K58" s="43">
        <v>669.5</v>
      </c>
    </row>
    <row r="59" spans="1:19" ht="10.5" customHeight="1" x14ac:dyDescent="0.2">
      <c r="A59" s="472" t="s">
        <v>453</v>
      </c>
      <c r="B59" s="473" t="s">
        <v>1093</v>
      </c>
      <c r="C59" s="638" t="s">
        <v>1407</v>
      </c>
      <c r="D59" s="638"/>
      <c r="E59" s="472" t="s">
        <v>123</v>
      </c>
      <c r="F59" s="474">
        <v>106567.8</v>
      </c>
      <c r="G59" s="475">
        <f>+[1]APU1!F433</f>
        <v>6913</v>
      </c>
      <c r="H59" s="476">
        <f t="shared" si="3"/>
        <v>736703201.39999998</v>
      </c>
      <c r="I59" s="636"/>
      <c r="K59" s="43">
        <v>158595.79999999999</v>
      </c>
    </row>
    <row r="60" spans="1:19" ht="12" customHeight="1" x14ac:dyDescent="0.2">
      <c r="A60" s="292"/>
      <c r="H60" s="81"/>
      <c r="I60" s="637"/>
    </row>
    <row r="61" spans="1:19" ht="12" customHeight="1" x14ac:dyDescent="0.2">
      <c r="A61" s="629" t="s">
        <v>1119</v>
      </c>
      <c r="B61" s="630"/>
      <c r="C61" s="630"/>
      <c r="D61" s="630"/>
      <c r="E61" s="630"/>
      <c r="F61" s="630"/>
      <c r="G61" s="631"/>
      <c r="H61" s="632">
        <f>+H44+H34+H19+H16</f>
        <v>9224214616.0958977</v>
      </c>
      <c r="I61" s="632"/>
      <c r="J61" s="217">
        <f>+[1]PRESUPUESTO!H51-'PRESUPUESTO GENERAL '!H61</f>
        <v>5013555786.184103</v>
      </c>
    </row>
    <row r="62" spans="1:19" ht="12" customHeight="1" x14ac:dyDescent="0.2">
      <c r="A62" s="629" t="s">
        <v>1121</v>
      </c>
      <c r="B62" s="630"/>
      <c r="C62" s="630"/>
      <c r="D62" s="630"/>
      <c r="E62" s="630"/>
      <c r="F62" s="630"/>
      <c r="G62" s="631"/>
      <c r="H62" s="632">
        <f>+H52</f>
        <v>7321947924.2211533</v>
      </c>
      <c r="I62" s="632"/>
      <c r="J62" s="217">
        <f>+[1]PRESUPUESTO!H52-'PRESUPUESTO GENERAL '!H62</f>
        <v>-7037192516.1755533</v>
      </c>
    </row>
    <row r="63" spans="1:19" ht="12.6" customHeight="1" x14ac:dyDescent="0.2">
      <c r="A63" s="639" t="s">
        <v>1120</v>
      </c>
      <c r="B63" s="640"/>
      <c r="C63" s="640"/>
      <c r="D63" s="640"/>
      <c r="E63" s="640"/>
      <c r="F63" s="641"/>
      <c r="G63" s="321">
        <f>+H63/H61</f>
        <v>0.29111459876224932</v>
      </c>
      <c r="H63" s="642">
        <f>+'[1]AIU Obra civil '!H46:J46</f>
        <v>2685303536.8616328</v>
      </c>
      <c r="I63" s="643"/>
      <c r="N63" s="68">
        <f>+'[1]AIU Obra civil '!H42</f>
        <v>2224092806.056838</v>
      </c>
      <c r="O63" s="68">
        <f>+N63/H61</f>
        <v>0.24111459876224933</v>
      </c>
    </row>
    <row r="64" spans="1:19" ht="12.6" customHeight="1" x14ac:dyDescent="0.2">
      <c r="A64" s="639" t="s">
        <v>1122</v>
      </c>
      <c r="B64" s="640"/>
      <c r="C64" s="640"/>
      <c r="D64" s="640"/>
      <c r="E64" s="640"/>
      <c r="F64" s="641"/>
      <c r="G64" s="356">
        <f>+H64/H62</f>
        <v>0.11608930367920431</v>
      </c>
      <c r="H64" s="642">
        <f>+'[1]aiu insumos'!J32</f>
        <v>849999836.09822905</v>
      </c>
      <c r="I64" s="643"/>
      <c r="M64" s="217"/>
      <c r="N64" s="68">
        <f>+'[1]AIU Obra civil '!H43</f>
        <v>0</v>
      </c>
      <c r="O64" s="68">
        <f>+N64/H63</f>
        <v>0</v>
      </c>
      <c r="S64" s="492">
        <v>0.29111459876224932</v>
      </c>
    </row>
    <row r="65" spans="1:21" x14ac:dyDescent="0.2">
      <c r="A65" s="629" t="s">
        <v>1123</v>
      </c>
      <c r="B65" s="630"/>
      <c r="C65" s="630"/>
      <c r="D65" s="630"/>
      <c r="E65" s="630"/>
      <c r="F65" s="630"/>
      <c r="G65" s="631"/>
      <c r="H65" s="644">
        <f>+H61+H62+H63+H64</f>
        <v>20081465913.276913</v>
      </c>
      <c r="I65" s="644"/>
      <c r="J65" s="217" t="e">
        <f>+#REF!</f>
        <v>#REF!</v>
      </c>
      <c r="K65" s="190"/>
      <c r="S65" s="294">
        <v>0.116089303679204</v>
      </c>
      <c r="U65" s="217"/>
    </row>
    <row r="66" spans="1:21" x14ac:dyDescent="0.2">
      <c r="A66" s="203"/>
      <c r="B66" s="203"/>
      <c r="C66" s="323"/>
      <c r="D66" s="323"/>
      <c r="E66" s="203"/>
      <c r="F66" s="203"/>
      <c r="G66" s="203"/>
      <c r="H66" s="204"/>
      <c r="I66" s="204"/>
      <c r="J66" s="217" t="e">
        <f>+J65+#REF!</f>
        <v>#REF!</v>
      </c>
      <c r="K66" s="190"/>
      <c r="U66" s="217"/>
    </row>
    <row r="67" spans="1:21" ht="12" customHeight="1" x14ac:dyDescent="0.2">
      <c r="A67" s="645" t="s">
        <v>1088</v>
      </c>
      <c r="B67" s="646"/>
      <c r="C67" s="646"/>
      <c r="D67" s="646"/>
      <c r="E67" s="646"/>
      <c r="F67" s="646"/>
      <c r="G67" s="647"/>
      <c r="H67" s="648">
        <f>+[1]PGIO!J85</f>
        <v>211312090</v>
      </c>
      <c r="I67" s="648"/>
      <c r="U67" s="217"/>
    </row>
    <row r="68" spans="1:21" ht="5.4" customHeight="1" x14ac:dyDescent="0.2">
      <c r="A68" s="243"/>
      <c r="B68" s="244"/>
      <c r="C68" s="324"/>
      <c r="D68" s="324"/>
      <c r="E68" s="244"/>
      <c r="F68" s="244"/>
      <c r="G68" s="259"/>
      <c r="H68" s="245"/>
      <c r="I68" s="246"/>
      <c r="U68" s="217"/>
    </row>
    <row r="69" spans="1:21" ht="12" customHeight="1" x14ac:dyDescent="0.2">
      <c r="A69" s="645" t="s">
        <v>1089</v>
      </c>
      <c r="B69" s="646"/>
      <c r="C69" s="646"/>
      <c r="D69" s="646"/>
      <c r="E69" s="646"/>
      <c r="F69" s="646"/>
      <c r="G69" s="647"/>
      <c r="H69" s="644">
        <f>+[1]PMT!J30</f>
        <v>188055547.79176003</v>
      </c>
      <c r="I69" s="644"/>
      <c r="U69" s="217"/>
    </row>
    <row r="70" spans="1:21" ht="5.4" customHeight="1" x14ac:dyDescent="0.2">
      <c r="A70" s="243"/>
      <c r="B70" s="244"/>
      <c r="C70" s="324"/>
      <c r="D70" s="324"/>
      <c r="E70" s="244"/>
      <c r="F70" s="244"/>
      <c r="G70" s="259"/>
      <c r="H70" s="245"/>
      <c r="I70" s="246"/>
      <c r="U70" s="217"/>
    </row>
    <row r="71" spans="1:21" x14ac:dyDescent="0.2">
      <c r="A71" s="629" t="s">
        <v>203</v>
      </c>
      <c r="B71" s="630"/>
      <c r="C71" s="630"/>
      <c r="D71" s="630"/>
      <c r="E71" s="630"/>
      <c r="F71" s="630"/>
      <c r="G71" s="631"/>
      <c r="H71" s="649">
        <f>+H65+H67+H69</f>
        <v>20480833551.068672</v>
      </c>
      <c r="I71" s="650"/>
      <c r="J71" s="199">
        <f>+H71/F17</f>
        <v>2267836.7346992218</v>
      </c>
      <c r="N71" s="68">
        <f>+H71/F17</f>
        <v>2267836.7346992218</v>
      </c>
      <c r="U71" s="217"/>
    </row>
    <row r="72" spans="1:21" x14ac:dyDescent="0.2">
      <c r="A72" s="44"/>
      <c r="B72" s="116"/>
      <c r="C72" s="250"/>
      <c r="D72" s="250"/>
      <c r="E72" s="44"/>
      <c r="F72" s="44"/>
      <c r="G72" s="205"/>
      <c r="H72" s="206"/>
      <c r="I72" s="204"/>
      <c r="U72" s="217"/>
    </row>
    <row r="73" spans="1:21" x14ac:dyDescent="0.2">
      <c r="A73" s="629" t="s">
        <v>861</v>
      </c>
      <c r="B73" s="630"/>
      <c r="C73" s="630"/>
      <c r="D73" s="630"/>
      <c r="E73" s="630"/>
      <c r="F73" s="630"/>
      <c r="G73" s="631"/>
      <c r="H73" s="649">
        <f>+H71*0.05-34103599</f>
        <v>989938078.55343366</v>
      </c>
      <c r="I73" s="651"/>
      <c r="J73" s="68">
        <f>+'[1]prespuesto interventoria'!J34</f>
        <v>0</v>
      </c>
      <c r="U73" s="217"/>
    </row>
    <row r="74" spans="1:21" x14ac:dyDescent="0.2">
      <c r="A74" s="44"/>
      <c r="B74" s="116"/>
      <c r="C74" s="250"/>
      <c r="D74" s="250"/>
      <c r="E74" s="44"/>
      <c r="F74" s="44"/>
      <c r="G74" s="205"/>
      <c r="H74" s="206"/>
      <c r="I74" s="204"/>
      <c r="U74" s="217"/>
    </row>
    <row r="75" spans="1:21" x14ac:dyDescent="0.2">
      <c r="A75" s="629" t="s">
        <v>203</v>
      </c>
      <c r="B75" s="630"/>
      <c r="C75" s="630"/>
      <c r="D75" s="630"/>
      <c r="E75" s="630"/>
      <c r="F75" s="630"/>
      <c r="G75" s="631"/>
      <c r="H75" s="649">
        <f>+H73+H71</f>
        <v>21470771629.622105</v>
      </c>
      <c r="I75" s="650"/>
      <c r="J75" s="199"/>
      <c r="M75" s="199"/>
      <c r="N75" s="199">
        <v>19000612959.045135</v>
      </c>
      <c r="U75" s="217"/>
    </row>
    <row r="76" spans="1:21" ht="10.8" thickBot="1" x14ac:dyDescent="0.25">
      <c r="H76" s="81"/>
      <c r="I76" s="81"/>
    </row>
    <row r="77" spans="1:21" ht="19.95" customHeight="1" thickBot="1" x14ac:dyDescent="0.25">
      <c r="H77" s="480" t="s">
        <v>1543</v>
      </c>
      <c r="I77" s="481">
        <v>19000612958.773113</v>
      </c>
    </row>
    <row r="78" spans="1:21" ht="21.6" customHeight="1" thickBot="1" x14ac:dyDescent="0.25">
      <c r="C78" s="68"/>
      <c r="D78" s="68"/>
      <c r="E78" s="652" t="s">
        <v>1546</v>
      </c>
      <c r="F78" s="653"/>
      <c r="G78" s="68"/>
      <c r="H78" s="480" t="s">
        <v>1544</v>
      </c>
      <c r="I78" s="481">
        <f>+H75</f>
        <v>21470771629.622105</v>
      </c>
      <c r="S78" s="479"/>
    </row>
    <row r="79" spans="1:21" ht="10.8" thickBot="1" x14ac:dyDescent="0.25">
      <c r="B79" s="68" t="s">
        <v>1551</v>
      </c>
      <c r="E79" s="484" t="s">
        <v>1547</v>
      </c>
      <c r="F79" s="485">
        <v>0.05</v>
      </c>
    </row>
    <row r="80" spans="1:21" ht="10.8" thickBot="1" x14ac:dyDescent="0.25">
      <c r="B80" s="68" t="s">
        <v>1552</v>
      </c>
      <c r="E80" s="484" t="s">
        <v>1548</v>
      </c>
      <c r="F80" s="485">
        <v>0.05</v>
      </c>
      <c r="H80" s="480" t="s">
        <v>1555</v>
      </c>
      <c r="I80" s="488">
        <f>+I78/I77</f>
        <v>1.1300041570347577</v>
      </c>
    </row>
    <row r="81" spans="2:15" ht="10.8" thickBot="1" x14ac:dyDescent="0.25">
      <c r="B81" s="68" t="s">
        <v>1553</v>
      </c>
      <c r="E81" s="484" t="s">
        <v>1549</v>
      </c>
      <c r="F81" s="485">
        <v>0.01</v>
      </c>
    </row>
    <row r="82" spans="2:15" ht="10.8" thickBot="1" x14ac:dyDescent="0.25">
      <c r="E82" s="484" t="s">
        <v>1550</v>
      </c>
      <c r="F82" s="485">
        <v>0.02</v>
      </c>
      <c r="H82" s="482" t="s">
        <v>1545</v>
      </c>
      <c r="I82" s="483">
        <f>+I78-I77</f>
        <v>2470158670.8489914</v>
      </c>
    </row>
    <row r="83" spans="2:15" ht="10.8" thickBot="1" x14ac:dyDescent="0.25">
      <c r="B83" s="68" t="s">
        <v>1554</v>
      </c>
      <c r="E83" s="486" t="s">
        <v>1542</v>
      </c>
      <c r="F83" s="487">
        <v>0.13</v>
      </c>
      <c r="O83" s="294">
        <f>0.04*0.19</f>
        <v>7.6E-3</v>
      </c>
    </row>
  </sheetData>
  <mergeCells count="99">
    <mergeCell ref="A75:G75"/>
    <mergeCell ref="H75:I75"/>
    <mergeCell ref="E78:F78"/>
    <mergeCell ref="A69:G69"/>
    <mergeCell ref="H69:I69"/>
    <mergeCell ref="A71:G71"/>
    <mergeCell ref="H71:I71"/>
    <mergeCell ref="A73:G73"/>
    <mergeCell ref="H73:I73"/>
    <mergeCell ref="A64:F64"/>
    <mergeCell ref="H64:I64"/>
    <mergeCell ref="A65:G65"/>
    <mergeCell ref="H65:I65"/>
    <mergeCell ref="A67:G67"/>
    <mergeCell ref="H67:I67"/>
    <mergeCell ref="C59:D59"/>
    <mergeCell ref="A61:G61"/>
    <mergeCell ref="H61:I61"/>
    <mergeCell ref="A63:F63"/>
    <mergeCell ref="H63:I63"/>
    <mergeCell ref="A44:G44"/>
    <mergeCell ref="H44:I44"/>
    <mergeCell ref="A62:G62"/>
    <mergeCell ref="H62:I62"/>
    <mergeCell ref="C49:D49"/>
    <mergeCell ref="C50:D50"/>
    <mergeCell ref="C51:D51"/>
    <mergeCell ref="A52:G52"/>
    <mergeCell ref="H52:I52"/>
    <mergeCell ref="C53:D53"/>
    <mergeCell ref="I53:I60"/>
    <mergeCell ref="C54:D54"/>
    <mergeCell ref="C55:D55"/>
    <mergeCell ref="C56:D56"/>
    <mergeCell ref="C57:D57"/>
    <mergeCell ref="C58:D58"/>
    <mergeCell ref="C45:D45"/>
    <mergeCell ref="I45:I51"/>
    <mergeCell ref="C46:D46"/>
    <mergeCell ref="C47:D47"/>
    <mergeCell ref="C48:D48"/>
    <mergeCell ref="C33:D33"/>
    <mergeCell ref="A34:G34"/>
    <mergeCell ref="H34:I34"/>
    <mergeCell ref="C35:D35"/>
    <mergeCell ref="I35:I43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A19:G19"/>
    <mergeCell ref="H19:I19"/>
    <mergeCell ref="C20:D20"/>
    <mergeCell ref="I20:I33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17:D17"/>
    <mergeCell ref="I17:I18"/>
    <mergeCell ref="C18:D18"/>
    <mergeCell ref="A10:B10"/>
    <mergeCell ref="D10:I10"/>
    <mergeCell ref="A11:B11"/>
    <mergeCell ref="D11:I11"/>
    <mergeCell ref="A12:B12"/>
    <mergeCell ref="D12:I12"/>
    <mergeCell ref="A13:B13"/>
    <mergeCell ref="D13:I13"/>
    <mergeCell ref="C15:D15"/>
    <mergeCell ref="A16:G16"/>
    <mergeCell ref="H16:I16"/>
    <mergeCell ref="A7:B7"/>
    <mergeCell ref="C7:D7"/>
    <mergeCell ref="E7:G7"/>
    <mergeCell ref="H7:I7"/>
    <mergeCell ref="A9:B9"/>
    <mergeCell ref="C9:D9"/>
    <mergeCell ref="E9:G9"/>
    <mergeCell ref="H9:J9"/>
    <mergeCell ref="C1:I1"/>
    <mergeCell ref="A2:B5"/>
    <mergeCell ref="G2:I2"/>
    <mergeCell ref="F3:F4"/>
    <mergeCell ref="G3:I3"/>
    <mergeCell ref="G4:J4"/>
    <mergeCell ref="G5:J5"/>
  </mergeCells>
  <hyperlinks>
    <hyperlink ref="B17" location="'ESPECIFICACION NORMA'!B16" display="PAR_01" xr:uid="{955E8A4D-7EC2-47B0-A26A-9198774EA671}"/>
    <hyperlink ref="B18" location="'ESPECIFICACION NORMA'!B37" display="201.3-13" xr:uid="{C9892940-D6C9-4F0B-8997-CF0C059B749C}"/>
  </hyperlinks>
  <printOptions horizontalCentered="1"/>
  <pageMargins left="0.61" right="0.22" top="0.37" bottom="0.62" header="0.24" footer="0.55000000000000004"/>
  <pageSetup scale="90" orientation="portrait" r:id="rId1"/>
  <headerFooter>
    <oddFooter xml:space="preserve">&amp;L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0"/>
  <sheetViews>
    <sheetView showGridLines="0" zoomScaleNormal="100" zoomScaleSheetLayoutView="120" workbookViewId="0">
      <selection activeCell="H34" sqref="H34"/>
    </sheetView>
  </sheetViews>
  <sheetFormatPr baseColWidth="10" defaultColWidth="11.5546875" defaultRowHeight="10.199999999999999" x14ac:dyDescent="0.2"/>
  <cols>
    <col min="1" max="1" width="6.88671875" style="68" customWidth="1"/>
    <col min="2" max="2" width="7.88671875" style="68" customWidth="1"/>
    <col min="3" max="3" width="23" style="68" customWidth="1"/>
    <col min="4" max="8" width="9" style="68" customWidth="1"/>
    <col min="9" max="9" width="6.6640625" style="68" customWidth="1"/>
    <col min="10" max="10" width="11.33203125" style="68" customWidth="1"/>
    <col min="11" max="16384" width="11.5546875" style="68"/>
  </cols>
  <sheetData>
    <row r="1" spans="1:19" s="227" customFormat="1" ht="38.25" customHeight="1" x14ac:dyDescent="0.3">
      <c r="A1" s="224"/>
      <c r="B1" s="224"/>
      <c r="C1" s="224"/>
      <c r="D1" s="701"/>
      <c r="E1" s="701"/>
      <c r="F1" s="701"/>
      <c r="G1" s="701"/>
      <c r="H1" s="701"/>
      <c r="I1" s="701"/>
      <c r="J1" s="226"/>
    </row>
    <row r="2" spans="1:19" s="227" customFormat="1" ht="9.75" customHeight="1" x14ac:dyDescent="0.3">
      <c r="A2" s="705"/>
      <c r="B2" s="705"/>
      <c r="C2" s="705"/>
      <c r="D2" s="705"/>
      <c r="F2" s="237"/>
      <c r="G2" s="603" t="s">
        <v>60</v>
      </c>
      <c r="H2" s="603"/>
      <c r="I2" s="603"/>
      <c r="J2" s="603"/>
    </row>
    <row r="3" spans="1:19" s="227" customFormat="1" ht="9.75" customHeight="1" x14ac:dyDescent="0.3">
      <c r="A3" s="705"/>
      <c r="B3" s="705"/>
      <c r="C3" s="705"/>
      <c r="D3" s="705"/>
      <c r="F3" s="237"/>
      <c r="G3" s="603" t="s">
        <v>61</v>
      </c>
      <c r="H3" s="603"/>
      <c r="I3" s="603"/>
      <c r="J3" s="603"/>
    </row>
    <row r="4" spans="1:19" s="227" customFormat="1" ht="9.75" customHeight="1" x14ac:dyDescent="0.2">
      <c r="A4" s="705"/>
      <c r="B4" s="705"/>
      <c r="F4" s="168" t="s">
        <v>281</v>
      </c>
      <c r="G4" s="603" t="s">
        <v>1061</v>
      </c>
      <c r="H4" s="603"/>
      <c r="I4" s="603"/>
      <c r="J4" s="603"/>
      <c r="M4" s="237"/>
      <c r="N4" s="237"/>
      <c r="O4" s="237"/>
      <c r="P4" s="237"/>
      <c r="Q4" s="237"/>
      <c r="R4" s="237"/>
      <c r="S4" s="237"/>
    </row>
    <row r="5" spans="1:19" s="227" customFormat="1" ht="9.75" customHeight="1" x14ac:dyDescent="0.2">
      <c r="A5" s="705"/>
      <c r="B5" s="705"/>
      <c r="F5" s="168" t="s">
        <v>280</v>
      </c>
      <c r="G5" s="603" t="s">
        <v>1062</v>
      </c>
      <c r="H5" s="603"/>
      <c r="I5" s="603"/>
      <c r="J5" s="603"/>
      <c r="M5" s="237"/>
      <c r="N5" s="237"/>
      <c r="O5" s="237"/>
      <c r="P5" s="237"/>
      <c r="Q5" s="237"/>
      <c r="R5" s="237"/>
      <c r="S5" s="237"/>
    </row>
    <row r="6" spans="1:19" s="227" customFormat="1" ht="10.5" customHeight="1" x14ac:dyDescent="0.3">
      <c r="B6" s="155"/>
      <c r="C6" s="155"/>
      <c r="I6" s="226"/>
      <c r="J6" s="226"/>
      <c r="M6" s="237"/>
      <c r="N6" s="237"/>
      <c r="O6" s="237"/>
      <c r="P6" s="237"/>
      <c r="Q6" s="237"/>
      <c r="R6" s="237"/>
      <c r="S6" s="237"/>
    </row>
    <row r="7" spans="1:19" s="227" customFormat="1" ht="12" customHeight="1" x14ac:dyDescent="0.3">
      <c r="A7" s="706" t="s">
        <v>21</v>
      </c>
      <c r="B7" s="706"/>
      <c r="C7" s="707" t="str">
        <f>+G4</f>
        <v>DISTRITO DE TURBO</v>
      </c>
      <c r="D7" s="707"/>
      <c r="E7" s="707" t="s">
        <v>22</v>
      </c>
      <c r="F7" s="707"/>
      <c r="G7" s="707"/>
      <c r="H7" s="707" t="str">
        <f>+G3</f>
        <v>DEPARTAMENTO DE ANTIOQUIA</v>
      </c>
      <c r="I7" s="707"/>
      <c r="J7" s="707"/>
      <c r="M7" s="237"/>
      <c r="N7" s="237"/>
      <c r="O7" s="237"/>
      <c r="P7" s="237"/>
      <c r="Q7" s="237"/>
      <c r="R7" s="237"/>
      <c r="S7" s="237"/>
    </row>
    <row r="8" spans="1:19" s="227" customFormat="1" ht="7.2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226"/>
    </row>
    <row r="9" spans="1:19" s="227" customFormat="1" ht="10.199999999999999" customHeight="1" x14ac:dyDescent="0.3">
      <c r="A9" s="706" t="s">
        <v>20</v>
      </c>
      <c r="B9" s="706"/>
      <c r="C9" s="707" t="s">
        <v>385</v>
      </c>
      <c r="D9" s="707"/>
      <c r="E9" s="708" t="s">
        <v>10</v>
      </c>
      <c r="F9" s="708"/>
      <c r="G9" s="708"/>
      <c r="H9" s="611">
        <f>'AJUSTE PRESUPUESTO'!H9</f>
        <v>45152</v>
      </c>
      <c r="I9" s="611"/>
      <c r="J9" s="611"/>
      <c r="K9" s="238"/>
    </row>
    <row r="10" spans="1:19" s="227" customFormat="1" ht="10.199999999999999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</row>
    <row r="11" spans="1:19" s="227" customFormat="1" ht="18.600000000000001" customHeight="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</row>
    <row r="12" spans="1:19" s="227" customFormat="1" ht="12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</row>
    <row r="13" spans="1:19" s="227" customFormat="1" ht="12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</row>
    <row r="14" spans="1:19" s="227" customFormat="1" ht="12" customHeight="1" x14ac:dyDescent="0.3">
      <c r="A14" s="706"/>
      <c r="B14" s="706"/>
      <c r="C14" s="707"/>
      <c r="D14" s="707"/>
      <c r="E14" s="707"/>
      <c r="F14" s="707"/>
      <c r="G14" s="707"/>
      <c r="H14" s="707"/>
      <c r="I14" s="707"/>
      <c r="J14" s="226"/>
    </row>
    <row r="15" spans="1:19" s="227" customFormat="1" ht="12" customHeight="1" x14ac:dyDescent="0.3">
      <c r="A15" s="605" t="s">
        <v>1078</v>
      </c>
      <c r="B15" s="605"/>
      <c r="C15" s="605"/>
      <c r="D15" s="605"/>
      <c r="E15" s="605"/>
      <c r="F15" s="605"/>
      <c r="G15" s="605"/>
      <c r="H15" s="605"/>
      <c r="I15" s="605"/>
      <c r="J15" s="605"/>
    </row>
    <row r="16" spans="1:19" s="111" customFormat="1" ht="20.399999999999999" customHeight="1" x14ac:dyDescent="0.3">
      <c r="A16" s="71" t="s">
        <v>72</v>
      </c>
      <c r="B16" s="71" t="s">
        <v>75</v>
      </c>
      <c r="C16" s="110" t="s">
        <v>35</v>
      </c>
      <c r="D16" s="110" t="s">
        <v>1070</v>
      </c>
      <c r="E16" s="110" t="s">
        <v>1045</v>
      </c>
      <c r="F16" s="110" t="s">
        <v>1072</v>
      </c>
      <c r="G16" s="110" t="s">
        <v>1064</v>
      </c>
      <c r="H16" s="110" t="s">
        <v>384</v>
      </c>
      <c r="I16" s="71" t="s">
        <v>1073</v>
      </c>
      <c r="J16" s="71" t="s">
        <v>1057</v>
      </c>
    </row>
    <row r="17" spans="1:10" ht="9.75" customHeight="1" x14ac:dyDescent="0.2">
      <c r="A17" s="39" t="s">
        <v>1058</v>
      </c>
      <c r="B17" s="39" t="s">
        <v>1066</v>
      </c>
      <c r="C17" s="219" t="s">
        <v>1514</v>
      </c>
      <c r="D17" s="221" t="s">
        <v>1071</v>
      </c>
      <c r="E17" s="221">
        <f>VLOOKUP(B17,'MDEO ADMON'!B16:O27,9,FALSE)</f>
        <v>7290.4302079166691</v>
      </c>
      <c r="F17" s="220">
        <v>206</v>
      </c>
      <c r="G17" s="220">
        <v>8</v>
      </c>
      <c r="H17" s="239">
        <f>+G17*F17*E17</f>
        <v>12014628.98264667</v>
      </c>
      <c r="I17" s="15">
        <v>12</v>
      </c>
      <c r="J17" s="103">
        <f>+I17*H17</f>
        <v>144175547.79176003</v>
      </c>
    </row>
    <row r="18" spans="1:10" ht="9.75" customHeight="1" x14ac:dyDescent="0.2">
      <c r="A18" s="800" t="s">
        <v>203</v>
      </c>
      <c r="B18" s="801"/>
      <c r="C18" s="804"/>
      <c r="D18" s="7"/>
      <c r="E18" s="7"/>
      <c r="F18" s="7"/>
      <c r="G18" s="7"/>
      <c r="H18" s="242"/>
      <c r="I18" s="101"/>
      <c r="J18" s="103">
        <f>SUM(J17:J17)</f>
        <v>144175547.79176003</v>
      </c>
    </row>
    <row r="19" spans="1:10" s="111" customFormat="1" ht="17.399999999999999" customHeight="1" x14ac:dyDescent="0.3">
      <c r="A19" s="805" t="s">
        <v>35</v>
      </c>
      <c r="B19" s="805"/>
      <c r="C19" s="805"/>
      <c r="D19" s="247" t="s">
        <v>12</v>
      </c>
      <c r="E19" s="247" t="s">
        <v>13</v>
      </c>
      <c r="F19" s="71" t="s">
        <v>1070</v>
      </c>
      <c r="G19" s="71" t="s">
        <v>1076</v>
      </c>
      <c r="H19" s="71" t="s">
        <v>384</v>
      </c>
      <c r="I19" s="71" t="s">
        <v>1077</v>
      </c>
      <c r="J19" s="71" t="s">
        <v>203</v>
      </c>
    </row>
    <row r="20" spans="1:10" ht="10.199999999999999" customHeight="1" x14ac:dyDescent="0.2">
      <c r="A20" s="627" t="s">
        <v>1515</v>
      </c>
      <c r="B20" s="803"/>
      <c r="C20" s="628"/>
      <c r="D20" s="241"/>
      <c r="E20" s="219"/>
      <c r="F20" s="221"/>
      <c r="G20" s="221"/>
      <c r="H20" s="239"/>
      <c r="I20" s="15"/>
      <c r="J20" s="248">
        <f>SUM(J21:J29)</f>
        <v>43880000</v>
      </c>
    </row>
    <row r="21" spans="1:10" ht="21" customHeight="1" x14ac:dyDescent="0.2">
      <c r="A21" s="465"/>
      <c r="B21" s="764" t="s">
        <v>1516</v>
      </c>
      <c r="C21" s="764"/>
      <c r="D21" s="241" t="s">
        <v>12</v>
      </c>
      <c r="E21" s="219">
        <v>10</v>
      </c>
      <c r="F21" s="221">
        <v>2</v>
      </c>
      <c r="G21" s="221">
        <v>450000</v>
      </c>
      <c r="H21" s="239">
        <f>+G21*F21*E21</f>
        <v>9000000</v>
      </c>
      <c r="I21" s="15">
        <v>1</v>
      </c>
      <c r="J21" s="248">
        <f>+I21*H21</f>
        <v>9000000</v>
      </c>
    </row>
    <row r="22" spans="1:10" ht="15.75" customHeight="1" x14ac:dyDescent="0.2">
      <c r="A22" s="465"/>
      <c r="B22" s="764" t="s">
        <v>1517</v>
      </c>
      <c r="C22" s="764"/>
      <c r="D22" s="241" t="s">
        <v>12</v>
      </c>
      <c r="E22" s="219">
        <v>10</v>
      </c>
      <c r="F22" s="221">
        <v>2</v>
      </c>
      <c r="G22" s="221">
        <v>60000</v>
      </c>
      <c r="H22" s="239">
        <f t="shared" ref="H22:H29" si="0">+G22*F22*E22</f>
        <v>1200000</v>
      </c>
      <c r="I22" s="15">
        <v>1</v>
      </c>
      <c r="J22" s="248">
        <f t="shared" ref="J22:J29" si="1">+I22*H22</f>
        <v>1200000</v>
      </c>
    </row>
    <row r="23" spans="1:10" ht="26.25" customHeight="1" x14ac:dyDescent="0.2">
      <c r="A23" s="465"/>
      <c r="B23" s="764" t="s">
        <v>1510</v>
      </c>
      <c r="C23" s="764"/>
      <c r="D23" s="241" t="s">
        <v>12</v>
      </c>
      <c r="E23" s="219">
        <v>10</v>
      </c>
      <c r="F23" s="221">
        <v>2</v>
      </c>
      <c r="G23" s="221">
        <v>80000</v>
      </c>
      <c r="H23" s="239">
        <f t="shared" si="0"/>
        <v>1600000</v>
      </c>
      <c r="I23" s="15">
        <v>1</v>
      </c>
      <c r="J23" s="248">
        <f t="shared" si="1"/>
        <v>1600000</v>
      </c>
    </row>
    <row r="24" spans="1:10" ht="18.75" customHeight="1" x14ac:dyDescent="0.2">
      <c r="A24" s="465"/>
      <c r="B24" s="764" t="s">
        <v>1518</v>
      </c>
      <c r="C24" s="764"/>
      <c r="D24" s="241" t="s">
        <v>12</v>
      </c>
      <c r="E24" s="219">
        <v>10</v>
      </c>
      <c r="F24" s="221">
        <v>2</v>
      </c>
      <c r="G24" s="221">
        <v>450000</v>
      </c>
      <c r="H24" s="239">
        <f t="shared" si="0"/>
        <v>9000000</v>
      </c>
      <c r="I24" s="15">
        <v>1</v>
      </c>
      <c r="J24" s="248">
        <f t="shared" si="1"/>
        <v>9000000</v>
      </c>
    </row>
    <row r="25" spans="1:10" ht="10.199999999999999" customHeight="1" x14ac:dyDescent="0.2">
      <c r="A25" s="465"/>
      <c r="B25" s="764" t="s">
        <v>1508</v>
      </c>
      <c r="C25" s="764"/>
      <c r="D25" s="241" t="s">
        <v>12</v>
      </c>
      <c r="E25" s="219">
        <v>4</v>
      </c>
      <c r="F25" s="221">
        <v>2</v>
      </c>
      <c r="G25" s="221">
        <v>60000</v>
      </c>
      <c r="H25" s="239">
        <f t="shared" si="0"/>
        <v>480000</v>
      </c>
      <c r="I25" s="15">
        <v>1</v>
      </c>
      <c r="J25" s="248">
        <f t="shared" si="1"/>
        <v>480000</v>
      </c>
    </row>
    <row r="26" spans="1:10" ht="10.199999999999999" customHeight="1" x14ac:dyDescent="0.2">
      <c r="A26" s="465"/>
      <c r="B26" s="764" t="s">
        <v>1511</v>
      </c>
      <c r="C26" s="764"/>
      <c r="D26" s="241" t="s">
        <v>12</v>
      </c>
      <c r="E26" s="219">
        <v>10</v>
      </c>
      <c r="F26" s="221">
        <v>2</v>
      </c>
      <c r="G26" s="221">
        <v>340000</v>
      </c>
      <c r="H26" s="239">
        <f>+G26*F26*E26</f>
        <v>6800000</v>
      </c>
      <c r="I26" s="15">
        <v>1</v>
      </c>
      <c r="J26" s="248">
        <f>+I26*H26</f>
        <v>6800000</v>
      </c>
    </row>
    <row r="27" spans="1:10" ht="10.199999999999999" customHeight="1" x14ac:dyDescent="0.2">
      <c r="A27" s="465"/>
      <c r="B27" s="764" t="s">
        <v>1512</v>
      </c>
      <c r="C27" s="764"/>
      <c r="D27" s="241" t="s">
        <v>12</v>
      </c>
      <c r="E27" s="219">
        <v>10</v>
      </c>
      <c r="F27" s="221">
        <v>2</v>
      </c>
      <c r="G27" s="221">
        <v>340000</v>
      </c>
      <c r="H27" s="239">
        <f>+G27*F27*E27</f>
        <v>6800000</v>
      </c>
      <c r="I27" s="15">
        <v>1</v>
      </c>
      <c r="J27" s="248">
        <f>+I27*H27</f>
        <v>6800000</v>
      </c>
    </row>
    <row r="28" spans="1:10" ht="10.199999999999999" customHeight="1" x14ac:dyDescent="0.2">
      <c r="A28" s="465"/>
      <c r="B28" s="764" t="s">
        <v>1513</v>
      </c>
      <c r="C28" s="764"/>
      <c r="D28" s="241" t="s">
        <v>12</v>
      </c>
      <c r="E28" s="219">
        <v>10</v>
      </c>
      <c r="F28" s="221">
        <v>2</v>
      </c>
      <c r="G28" s="221">
        <v>340000</v>
      </c>
      <c r="H28" s="239">
        <f>+G28*F28*E28</f>
        <v>6800000</v>
      </c>
      <c r="I28" s="15">
        <v>1</v>
      </c>
      <c r="J28" s="248">
        <f>+I28*H28</f>
        <v>6800000</v>
      </c>
    </row>
    <row r="29" spans="1:10" ht="10.199999999999999" customHeight="1" x14ac:dyDescent="0.2">
      <c r="A29" s="465"/>
      <c r="B29" s="764" t="s">
        <v>1509</v>
      </c>
      <c r="C29" s="764"/>
      <c r="D29" s="241" t="s">
        <v>12</v>
      </c>
      <c r="E29" s="219">
        <v>10</v>
      </c>
      <c r="F29" s="221">
        <v>2</v>
      </c>
      <c r="G29" s="221">
        <v>110000</v>
      </c>
      <c r="H29" s="239">
        <f t="shared" si="0"/>
        <v>2200000</v>
      </c>
      <c r="I29" s="15">
        <v>1</v>
      </c>
      <c r="J29" s="248">
        <f t="shared" si="1"/>
        <v>2200000</v>
      </c>
    </row>
    <row r="30" spans="1:10" x14ac:dyDescent="0.2">
      <c r="A30" s="791" t="s">
        <v>1087</v>
      </c>
      <c r="B30" s="792"/>
      <c r="C30" s="792"/>
      <c r="D30" s="792"/>
      <c r="E30" s="792"/>
      <c r="F30" s="792"/>
      <c r="G30" s="792"/>
      <c r="H30" s="792"/>
      <c r="I30" s="793"/>
      <c r="J30" s="258">
        <f>+J20+J18</f>
        <v>188055547.79176003</v>
      </c>
    </row>
  </sheetData>
  <mergeCells count="43">
    <mergeCell ref="D1:I1"/>
    <mergeCell ref="A2:B5"/>
    <mergeCell ref="C2:D3"/>
    <mergeCell ref="G2:J2"/>
    <mergeCell ref="G3:J3"/>
    <mergeCell ref="G4:J4"/>
    <mergeCell ref="G5:J5"/>
    <mergeCell ref="A7:B7"/>
    <mergeCell ref="C7:D7"/>
    <mergeCell ref="E7:G7"/>
    <mergeCell ref="H7:J7"/>
    <mergeCell ref="A9:B9"/>
    <mergeCell ref="C9:D9"/>
    <mergeCell ref="E9:G9"/>
    <mergeCell ref="H9:J9"/>
    <mergeCell ref="A10:B10"/>
    <mergeCell ref="C10:D10"/>
    <mergeCell ref="E10:J10"/>
    <mergeCell ref="A11:B11"/>
    <mergeCell ref="C11:D11"/>
    <mergeCell ref="E11:J11"/>
    <mergeCell ref="A20:C20"/>
    <mergeCell ref="A12:B12"/>
    <mergeCell ref="C12:D12"/>
    <mergeCell ref="E12:J12"/>
    <mergeCell ref="A13:B13"/>
    <mergeCell ref="C13:D13"/>
    <mergeCell ref="E13:J13"/>
    <mergeCell ref="A14:B14"/>
    <mergeCell ref="C14:I14"/>
    <mergeCell ref="A15:J15"/>
    <mergeCell ref="A18:C18"/>
    <mergeCell ref="A19:C19"/>
    <mergeCell ref="A30:I30"/>
    <mergeCell ref="B26:C26"/>
    <mergeCell ref="B27:C27"/>
    <mergeCell ref="B28:C28"/>
    <mergeCell ref="B21:C21"/>
    <mergeCell ref="B22:C22"/>
    <mergeCell ref="B23:C23"/>
    <mergeCell ref="B24:C24"/>
    <mergeCell ref="B25:C25"/>
    <mergeCell ref="B29:C29"/>
  </mergeCells>
  <phoneticPr fontId="25" type="noConversion"/>
  <pageMargins left="0.70866141732283472" right="0.59055118110236227" top="0.55118110236220474" bottom="0.95" header="0.31496062992125984" footer="0.59"/>
  <pageSetup scale="90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3"/>
  <sheetViews>
    <sheetView view="pageBreakPreview" topLeftCell="A9" zoomScaleNormal="100" zoomScaleSheetLayoutView="100" workbookViewId="0">
      <selection activeCell="A13" sqref="A13:R32"/>
    </sheetView>
  </sheetViews>
  <sheetFormatPr baseColWidth="10" defaultColWidth="11.5546875" defaultRowHeight="10.199999999999999" x14ac:dyDescent="0.2"/>
  <cols>
    <col min="1" max="1" width="7.33203125" style="68" customWidth="1"/>
    <col min="2" max="2" width="9.88671875" style="68" customWidth="1"/>
    <col min="3" max="3" width="11.44140625" style="68" customWidth="1"/>
    <col min="4" max="5" width="9.109375" style="68" customWidth="1"/>
    <col min="6" max="18" width="9.6640625" style="68" customWidth="1"/>
    <col min="19" max="16384" width="11.5546875" style="68"/>
  </cols>
  <sheetData>
    <row r="1" spans="1:23" ht="22.2" customHeight="1" x14ac:dyDescent="0.2">
      <c r="A1" s="67"/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</row>
    <row r="2" spans="1:23" x14ac:dyDescent="0.2">
      <c r="A2" s="601"/>
      <c r="B2" s="600"/>
      <c r="D2" s="236"/>
      <c r="J2" s="257"/>
      <c r="K2" s="257"/>
      <c r="L2" s="814" t="s">
        <v>60</v>
      </c>
      <c r="M2" s="814"/>
      <c r="N2" s="814"/>
      <c r="O2" s="814"/>
      <c r="P2" s="814"/>
      <c r="Q2" s="814"/>
      <c r="R2" s="814"/>
      <c r="S2" s="257"/>
      <c r="T2" s="257"/>
      <c r="U2" s="257"/>
      <c r="V2" s="257"/>
      <c r="W2" s="257"/>
    </row>
    <row r="3" spans="1:23" x14ac:dyDescent="0.2">
      <c r="A3" s="601"/>
      <c r="B3" s="600"/>
      <c r="D3" s="236"/>
      <c r="J3" s="257"/>
      <c r="K3" s="257"/>
      <c r="L3" s="814" t="s">
        <v>61</v>
      </c>
      <c r="M3" s="814"/>
      <c r="N3" s="814"/>
      <c r="O3" s="814"/>
      <c r="P3" s="814"/>
      <c r="Q3" s="814"/>
      <c r="R3" s="814"/>
      <c r="S3" s="257"/>
      <c r="T3" s="257"/>
      <c r="U3" s="257"/>
      <c r="V3" s="257"/>
      <c r="W3" s="257"/>
    </row>
    <row r="4" spans="1:23" x14ac:dyDescent="0.2">
      <c r="A4" s="601"/>
      <c r="J4" s="257"/>
      <c r="K4" s="45" t="s">
        <v>281</v>
      </c>
      <c r="L4" s="814" t="s">
        <v>1061</v>
      </c>
      <c r="M4" s="814"/>
      <c r="N4" s="814"/>
      <c r="O4" s="814"/>
      <c r="P4" s="814"/>
      <c r="Q4" s="814"/>
      <c r="R4" s="814"/>
      <c r="S4" s="257"/>
      <c r="T4" s="257"/>
      <c r="U4" s="257"/>
      <c r="V4" s="257"/>
      <c r="W4" s="257"/>
    </row>
    <row r="5" spans="1:23" x14ac:dyDescent="0.2">
      <c r="A5" s="601"/>
      <c r="J5" s="257"/>
      <c r="K5" s="45" t="s">
        <v>280</v>
      </c>
      <c r="L5" s="814" t="s">
        <v>1062</v>
      </c>
      <c r="M5" s="814"/>
      <c r="N5" s="814"/>
      <c r="O5" s="814"/>
      <c r="P5" s="814"/>
      <c r="Q5" s="814"/>
      <c r="R5" s="814"/>
      <c r="S5" s="257"/>
      <c r="T5" s="257"/>
      <c r="U5" s="257"/>
      <c r="V5" s="257"/>
      <c r="W5" s="257"/>
    </row>
    <row r="7" spans="1:23" x14ac:dyDescent="0.2">
      <c r="A7" s="807" t="s">
        <v>20</v>
      </c>
      <c r="B7" s="809"/>
      <c r="C7" s="807" t="s">
        <v>1082</v>
      </c>
      <c r="D7" s="808"/>
      <c r="E7" s="808"/>
      <c r="F7" s="808"/>
      <c r="G7" s="808"/>
      <c r="H7" s="808"/>
      <c r="I7" s="808"/>
      <c r="J7" s="808"/>
      <c r="K7" s="809"/>
      <c r="L7" s="807" t="s">
        <v>10</v>
      </c>
      <c r="M7" s="808"/>
      <c r="N7" s="808"/>
      <c r="O7" s="808"/>
      <c r="P7" s="808"/>
      <c r="Q7" s="808"/>
      <c r="R7" s="809"/>
    </row>
    <row r="8" spans="1:23" ht="10.199999999999999" customHeight="1" x14ac:dyDescent="0.2">
      <c r="A8" s="807" t="s">
        <v>8</v>
      </c>
      <c r="B8" s="809"/>
      <c r="C8" s="810" t="s">
        <v>62</v>
      </c>
      <c r="D8" s="812"/>
      <c r="E8" s="810" t="s">
        <v>1061</v>
      </c>
      <c r="F8" s="811"/>
      <c r="G8" s="811"/>
      <c r="H8" s="811"/>
      <c r="I8" s="811"/>
      <c r="J8" s="811"/>
      <c r="K8" s="811"/>
      <c r="L8" s="811"/>
      <c r="M8" s="811"/>
      <c r="N8" s="811"/>
      <c r="O8" s="811"/>
      <c r="P8" s="811"/>
      <c r="Q8" s="811"/>
      <c r="R8" s="812"/>
    </row>
    <row r="9" spans="1:23" ht="10.199999999999999" customHeight="1" x14ac:dyDescent="0.2">
      <c r="A9" s="807" t="s">
        <v>7</v>
      </c>
      <c r="B9" s="809"/>
      <c r="C9" s="810" t="s">
        <v>63</v>
      </c>
      <c r="D9" s="812"/>
      <c r="E9" s="810" t="s">
        <v>1117</v>
      </c>
      <c r="F9" s="811"/>
      <c r="G9" s="811"/>
      <c r="H9" s="811"/>
      <c r="I9" s="811"/>
      <c r="J9" s="811"/>
      <c r="K9" s="811"/>
      <c r="L9" s="811"/>
      <c r="M9" s="811"/>
      <c r="N9" s="811"/>
      <c r="O9" s="811"/>
      <c r="P9" s="811"/>
      <c r="Q9" s="811"/>
      <c r="R9" s="812"/>
    </row>
    <row r="10" spans="1:23" ht="10.199999999999999" customHeight="1" x14ac:dyDescent="0.2">
      <c r="A10" s="807" t="s">
        <v>9</v>
      </c>
      <c r="B10" s="809"/>
      <c r="C10" s="810" t="s">
        <v>62</v>
      </c>
      <c r="D10" s="812"/>
      <c r="E10" s="810" t="s">
        <v>1035</v>
      </c>
      <c r="F10" s="811"/>
      <c r="G10" s="811"/>
      <c r="H10" s="811"/>
      <c r="I10" s="811"/>
      <c r="J10" s="811"/>
      <c r="K10" s="811"/>
      <c r="L10" s="811"/>
      <c r="M10" s="811"/>
      <c r="N10" s="811"/>
      <c r="O10" s="811"/>
      <c r="P10" s="811"/>
      <c r="Q10" s="811"/>
      <c r="R10" s="812"/>
    </row>
    <row r="11" spans="1:23" ht="10.199999999999999" customHeight="1" x14ac:dyDescent="0.2">
      <c r="A11" s="807" t="s">
        <v>66</v>
      </c>
      <c r="B11" s="809"/>
      <c r="C11" s="810" t="s">
        <v>65</v>
      </c>
      <c r="D11" s="812"/>
      <c r="E11" s="810" t="s">
        <v>67</v>
      </c>
      <c r="F11" s="811"/>
      <c r="G11" s="811"/>
      <c r="H11" s="811"/>
      <c r="I11" s="811"/>
      <c r="J11" s="811"/>
      <c r="K11" s="811"/>
      <c r="L11" s="811"/>
      <c r="M11" s="811"/>
      <c r="N11" s="811"/>
      <c r="O11" s="811"/>
      <c r="P11" s="811"/>
      <c r="Q11" s="811"/>
      <c r="R11" s="812"/>
    </row>
    <row r="12" spans="1:23" x14ac:dyDescent="0.2">
      <c r="A12" s="816"/>
      <c r="B12" s="817"/>
      <c r="C12" s="817"/>
      <c r="D12" s="817"/>
      <c r="E12" s="817"/>
      <c r="F12" s="817"/>
      <c r="G12" s="817"/>
      <c r="H12" s="817"/>
      <c r="I12" s="817"/>
      <c r="J12" s="817"/>
      <c r="K12" s="817"/>
      <c r="L12" s="817"/>
      <c r="M12" s="817"/>
      <c r="N12" s="817"/>
      <c r="O12" s="817"/>
      <c r="P12" s="817"/>
      <c r="Q12" s="817"/>
      <c r="R12" s="817"/>
    </row>
    <row r="13" spans="1:23" s="45" customFormat="1" ht="14.4" customHeight="1" x14ac:dyDescent="0.2">
      <c r="A13" s="806" t="s">
        <v>35</v>
      </c>
      <c r="B13" s="806"/>
      <c r="C13" s="806" t="s">
        <v>1082</v>
      </c>
      <c r="D13" s="806"/>
      <c r="E13" s="806"/>
      <c r="F13" s="806"/>
      <c r="G13" s="806"/>
      <c r="H13" s="806"/>
      <c r="I13" s="806"/>
      <c r="J13" s="806"/>
      <c r="K13" s="806"/>
      <c r="L13" s="806"/>
      <c r="M13" s="806"/>
      <c r="N13" s="806"/>
      <c r="O13" s="806"/>
      <c r="P13" s="806"/>
      <c r="Q13" s="806"/>
      <c r="R13" s="806"/>
    </row>
    <row r="14" spans="1:23" s="45" customFormat="1" x14ac:dyDescent="0.2">
      <c r="A14" s="806"/>
      <c r="B14" s="806"/>
      <c r="C14" s="264" t="s">
        <v>382</v>
      </c>
      <c r="D14" s="264" t="s">
        <v>497</v>
      </c>
      <c r="E14" s="264" t="s">
        <v>498</v>
      </c>
      <c r="F14" s="264" t="s">
        <v>499</v>
      </c>
      <c r="G14" s="264" t="s">
        <v>500</v>
      </c>
      <c r="H14" s="264" t="s">
        <v>501</v>
      </c>
      <c r="I14" s="264" t="s">
        <v>862</v>
      </c>
      <c r="J14" s="264" t="s">
        <v>863</v>
      </c>
      <c r="K14" s="264" t="s">
        <v>492</v>
      </c>
      <c r="L14" s="264" t="s">
        <v>493</v>
      </c>
      <c r="M14" s="264" t="s">
        <v>494</v>
      </c>
      <c r="N14" s="264" t="s">
        <v>495</v>
      </c>
      <c r="O14" s="264" t="s">
        <v>496</v>
      </c>
      <c r="P14" s="264" t="s">
        <v>497</v>
      </c>
      <c r="Q14" s="264" t="s">
        <v>498</v>
      </c>
      <c r="R14" s="264" t="s">
        <v>499</v>
      </c>
    </row>
    <row r="15" spans="1:23" ht="19.2" customHeight="1" x14ac:dyDescent="0.2">
      <c r="A15" s="764" t="s">
        <v>1526</v>
      </c>
      <c r="B15" s="764"/>
      <c r="C15" s="267"/>
      <c r="D15" s="349"/>
      <c r="E15" s="349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</row>
    <row r="16" spans="1:23" ht="19.2" customHeight="1" x14ac:dyDescent="0.2">
      <c r="A16" s="764" t="s">
        <v>1527</v>
      </c>
      <c r="B16" s="764"/>
      <c r="C16" s="267">
        <f>+'AJUSTE PRESUPUESTO'!H16</f>
        <v>97493115</v>
      </c>
      <c r="D16" s="268"/>
      <c r="E16" s="268"/>
      <c r="F16" s="268">
        <f>+$C$16/12</f>
        <v>8124426.25</v>
      </c>
      <c r="G16" s="268">
        <f t="shared" ref="G16:Q16" si="0">+$C$16/12</f>
        <v>8124426.25</v>
      </c>
      <c r="H16" s="268">
        <f t="shared" si="0"/>
        <v>8124426.25</v>
      </c>
      <c r="I16" s="268">
        <f t="shared" si="0"/>
        <v>8124426.25</v>
      </c>
      <c r="J16" s="268">
        <f t="shared" si="0"/>
        <v>8124426.25</v>
      </c>
      <c r="K16" s="268">
        <f t="shared" si="0"/>
        <v>8124426.25</v>
      </c>
      <c r="L16" s="268">
        <f t="shared" si="0"/>
        <v>8124426.25</v>
      </c>
      <c r="M16" s="268">
        <f t="shared" si="0"/>
        <v>8124426.25</v>
      </c>
      <c r="N16" s="268">
        <f t="shared" si="0"/>
        <v>8124426.25</v>
      </c>
      <c r="O16" s="268">
        <f t="shared" si="0"/>
        <v>8124426.25</v>
      </c>
      <c r="P16" s="268">
        <f t="shared" si="0"/>
        <v>8124426.25</v>
      </c>
      <c r="Q16" s="268">
        <f t="shared" si="0"/>
        <v>8124426.25</v>
      </c>
      <c r="R16" s="268"/>
    </row>
    <row r="17" spans="1:18" ht="28.5" customHeight="1" x14ac:dyDescent="0.2">
      <c r="A17" s="764" t="s">
        <v>1528</v>
      </c>
      <c r="B17" s="764"/>
      <c r="C17" s="267">
        <f>+'AJUSTE PRESUPUESTO'!H19</f>
        <v>1178704341.6199999</v>
      </c>
      <c r="D17" s="268"/>
      <c r="E17" s="268"/>
      <c r="F17" s="268">
        <f>+$C$17/11</f>
        <v>107154940.14727272</v>
      </c>
      <c r="G17" s="268">
        <f t="shared" ref="G17:P17" si="1">+$C$17/11</f>
        <v>107154940.14727272</v>
      </c>
      <c r="H17" s="268">
        <f t="shared" si="1"/>
        <v>107154940.14727272</v>
      </c>
      <c r="I17" s="268">
        <f t="shared" si="1"/>
        <v>107154940.14727272</v>
      </c>
      <c r="J17" s="268">
        <f t="shared" si="1"/>
        <v>107154940.14727272</v>
      </c>
      <c r="K17" s="268">
        <f t="shared" si="1"/>
        <v>107154940.14727272</v>
      </c>
      <c r="L17" s="268">
        <f t="shared" si="1"/>
        <v>107154940.14727272</v>
      </c>
      <c r="M17" s="268">
        <f t="shared" si="1"/>
        <v>107154940.14727272</v>
      </c>
      <c r="N17" s="268">
        <f t="shared" si="1"/>
        <v>107154940.14727272</v>
      </c>
      <c r="O17" s="268">
        <f t="shared" si="1"/>
        <v>107154940.14727272</v>
      </c>
      <c r="P17" s="268">
        <f t="shared" si="1"/>
        <v>107154940.14727272</v>
      </c>
      <c r="Q17" s="268"/>
      <c r="R17" s="268"/>
    </row>
    <row r="18" spans="1:18" ht="19.2" customHeight="1" x14ac:dyDescent="0.2">
      <c r="A18" s="764" t="s">
        <v>1536</v>
      </c>
      <c r="B18" s="764"/>
      <c r="C18" s="267">
        <f>+'AJUSTE PRESUPUESTO'!H34</f>
        <v>3368921231.4758992</v>
      </c>
      <c r="D18" s="268"/>
      <c r="E18" s="268"/>
      <c r="F18" s="268">
        <f>+$C$18/11</f>
        <v>306265566.49780899</v>
      </c>
      <c r="G18" s="268">
        <f>+$C$18/11</f>
        <v>306265566.49780899</v>
      </c>
      <c r="H18" s="268">
        <f t="shared" ref="H18:P18" si="2">+$C$18/11</f>
        <v>306265566.49780899</v>
      </c>
      <c r="I18" s="268">
        <f t="shared" si="2"/>
        <v>306265566.49780899</v>
      </c>
      <c r="J18" s="268">
        <f t="shared" si="2"/>
        <v>306265566.49780899</v>
      </c>
      <c r="K18" s="268">
        <f t="shared" si="2"/>
        <v>306265566.49780899</v>
      </c>
      <c r="L18" s="268">
        <f t="shared" si="2"/>
        <v>306265566.49780899</v>
      </c>
      <c r="M18" s="268">
        <f t="shared" si="2"/>
        <v>306265566.49780899</v>
      </c>
      <c r="N18" s="268">
        <f t="shared" si="2"/>
        <v>306265566.49780899</v>
      </c>
      <c r="O18" s="268">
        <f t="shared" si="2"/>
        <v>306265566.49780899</v>
      </c>
      <c r="P18" s="268">
        <f t="shared" si="2"/>
        <v>306265566.49780899</v>
      </c>
      <c r="Q18" s="268"/>
      <c r="R18" s="268"/>
    </row>
    <row r="19" spans="1:18" ht="19.2" customHeight="1" x14ac:dyDescent="0.2">
      <c r="A19" s="764" t="s">
        <v>1529</v>
      </c>
      <c r="B19" s="764"/>
      <c r="C19" s="267">
        <f>+'AJUSTE PRESUPUESTO'!H44</f>
        <v>4579095928</v>
      </c>
      <c r="D19" s="268"/>
      <c r="E19" s="269"/>
      <c r="F19" s="269"/>
      <c r="G19" s="269">
        <f>+$C$19/11</f>
        <v>416281448</v>
      </c>
      <c r="H19" s="269">
        <f t="shared" ref="H19:Q19" si="3">+$C$19/11</f>
        <v>416281448</v>
      </c>
      <c r="I19" s="269">
        <f t="shared" si="3"/>
        <v>416281448</v>
      </c>
      <c r="J19" s="269">
        <f t="shared" si="3"/>
        <v>416281448</v>
      </c>
      <c r="K19" s="269">
        <f t="shared" si="3"/>
        <v>416281448</v>
      </c>
      <c r="L19" s="269">
        <f t="shared" si="3"/>
        <v>416281448</v>
      </c>
      <c r="M19" s="269">
        <f t="shared" si="3"/>
        <v>416281448</v>
      </c>
      <c r="N19" s="269">
        <f t="shared" si="3"/>
        <v>416281448</v>
      </c>
      <c r="O19" s="269">
        <f t="shared" si="3"/>
        <v>416281448</v>
      </c>
      <c r="P19" s="269">
        <f t="shared" si="3"/>
        <v>416281448</v>
      </c>
      <c r="Q19" s="269">
        <f t="shared" si="3"/>
        <v>416281448</v>
      </c>
      <c r="R19" s="269"/>
    </row>
    <row r="20" spans="1:18" ht="19.2" customHeight="1" x14ac:dyDescent="0.2">
      <c r="A20" s="764" t="s">
        <v>1537</v>
      </c>
      <c r="B20" s="764"/>
      <c r="C20" s="267">
        <f>+'AJUSTE PRESUPUESTO'!H52</f>
        <v>7321947924.2211533</v>
      </c>
      <c r="D20" s="269"/>
      <c r="E20" s="269"/>
      <c r="F20" s="269">
        <f>+$C$20*0.15</f>
        <v>1098292188.633173</v>
      </c>
      <c r="G20" s="269">
        <f>+$C$20*0.15</f>
        <v>1098292188.633173</v>
      </c>
      <c r="H20" s="269">
        <f>+$C$20*0.15</f>
        <v>1098292188.633173</v>
      </c>
      <c r="I20" s="269">
        <f>+$C$20*0.55/9</f>
        <v>447452373.14684832</v>
      </c>
      <c r="J20" s="269">
        <f t="shared" ref="J20:Q20" si="4">+$C$20*0.55/9</f>
        <v>447452373.14684832</v>
      </c>
      <c r="K20" s="269">
        <f t="shared" si="4"/>
        <v>447452373.14684832</v>
      </c>
      <c r="L20" s="269">
        <f t="shared" si="4"/>
        <v>447452373.14684832</v>
      </c>
      <c r="M20" s="269">
        <f t="shared" si="4"/>
        <v>447452373.14684832</v>
      </c>
      <c r="N20" s="269">
        <f t="shared" si="4"/>
        <v>447452373.14684832</v>
      </c>
      <c r="O20" s="269">
        <f t="shared" si="4"/>
        <v>447452373.14684832</v>
      </c>
      <c r="P20" s="269">
        <f t="shared" si="4"/>
        <v>447452373.14684832</v>
      </c>
      <c r="Q20" s="269">
        <f t="shared" si="4"/>
        <v>447452373.14684832</v>
      </c>
      <c r="R20" s="269"/>
    </row>
    <row r="21" spans="1:18" ht="11.4" customHeight="1" x14ac:dyDescent="0.2">
      <c r="A21" s="764" t="s">
        <v>1530</v>
      </c>
      <c r="B21" s="764"/>
      <c r="C21" s="267">
        <f>SUM(C16:C19)</f>
        <v>9224214616.0958996</v>
      </c>
      <c r="D21" s="267"/>
      <c r="E21" s="267"/>
      <c r="F21" s="267">
        <f t="shared" ref="F21:P21" si="5">SUM(F16:F19)</f>
        <v>421544932.8950817</v>
      </c>
      <c r="G21" s="267">
        <f t="shared" si="5"/>
        <v>837826380.89508176</v>
      </c>
      <c r="H21" s="267">
        <f t="shared" si="5"/>
        <v>837826380.89508176</v>
      </c>
      <c r="I21" s="267">
        <f t="shared" si="5"/>
        <v>837826380.89508176</v>
      </c>
      <c r="J21" s="267">
        <f t="shared" si="5"/>
        <v>837826380.89508176</v>
      </c>
      <c r="K21" s="267">
        <f t="shared" si="5"/>
        <v>837826380.89508176</v>
      </c>
      <c r="L21" s="267">
        <f t="shared" si="5"/>
        <v>837826380.89508176</v>
      </c>
      <c r="M21" s="267">
        <f t="shared" si="5"/>
        <v>837826380.89508176</v>
      </c>
      <c r="N21" s="267">
        <f>SUM(N16:N19)</f>
        <v>837826380.89508176</v>
      </c>
      <c r="O21" s="267">
        <f>SUM(O16:O19)</f>
        <v>837826380.89508176</v>
      </c>
      <c r="P21" s="267">
        <f t="shared" si="5"/>
        <v>837826380.89508176</v>
      </c>
      <c r="Q21" s="267">
        <f t="shared" ref="Q21" si="6">SUM(Q16:Q19)</f>
        <v>424405874.25</v>
      </c>
      <c r="R21" s="267"/>
    </row>
    <row r="22" spans="1:18" ht="11.4" customHeight="1" x14ac:dyDescent="0.2">
      <c r="A22" s="764" t="s">
        <v>1531</v>
      </c>
      <c r="B22" s="764"/>
      <c r="C22" s="267">
        <f>+C20</f>
        <v>7321947924.2211533</v>
      </c>
      <c r="D22" s="267"/>
      <c r="E22" s="267"/>
      <c r="F22" s="267">
        <f t="shared" ref="F22:P22" si="7">+F20</f>
        <v>1098292188.633173</v>
      </c>
      <c r="G22" s="267">
        <f t="shared" si="7"/>
        <v>1098292188.633173</v>
      </c>
      <c r="H22" s="267">
        <f t="shared" si="7"/>
        <v>1098292188.633173</v>
      </c>
      <c r="I22" s="267">
        <f t="shared" si="7"/>
        <v>447452373.14684832</v>
      </c>
      <c r="J22" s="267">
        <f t="shared" si="7"/>
        <v>447452373.14684832</v>
      </c>
      <c r="K22" s="267">
        <f t="shared" si="7"/>
        <v>447452373.14684832</v>
      </c>
      <c r="L22" s="267">
        <f t="shared" si="7"/>
        <v>447452373.14684832</v>
      </c>
      <c r="M22" s="267">
        <f t="shared" si="7"/>
        <v>447452373.14684832</v>
      </c>
      <c r="N22" s="267">
        <f>+N20</f>
        <v>447452373.14684832</v>
      </c>
      <c r="O22" s="267">
        <f>+O20</f>
        <v>447452373.14684832</v>
      </c>
      <c r="P22" s="267">
        <f t="shared" si="7"/>
        <v>447452373.14684832</v>
      </c>
      <c r="Q22" s="267">
        <f t="shared" ref="Q22" si="8">+Q20</f>
        <v>447452373.14684832</v>
      </c>
      <c r="R22" s="267"/>
    </row>
    <row r="23" spans="1:18" ht="11.4" customHeight="1" x14ac:dyDescent="0.2">
      <c r="A23" s="764" t="s">
        <v>1532</v>
      </c>
      <c r="B23" s="764"/>
      <c r="C23" s="267">
        <f>+'AJUSTE PRESUPUESTO'!H63</f>
        <v>2685303536.8616328</v>
      </c>
      <c r="D23" s="267"/>
      <c r="E23" s="267"/>
      <c r="F23" s="267">
        <f>+F21*'AJUSTE PRESUPUESTO'!$G$63</f>
        <v>122717884.00001103</v>
      </c>
      <c r="G23" s="267">
        <f>+G21*'AJUSTE PRESUPUESTO'!$G$63</f>
        <v>243903490.70669919</v>
      </c>
      <c r="H23" s="267">
        <f>+H21*'AJUSTE PRESUPUESTO'!$G$63</f>
        <v>243903490.70669919</v>
      </c>
      <c r="I23" s="267">
        <f>+I21*'AJUSTE PRESUPUESTO'!$G$63</f>
        <v>243903490.70669919</v>
      </c>
      <c r="J23" s="267">
        <f>+J21*'AJUSTE PRESUPUESTO'!$G$63</f>
        <v>243903490.70669919</v>
      </c>
      <c r="K23" s="267">
        <f>+K21*'AJUSTE PRESUPUESTO'!$G$63</f>
        <v>243903490.70669919</v>
      </c>
      <c r="L23" s="267">
        <f>+L21*'AJUSTE PRESUPUESTO'!$G$63</f>
        <v>243903490.70669919</v>
      </c>
      <c r="M23" s="267">
        <f>+M21*'AJUSTE PRESUPUESTO'!$G$63</f>
        <v>243903490.70669919</v>
      </c>
      <c r="N23" s="267">
        <f>+N21*'AJUSTE PRESUPUESTO'!$G$63</f>
        <v>243903490.70669919</v>
      </c>
      <c r="O23" s="267">
        <f>+O21*'AJUSTE PRESUPUESTO'!$G$63</f>
        <v>243903490.70669919</v>
      </c>
      <c r="P23" s="267">
        <f>+P21*'AJUSTE PRESUPUESTO'!$G$63</f>
        <v>243903490.70669919</v>
      </c>
      <c r="Q23" s="267">
        <f>+Q21*'AJUSTE PRESUPUESTO'!$G$63</f>
        <v>123550745.79463039</v>
      </c>
      <c r="R23" s="267"/>
    </row>
    <row r="24" spans="1:18" ht="11.4" customHeight="1" x14ac:dyDescent="0.2">
      <c r="A24" s="764" t="s">
        <v>1538</v>
      </c>
      <c r="B24" s="764"/>
      <c r="C24" s="267">
        <f>+'AJUSTE PRESUPUESTO'!H64</f>
        <v>849999836.09822905</v>
      </c>
      <c r="D24" s="267"/>
      <c r="E24" s="267"/>
      <c r="F24" s="267">
        <f>+F22*0.12</f>
        <v>131795062.63598076</v>
      </c>
      <c r="G24" s="267">
        <f t="shared" ref="G24:Q24" si="9">+G22*0.12</f>
        <v>131795062.63598076</v>
      </c>
      <c r="H24" s="267">
        <f t="shared" si="9"/>
        <v>131795062.63598076</v>
      </c>
      <c r="I24" s="267">
        <f t="shared" si="9"/>
        <v>53694284.777621798</v>
      </c>
      <c r="J24" s="267">
        <f t="shared" si="9"/>
        <v>53694284.777621798</v>
      </c>
      <c r="K24" s="267">
        <f t="shared" si="9"/>
        <v>53694284.777621798</v>
      </c>
      <c r="L24" s="267">
        <f t="shared" si="9"/>
        <v>53694284.777621798</v>
      </c>
      <c r="M24" s="267">
        <f t="shared" si="9"/>
        <v>53694284.777621798</v>
      </c>
      <c r="N24" s="267">
        <f t="shared" si="9"/>
        <v>53694284.777621798</v>
      </c>
      <c r="O24" s="267">
        <f t="shared" si="9"/>
        <v>53694284.777621798</v>
      </c>
      <c r="P24" s="267">
        <f t="shared" si="9"/>
        <v>53694284.777621798</v>
      </c>
      <c r="Q24" s="267">
        <f t="shared" si="9"/>
        <v>53694284.777621798</v>
      </c>
      <c r="R24" s="267"/>
    </row>
    <row r="25" spans="1:18" ht="11.4" customHeight="1" x14ac:dyDescent="0.2">
      <c r="A25" s="815" t="s">
        <v>1530</v>
      </c>
      <c r="B25" s="815"/>
      <c r="C25" s="267">
        <f>+C23+C21</f>
        <v>11909518152.957533</v>
      </c>
      <c r="D25" s="267"/>
      <c r="E25" s="267"/>
      <c r="F25" s="267">
        <f t="shared" ref="F25" si="10">+F23+F21</f>
        <v>544262816.89509273</v>
      </c>
      <c r="G25" s="267">
        <f t="shared" ref="G25:P25" si="11">+G23+G21</f>
        <v>1081729871.6017809</v>
      </c>
      <c r="H25" s="267">
        <f t="shared" si="11"/>
        <v>1081729871.6017809</v>
      </c>
      <c r="I25" s="267">
        <f t="shared" si="11"/>
        <v>1081729871.6017809</v>
      </c>
      <c r="J25" s="267">
        <f t="shared" si="11"/>
        <v>1081729871.6017809</v>
      </c>
      <c r="K25" s="267">
        <f t="shared" si="11"/>
        <v>1081729871.6017809</v>
      </c>
      <c r="L25" s="267">
        <f t="shared" si="11"/>
        <v>1081729871.6017809</v>
      </c>
      <c r="M25" s="267">
        <f t="shared" si="11"/>
        <v>1081729871.6017809</v>
      </c>
      <c r="N25" s="267">
        <f>+N23+N21</f>
        <v>1081729871.6017809</v>
      </c>
      <c r="O25" s="267">
        <f>+O23+O21</f>
        <v>1081729871.6017809</v>
      </c>
      <c r="P25" s="267">
        <f t="shared" si="11"/>
        <v>1081729871.6017809</v>
      </c>
      <c r="Q25" s="267">
        <f t="shared" ref="Q25" si="12">+Q23+Q21</f>
        <v>547956620.04463041</v>
      </c>
      <c r="R25" s="267"/>
    </row>
    <row r="26" spans="1:18" ht="17.25" customHeight="1" x14ac:dyDescent="0.2">
      <c r="A26" s="815" t="s">
        <v>1533</v>
      </c>
      <c r="B26" s="815"/>
      <c r="C26" s="267">
        <f>+C22+C24</f>
        <v>8171947760.3193827</v>
      </c>
      <c r="D26" s="267"/>
      <c r="E26" s="267"/>
      <c r="F26" s="267">
        <f t="shared" ref="F26" si="13">+F22+F24</f>
        <v>1230087251.2691538</v>
      </c>
      <c r="G26" s="267">
        <f t="shared" ref="G26:P26" si="14">+G22+G24</f>
        <v>1230087251.2691538</v>
      </c>
      <c r="H26" s="267">
        <f t="shared" si="14"/>
        <v>1230087251.2691538</v>
      </c>
      <c r="I26" s="267">
        <f t="shared" si="14"/>
        <v>501146657.92447013</v>
      </c>
      <c r="J26" s="267">
        <f t="shared" si="14"/>
        <v>501146657.92447013</v>
      </c>
      <c r="K26" s="267">
        <f t="shared" si="14"/>
        <v>501146657.92447013</v>
      </c>
      <c r="L26" s="267">
        <f t="shared" si="14"/>
        <v>501146657.92447013</v>
      </c>
      <c r="M26" s="267">
        <f t="shared" si="14"/>
        <v>501146657.92447013</v>
      </c>
      <c r="N26" s="267">
        <f>+N22+N24</f>
        <v>501146657.92447013</v>
      </c>
      <c r="O26" s="267">
        <f>+O22+O24</f>
        <v>501146657.92447013</v>
      </c>
      <c r="P26" s="267">
        <f t="shared" si="14"/>
        <v>501146657.92447013</v>
      </c>
      <c r="Q26" s="267">
        <f t="shared" ref="Q26" si="15">+Q22+Q24</f>
        <v>501146657.92447013</v>
      </c>
      <c r="R26" s="267"/>
    </row>
    <row r="27" spans="1:18" ht="11.4" customHeight="1" x14ac:dyDescent="0.2">
      <c r="A27" s="815" t="s">
        <v>1534</v>
      </c>
      <c r="B27" s="815"/>
      <c r="C27" s="267">
        <f>+'AJUSTE PRESUPUESTO'!H69</f>
        <v>188055547.79176003</v>
      </c>
      <c r="D27" s="267"/>
      <c r="E27" s="267"/>
      <c r="F27" s="267">
        <f>+$C$27/12</f>
        <v>15671295.649313336</v>
      </c>
      <c r="G27" s="267">
        <f t="shared" ref="G27:Q27" si="16">+$C$27/12</f>
        <v>15671295.649313336</v>
      </c>
      <c r="H27" s="267">
        <f t="shared" si="16"/>
        <v>15671295.649313336</v>
      </c>
      <c r="I27" s="267">
        <f t="shared" si="16"/>
        <v>15671295.649313336</v>
      </c>
      <c r="J27" s="267">
        <f t="shared" si="16"/>
        <v>15671295.649313336</v>
      </c>
      <c r="K27" s="267">
        <f t="shared" si="16"/>
        <v>15671295.649313336</v>
      </c>
      <c r="L27" s="267">
        <f t="shared" si="16"/>
        <v>15671295.649313336</v>
      </c>
      <c r="M27" s="267">
        <f t="shared" si="16"/>
        <v>15671295.649313336</v>
      </c>
      <c r="N27" s="267">
        <f t="shared" si="16"/>
        <v>15671295.649313336</v>
      </c>
      <c r="O27" s="267">
        <f t="shared" si="16"/>
        <v>15671295.649313336</v>
      </c>
      <c r="P27" s="267">
        <f t="shared" si="16"/>
        <v>15671295.649313336</v>
      </c>
      <c r="Q27" s="267">
        <f t="shared" si="16"/>
        <v>15671295.649313336</v>
      </c>
      <c r="R27" s="267"/>
    </row>
    <row r="28" spans="1:18" ht="11.4" customHeight="1" x14ac:dyDescent="0.2">
      <c r="A28" s="815" t="s">
        <v>1535</v>
      </c>
      <c r="B28" s="815"/>
      <c r="C28" s="267">
        <f>+'AJUSTE PRESUPUESTO'!H67</f>
        <v>211312090</v>
      </c>
      <c r="D28" s="267"/>
      <c r="E28" s="267"/>
      <c r="F28" s="267">
        <f>+$C$28/12</f>
        <v>17609340.833333332</v>
      </c>
      <c r="G28" s="267">
        <f t="shared" ref="G28:Q28" si="17">+$C$28/12</f>
        <v>17609340.833333332</v>
      </c>
      <c r="H28" s="267">
        <f t="shared" si="17"/>
        <v>17609340.833333332</v>
      </c>
      <c r="I28" s="267">
        <f t="shared" si="17"/>
        <v>17609340.833333332</v>
      </c>
      <c r="J28" s="267">
        <f t="shared" si="17"/>
        <v>17609340.833333332</v>
      </c>
      <c r="K28" s="267">
        <f t="shared" si="17"/>
        <v>17609340.833333332</v>
      </c>
      <c r="L28" s="267">
        <f t="shared" si="17"/>
        <v>17609340.833333332</v>
      </c>
      <c r="M28" s="267">
        <f t="shared" si="17"/>
        <v>17609340.833333332</v>
      </c>
      <c r="N28" s="267">
        <f t="shared" si="17"/>
        <v>17609340.833333332</v>
      </c>
      <c r="O28" s="267">
        <f t="shared" si="17"/>
        <v>17609340.833333332</v>
      </c>
      <c r="P28" s="267">
        <f t="shared" si="17"/>
        <v>17609340.833333332</v>
      </c>
      <c r="Q28" s="267">
        <f t="shared" si="17"/>
        <v>17609340.833333332</v>
      </c>
      <c r="R28" s="267"/>
    </row>
    <row r="29" spans="1:18" ht="15.75" customHeight="1" x14ac:dyDescent="0.2">
      <c r="A29" s="815" t="s">
        <v>1539</v>
      </c>
      <c r="B29" s="815"/>
      <c r="C29" s="267">
        <f>+C28+C27+C26+C25</f>
        <v>20480833551.068676</v>
      </c>
      <c r="D29" s="267"/>
      <c r="E29" s="267"/>
      <c r="F29" s="267">
        <f t="shared" ref="F29" si="18">+F28+F27+F26+F25</f>
        <v>1807630704.6468933</v>
      </c>
      <c r="G29" s="267">
        <f t="shared" ref="G29:P29" si="19">+G28+G27+G26+G25</f>
        <v>2345097759.3535814</v>
      </c>
      <c r="H29" s="267">
        <f t="shared" si="19"/>
        <v>2345097759.3535814</v>
      </c>
      <c r="I29" s="267">
        <f t="shared" si="19"/>
        <v>1616157166.0088978</v>
      </c>
      <c r="J29" s="267">
        <f t="shared" si="19"/>
        <v>1616157166.0088978</v>
      </c>
      <c r="K29" s="267">
        <f t="shared" si="19"/>
        <v>1616157166.0088978</v>
      </c>
      <c r="L29" s="267">
        <f t="shared" si="19"/>
        <v>1616157166.0088978</v>
      </c>
      <c r="M29" s="267">
        <f t="shared" si="19"/>
        <v>1616157166.0088978</v>
      </c>
      <c r="N29" s="267">
        <f>+N28+N27+N26+N25</f>
        <v>1616157166.0088978</v>
      </c>
      <c r="O29" s="267">
        <f>+O28+O27+O26+O25</f>
        <v>1616157166.0088978</v>
      </c>
      <c r="P29" s="267">
        <f t="shared" si="19"/>
        <v>1616157166.0088978</v>
      </c>
      <c r="Q29" s="267">
        <f t="shared" ref="Q29" si="20">+Q28+Q27+Q26+Q25</f>
        <v>1082383914.4517472</v>
      </c>
      <c r="R29" s="267"/>
    </row>
    <row r="30" spans="1:18" ht="11.4" customHeight="1" x14ac:dyDescent="0.2">
      <c r="A30" s="815" t="s">
        <v>1540</v>
      </c>
      <c r="B30" s="815"/>
      <c r="C30" s="267">
        <f>+'AJUSTE PRESUPUESTO'!H73</f>
        <v>989938078.55343366</v>
      </c>
      <c r="D30" s="267"/>
      <c r="E30" s="267"/>
      <c r="F30" s="267">
        <f>+F29*0.05</f>
        <v>90381535.232344672</v>
      </c>
      <c r="G30" s="267">
        <f t="shared" ref="G30:Q30" si="21">+G29*0.05</f>
        <v>117254887.96767908</v>
      </c>
      <c r="H30" s="267">
        <f t="shared" si="21"/>
        <v>117254887.96767908</v>
      </c>
      <c r="I30" s="267">
        <f t="shared" si="21"/>
        <v>80807858.300444901</v>
      </c>
      <c r="J30" s="267">
        <f t="shared" si="21"/>
        <v>80807858.300444901</v>
      </c>
      <c r="K30" s="267">
        <f t="shared" si="21"/>
        <v>80807858.300444901</v>
      </c>
      <c r="L30" s="267">
        <f t="shared" si="21"/>
        <v>80807858.300444901</v>
      </c>
      <c r="M30" s="267">
        <f t="shared" si="21"/>
        <v>80807858.300444901</v>
      </c>
      <c r="N30" s="267">
        <f t="shared" si="21"/>
        <v>80807858.300444901</v>
      </c>
      <c r="O30" s="267">
        <f t="shared" si="21"/>
        <v>80807858.300444901</v>
      </c>
      <c r="P30" s="267">
        <f t="shared" si="21"/>
        <v>80807858.300444901</v>
      </c>
      <c r="Q30" s="267">
        <f t="shared" si="21"/>
        <v>54119195.722587362</v>
      </c>
      <c r="R30" s="267"/>
    </row>
    <row r="31" spans="1:18" ht="12.75" customHeight="1" x14ac:dyDescent="0.2">
      <c r="A31" s="764" t="s">
        <v>1541</v>
      </c>
      <c r="B31" s="764"/>
      <c r="C31" s="267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349"/>
    </row>
    <row r="32" spans="1:18" ht="11.4" customHeight="1" x14ac:dyDescent="0.2">
      <c r="A32" s="813" t="s">
        <v>203</v>
      </c>
      <c r="B32" s="813"/>
      <c r="C32" s="270">
        <f>+C30+C29</f>
        <v>21470771629.622108</v>
      </c>
      <c r="D32" s="270">
        <f t="shared" ref="D32:R32" si="22">+D30+D29</f>
        <v>0</v>
      </c>
      <c r="E32" s="270">
        <f t="shared" si="22"/>
        <v>0</v>
      </c>
      <c r="F32" s="270">
        <f t="shared" si="22"/>
        <v>1898012239.8792379</v>
      </c>
      <c r="G32" s="270">
        <f t="shared" si="22"/>
        <v>2462352647.3212605</v>
      </c>
      <c r="H32" s="270">
        <f t="shared" si="22"/>
        <v>2462352647.3212605</v>
      </c>
      <c r="I32" s="270">
        <f t="shared" si="22"/>
        <v>1696965024.3093426</v>
      </c>
      <c r="J32" s="270">
        <f t="shared" si="22"/>
        <v>1696965024.3093426</v>
      </c>
      <c r="K32" s="270">
        <f t="shared" si="22"/>
        <v>1696965024.3093426</v>
      </c>
      <c r="L32" s="270">
        <f t="shared" si="22"/>
        <v>1696965024.3093426</v>
      </c>
      <c r="M32" s="270">
        <f t="shared" si="22"/>
        <v>1696965024.3093426</v>
      </c>
      <c r="N32" s="270">
        <f t="shared" si="22"/>
        <v>1696965024.3093426</v>
      </c>
      <c r="O32" s="270">
        <f t="shared" si="22"/>
        <v>1696965024.3093426</v>
      </c>
      <c r="P32" s="270">
        <f t="shared" si="22"/>
        <v>1696965024.3093426</v>
      </c>
      <c r="Q32" s="270">
        <f t="shared" si="22"/>
        <v>1136503110.1743345</v>
      </c>
      <c r="R32" s="270">
        <f t="shared" si="22"/>
        <v>0</v>
      </c>
    </row>
    <row r="33" spans="1:2" ht="40.950000000000003" customHeight="1" x14ac:dyDescent="0.2">
      <c r="A33" s="67"/>
      <c r="B33" s="266"/>
    </row>
  </sheetData>
  <mergeCells count="43">
    <mergeCell ref="A15:B15"/>
    <mergeCell ref="A31:B31"/>
    <mergeCell ref="B1:R1"/>
    <mergeCell ref="A2:A5"/>
    <mergeCell ref="B2:B3"/>
    <mergeCell ref="A12:R12"/>
    <mergeCell ref="E11:R11"/>
    <mergeCell ref="C10:D10"/>
    <mergeCell ref="C11:D11"/>
    <mergeCell ref="A23:B23"/>
    <mergeCell ref="A17:B17"/>
    <mergeCell ref="A18:B18"/>
    <mergeCell ref="A19:B19"/>
    <mergeCell ref="A21:B21"/>
    <mergeCell ref="A20:B20"/>
    <mergeCell ref="A22:B22"/>
    <mergeCell ref="A28:B28"/>
    <mergeCell ref="A29:B29"/>
    <mergeCell ref="A24:B24"/>
    <mergeCell ref="A25:B25"/>
    <mergeCell ref="A30:B30"/>
    <mergeCell ref="A32:B32"/>
    <mergeCell ref="L2:R2"/>
    <mergeCell ref="L3:R3"/>
    <mergeCell ref="L4:R4"/>
    <mergeCell ref="L5:R5"/>
    <mergeCell ref="A7:B7"/>
    <mergeCell ref="A8:B8"/>
    <mergeCell ref="A9:B9"/>
    <mergeCell ref="A10:B10"/>
    <mergeCell ref="A11:B11"/>
    <mergeCell ref="C8:D8"/>
    <mergeCell ref="C9:D9"/>
    <mergeCell ref="A26:B26"/>
    <mergeCell ref="A27:B27"/>
    <mergeCell ref="A13:B14"/>
    <mergeCell ref="A16:B16"/>
    <mergeCell ref="C13:R13"/>
    <mergeCell ref="L7:R7"/>
    <mergeCell ref="C7:K7"/>
    <mergeCell ref="E8:R8"/>
    <mergeCell ref="E9:R9"/>
    <mergeCell ref="E10:R10"/>
  </mergeCells>
  <phoneticPr fontId="25" type="noConversion"/>
  <pageMargins left="0.7" right="0.4" top="0.75" bottom="0.75" header="0.3" footer="0.3"/>
  <pageSetup scale="68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6"/>
  <sheetViews>
    <sheetView showGridLines="0" view="pageBreakPreview" zoomScale="120" zoomScaleNormal="100" zoomScaleSheetLayoutView="120" workbookViewId="0">
      <selection activeCell="D10" sqref="D10:O10"/>
    </sheetView>
  </sheetViews>
  <sheetFormatPr baseColWidth="10" defaultColWidth="11.5546875" defaultRowHeight="10.199999999999999" x14ac:dyDescent="0.2"/>
  <cols>
    <col min="1" max="1" width="6.88671875" style="68" customWidth="1"/>
    <col min="2" max="2" width="7.88671875" style="68" customWidth="1"/>
    <col min="3" max="3" width="14.6640625" style="68" customWidth="1"/>
    <col min="4" max="4" width="7.33203125" style="68" customWidth="1"/>
    <col min="5" max="5" width="5.33203125" style="68" customWidth="1"/>
    <col min="6" max="6" width="7.6640625" style="68" customWidth="1"/>
    <col min="7" max="7" width="7.33203125" style="68" customWidth="1"/>
    <col min="8" max="9" width="6.33203125" style="68" customWidth="1"/>
    <col min="10" max="10" width="8" style="68" customWidth="1"/>
    <col min="11" max="11" width="7.109375" style="68" customWidth="1"/>
    <col min="12" max="12" width="5.109375" style="68" customWidth="1"/>
    <col min="13" max="13" width="10.44140625" style="68" customWidth="1"/>
    <col min="14" max="14" width="6.88671875" style="68" customWidth="1"/>
    <col min="15" max="15" width="10.6640625" style="68" customWidth="1"/>
    <col min="16" max="16384" width="11.5546875" style="68"/>
  </cols>
  <sheetData>
    <row r="1" spans="1:15" ht="46.5" customHeight="1" x14ac:dyDescent="0.2">
      <c r="A1" s="67"/>
      <c r="B1" s="67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5" ht="10.5" customHeight="1" x14ac:dyDescent="0.2">
      <c r="A2" s="601"/>
      <c r="B2" s="601"/>
      <c r="J2" s="602" t="s">
        <v>60</v>
      </c>
      <c r="K2" s="602"/>
      <c r="L2" s="602"/>
      <c r="M2" s="602"/>
      <c r="N2" s="602"/>
      <c r="O2" s="602"/>
    </row>
    <row r="3" spans="1:15" ht="10.5" customHeight="1" x14ac:dyDescent="0.2">
      <c r="A3" s="601"/>
      <c r="B3" s="601"/>
      <c r="J3" s="602" t="s">
        <v>61</v>
      </c>
      <c r="K3" s="602"/>
      <c r="L3" s="602"/>
      <c r="M3" s="602"/>
      <c r="N3" s="602"/>
      <c r="O3" s="602"/>
    </row>
    <row r="4" spans="1:15" ht="10.5" customHeight="1" x14ac:dyDescent="0.2">
      <c r="A4" s="601"/>
      <c r="B4" s="601"/>
      <c r="C4" s="45" t="s">
        <v>281</v>
      </c>
      <c r="D4" s="45"/>
      <c r="E4" s="45"/>
      <c r="F4" s="45"/>
      <c r="G4" s="45"/>
      <c r="H4" s="45"/>
      <c r="I4" s="45"/>
      <c r="J4" s="602" t="str">
        <f>VLOOKUP(C4,'[9]LOGOS SUB REGION'!$B$6:$C$22,2,FALSE)</f>
        <v>MUNICIPIO DE TURBO</v>
      </c>
      <c r="K4" s="602"/>
      <c r="L4" s="602"/>
      <c r="M4" s="602"/>
      <c r="N4" s="602"/>
      <c r="O4" s="602"/>
    </row>
    <row r="5" spans="1:15" ht="10.5" customHeight="1" x14ac:dyDescent="0.2">
      <c r="A5" s="601"/>
      <c r="B5" s="601"/>
      <c r="C5" s="45" t="s">
        <v>280</v>
      </c>
      <c r="D5" s="45"/>
      <c r="E5" s="45"/>
      <c r="F5" s="45"/>
      <c r="G5" s="45"/>
      <c r="H5" s="45"/>
      <c r="I5" s="45"/>
      <c r="J5" s="602" t="str">
        <f>VLOOKUP(C5,'[9]LOGOS SUB REGION'!$B$6:$C$22,2,FALSE)</f>
        <v>SECRETARIA DE PLANEACION Y SECRETARIA DE OBRAS PUBLICAS</v>
      </c>
      <c r="K5" s="602"/>
      <c r="L5" s="602"/>
      <c r="M5" s="602"/>
      <c r="N5" s="602"/>
      <c r="O5" s="602"/>
    </row>
    <row r="6" spans="1:15" ht="10.5" customHeight="1" x14ac:dyDescent="0.2">
      <c r="B6" s="27"/>
    </row>
    <row r="7" spans="1:15" x14ac:dyDescent="0.2">
      <c r="A7" s="823" t="s">
        <v>21</v>
      </c>
      <c r="B7" s="823"/>
      <c r="C7" s="807" t="str">
        <f>+J4</f>
        <v>MUNICIPIO DE TURBO</v>
      </c>
      <c r="D7" s="808"/>
      <c r="E7" s="808"/>
      <c r="F7" s="808"/>
      <c r="G7" s="808"/>
      <c r="H7" s="808"/>
      <c r="I7" s="808"/>
      <c r="J7" s="809"/>
      <c r="K7" s="85"/>
      <c r="L7" s="11" t="s">
        <v>22</v>
      </c>
      <c r="M7" s="807" t="str">
        <f>+J3</f>
        <v>DEPARTAMENTO DE ANTIOQUIA</v>
      </c>
      <c r="N7" s="808"/>
      <c r="O7" s="809"/>
    </row>
    <row r="8" spans="1:15" x14ac:dyDescent="0.2">
      <c r="A8" s="2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</row>
    <row r="9" spans="1:15" ht="12" customHeight="1" x14ac:dyDescent="0.2">
      <c r="A9" s="8" t="s">
        <v>20</v>
      </c>
      <c r="B9" s="105"/>
      <c r="C9" s="11" t="s">
        <v>72</v>
      </c>
      <c r="D9" s="607" t="s">
        <v>2</v>
      </c>
      <c r="E9" s="827"/>
      <c r="F9" s="827"/>
      <c r="G9" s="827"/>
      <c r="H9" s="827"/>
      <c r="I9" s="827"/>
      <c r="J9" s="608"/>
      <c r="K9" s="824" t="s">
        <v>10</v>
      </c>
      <c r="L9" s="825"/>
      <c r="M9" s="826">
        <f>'AJUSTE PRESUPUESTO'!H9</f>
        <v>45152</v>
      </c>
      <c r="N9" s="826"/>
      <c r="O9" s="826"/>
    </row>
    <row r="10" spans="1:15" x14ac:dyDescent="0.2">
      <c r="A10" s="819" t="s">
        <v>8</v>
      </c>
      <c r="B10" s="820"/>
      <c r="C10" s="10" t="s">
        <v>64</v>
      </c>
      <c r="D10" s="822" t="s">
        <v>1061</v>
      </c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</row>
    <row r="11" spans="1:15" ht="10.199999999999999" customHeight="1" x14ac:dyDescent="0.2">
      <c r="A11" s="819" t="s">
        <v>7</v>
      </c>
      <c r="B11" s="820"/>
      <c r="C11" s="10" t="s">
        <v>63</v>
      </c>
      <c r="D11" s="822" t="s">
        <v>1117</v>
      </c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</row>
    <row r="12" spans="1:15" x14ac:dyDescent="0.2">
      <c r="A12" s="819" t="s">
        <v>9</v>
      </c>
      <c r="B12" s="820"/>
      <c r="C12" s="10" t="s">
        <v>62</v>
      </c>
      <c r="D12" s="822" t="s">
        <v>1035</v>
      </c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</row>
    <row r="13" spans="1:15" ht="10.199999999999999" customHeight="1" x14ac:dyDescent="0.2">
      <c r="A13" s="821" t="s">
        <v>66</v>
      </c>
      <c r="B13" s="821"/>
      <c r="C13" s="10" t="s">
        <v>65</v>
      </c>
      <c r="D13" s="822" t="s">
        <v>67</v>
      </c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</row>
    <row r="15" spans="1:15" s="111" customFormat="1" ht="17.399999999999999" customHeight="1" x14ac:dyDescent="0.3">
      <c r="A15" s="71" t="s">
        <v>72</v>
      </c>
      <c r="B15" s="71" t="s">
        <v>75</v>
      </c>
      <c r="C15" s="110" t="s">
        <v>35</v>
      </c>
      <c r="D15" s="110" t="s">
        <v>1045</v>
      </c>
      <c r="E15" s="110" t="s">
        <v>1046</v>
      </c>
      <c r="F15" s="110" t="s">
        <v>1047</v>
      </c>
      <c r="G15" s="110" t="s">
        <v>1049</v>
      </c>
      <c r="H15" s="110" t="s">
        <v>1050</v>
      </c>
      <c r="I15" s="110" t="s">
        <v>1052</v>
      </c>
      <c r="J15" s="71" t="s">
        <v>437</v>
      </c>
      <c r="K15" s="71" t="s">
        <v>511</v>
      </c>
      <c r="L15" s="71" t="s">
        <v>512</v>
      </c>
      <c r="M15" s="71" t="s">
        <v>513</v>
      </c>
      <c r="N15" s="71" t="s">
        <v>1056</v>
      </c>
      <c r="O15" s="71" t="s">
        <v>1057</v>
      </c>
    </row>
    <row r="16" spans="1:15" ht="9.75" customHeight="1" x14ac:dyDescent="0.2">
      <c r="A16" s="39" t="s">
        <v>1058</v>
      </c>
      <c r="B16" s="39" t="s">
        <v>50</v>
      </c>
      <c r="C16" s="219" t="s">
        <v>1040</v>
      </c>
      <c r="D16" s="221">
        <f>5000000/240</f>
        <v>20833.333333333332</v>
      </c>
      <c r="E16" s="38">
        <f>+IF(D16&lt;($C$29/240)*2,$C$31*$C$29/240,0)</f>
        <v>0</v>
      </c>
      <c r="F16" s="220">
        <f t="shared" ref="F16:F27" si="0">+D16*$C$32</f>
        <v>3472.222222222229</v>
      </c>
      <c r="G16" s="222">
        <f>+$C$33*(D16+F16+E16)</f>
        <v>10886.458333333336</v>
      </c>
      <c r="H16" s="220">
        <f>+$C$29/240*$C$34</f>
        <v>208.20387500000001</v>
      </c>
      <c r="I16" s="220"/>
      <c r="J16" s="15">
        <f>+H16+G16+F16+E16+D16+I16</f>
        <v>35400.217763888897</v>
      </c>
      <c r="K16" s="15">
        <v>103</v>
      </c>
      <c r="L16" s="15">
        <v>1</v>
      </c>
      <c r="M16" s="15">
        <f>+L16*K16*J16</f>
        <v>3646222.4296805565</v>
      </c>
      <c r="N16" s="39">
        <v>1</v>
      </c>
      <c r="O16" s="103">
        <f t="shared" ref="O16:O27" si="1">+N16*M16</f>
        <v>3646222.4296805565</v>
      </c>
    </row>
    <row r="17" spans="1:16" ht="9.75" customHeight="1" x14ac:dyDescent="0.2">
      <c r="A17" s="39" t="s">
        <v>1058</v>
      </c>
      <c r="B17" s="39" t="s">
        <v>51</v>
      </c>
      <c r="C17" s="219" t="s">
        <v>1041</v>
      </c>
      <c r="D17" s="221">
        <f>3300000/240</f>
        <v>13750</v>
      </c>
      <c r="E17" s="38">
        <f t="shared" ref="E17:E27" si="2">+IF(D17&lt;($C$29/240)*2,$C$31*$C$29/240,0)</f>
        <v>0</v>
      </c>
      <c r="F17" s="220">
        <f t="shared" si="0"/>
        <v>2291.6666666666711</v>
      </c>
      <c r="G17" s="222">
        <f t="shared" ref="G17:G27" si="3">+$C$33*(D17+F17+E17)</f>
        <v>7185.0625000000018</v>
      </c>
      <c r="H17" s="220">
        <f t="shared" ref="H17:H27" si="4">+$C$29/240*$C$34</f>
        <v>208.20387500000001</v>
      </c>
      <c r="I17" s="220"/>
      <c r="J17" s="15">
        <f t="shared" ref="J17:J27" si="5">+H17+G17+F17+E17+D17+I17</f>
        <v>23434.933041666671</v>
      </c>
      <c r="K17" s="15">
        <v>206</v>
      </c>
      <c r="L17" s="15">
        <v>1</v>
      </c>
      <c r="M17" s="15">
        <f t="shared" ref="M17:M27" si="6">+L17*K17*J17</f>
        <v>4827596.2065833341</v>
      </c>
      <c r="N17" s="39">
        <v>1</v>
      </c>
      <c r="O17" s="103">
        <f t="shared" si="1"/>
        <v>4827596.2065833341</v>
      </c>
    </row>
    <row r="18" spans="1:16" ht="9.75" customHeight="1" x14ac:dyDescent="0.2">
      <c r="A18" s="39" t="s">
        <v>1058</v>
      </c>
      <c r="B18" s="39" t="s">
        <v>52</v>
      </c>
      <c r="C18" s="219" t="s">
        <v>1042</v>
      </c>
      <c r="D18" s="221">
        <f>3300000/240</f>
        <v>13750</v>
      </c>
      <c r="E18" s="38">
        <f t="shared" si="2"/>
        <v>0</v>
      </c>
      <c r="F18" s="220">
        <f t="shared" si="0"/>
        <v>2291.6666666666711</v>
      </c>
      <c r="G18" s="222">
        <f t="shared" si="3"/>
        <v>7185.0625000000018</v>
      </c>
      <c r="H18" s="220">
        <f t="shared" si="4"/>
        <v>208.20387500000001</v>
      </c>
      <c r="I18" s="220"/>
      <c r="J18" s="15">
        <f t="shared" si="5"/>
        <v>23434.933041666671</v>
      </c>
      <c r="K18" s="15">
        <v>206</v>
      </c>
      <c r="L18" s="15">
        <v>1</v>
      </c>
      <c r="M18" s="15">
        <f t="shared" si="6"/>
        <v>4827596.2065833341</v>
      </c>
      <c r="N18" s="39">
        <v>2</v>
      </c>
      <c r="O18" s="103">
        <f t="shared" si="1"/>
        <v>9655192.4131666683</v>
      </c>
    </row>
    <row r="19" spans="1:16" ht="9.75" customHeight="1" x14ac:dyDescent="0.2">
      <c r="A19" s="39" t="s">
        <v>1058</v>
      </c>
      <c r="B19" s="39" t="s">
        <v>175</v>
      </c>
      <c r="C19" s="219" t="s">
        <v>1043</v>
      </c>
      <c r="D19" s="221">
        <f>1820000/240</f>
        <v>7583.333333333333</v>
      </c>
      <c r="E19" s="38">
        <f t="shared" si="2"/>
        <v>0</v>
      </c>
      <c r="F19" s="220">
        <f t="shared" si="0"/>
        <v>1263.8888888888912</v>
      </c>
      <c r="G19" s="222">
        <f t="shared" si="3"/>
        <v>3962.670833333334</v>
      </c>
      <c r="H19" s="220">
        <f t="shared" si="4"/>
        <v>208.20387500000001</v>
      </c>
      <c r="I19" s="220"/>
      <c r="J19" s="15">
        <f t="shared" si="5"/>
        <v>13018.096930555559</v>
      </c>
      <c r="K19" s="15">
        <v>206</v>
      </c>
      <c r="L19" s="15">
        <v>1</v>
      </c>
      <c r="M19" s="15">
        <f t="shared" si="6"/>
        <v>2681727.967694445</v>
      </c>
      <c r="N19" s="39">
        <v>1</v>
      </c>
      <c r="O19" s="103">
        <f t="shared" si="1"/>
        <v>2681727.967694445</v>
      </c>
    </row>
    <row r="20" spans="1:16" ht="9.75" customHeight="1" x14ac:dyDescent="0.2">
      <c r="A20" s="39" t="s">
        <v>1058</v>
      </c>
      <c r="B20" s="39" t="s">
        <v>176</v>
      </c>
      <c r="C20" s="219" t="s">
        <v>1059</v>
      </c>
      <c r="D20" s="221">
        <f>3300000/240</f>
        <v>13750</v>
      </c>
      <c r="E20" s="38">
        <f t="shared" si="2"/>
        <v>0</v>
      </c>
      <c r="F20" s="220">
        <f t="shared" si="0"/>
        <v>2291.6666666666711</v>
      </c>
      <c r="G20" s="222">
        <f t="shared" si="3"/>
        <v>7185.0625000000018</v>
      </c>
      <c r="H20" s="220">
        <f t="shared" si="4"/>
        <v>208.20387500000001</v>
      </c>
      <c r="I20" s="220">
        <f t="shared" ref="I20:I26" si="7">+D20*$C$35</f>
        <v>165</v>
      </c>
      <c r="J20" s="15">
        <f>+H20+G20+F20+E20+D20+I20</f>
        <v>23599.933041666671</v>
      </c>
      <c r="K20" s="15">
        <v>206</v>
      </c>
      <c r="L20" s="15">
        <v>1</v>
      </c>
      <c r="M20" s="15">
        <f>+L20*K20*J20</f>
        <v>4861586.2065833341</v>
      </c>
      <c r="N20" s="39">
        <v>2</v>
      </c>
      <c r="O20" s="103">
        <f>+N20*M20</f>
        <v>9723172.4131666683</v>
      </c>
    </row>
    <row r="21" spans="1:16" ht="9.75" customHeight="1" x14ac:dyDescent="0.2">
      <c r="A21" s="39" t="s">
        <v>1058</v>
      </c>
      <c r="B21" s="39" t="s">
        <v>177</v>
      </c>
      <c r="C21" s="219" t="s">
        <v>1060</v>
      </c>
      <c r="D21" s="221">
        <f>2800000/240</f>
        <v>11666.666666666666</v>
      </c>
      <c r="E21" s="38">
        <f t="shared" si="2"/>
        <v>0</v>
      </c>
      <c r="F21" s="220">
        <f t="shared" si="0"/>
        <v>1944.4444444444482</v>
      </c>
      <c r="G21" s="222">
        <f t="shared" si="3"/>
        <v>6096.4166666666679</v>
      </c>
      <c r="H21" s="220">
        <f t="shared" si="4"/>
        <v>208.20387500000001</v>
      </c>
      <c r="I21" s="220">
        <f t="shared" si="7"/>
        <v>140</v>
      </c>
      <c r="J21" s="15">
        <f>+H21+G21+F21+E21+D21+I21</f>
        <v>20055.73165277778</v>
      </c>
      <c r="K21" s="15">
        <v>206</v>
      </c>
      <c r="L21" s="15">
        <v>1</v>
      </c>
      <c r="M21" s="15">
        <f>+L21*K21*J21</f>
        <v>4131480.7204722227</v>
      </c>
      <c r="N21" s="39">
        <v>2</v>
      </c>
      <c r="O21" s="103">
        <f>+N21*M21</f>
        <v>8262961.4409444453</v>
      </c>
      <c r="P21" s="68">
        <v>184840899.98933434</v>
      </c>
    </row>
    <row r="22" spans="1:16" ht="9.75" customHeight="1" x14ac:dyDescent="0.2">
      <c r="A22" s="39" t="s">
        <v>1058</v>
      </c>
      <c r="B22" s="39" t="s">
        <v>178</v>
      </c>
      <c r="C22" s="219" t="s">
        <v>1075</v>
      </c>
      <c r="D22" s="221">
        <f>2800000/240</f>
        <v>11666.666666666666</v>
      </c>
      <c r="E22" s="38">
        <f t="shared" si="2"/>
        <v>0</v>
      </c>
      <c r="F22" s="220">
        <f t="shared" si="0"/>
        <v>1944.4444444444482</v>
      </c>
      <c r="G22" s="222">
        <f t="shared" si="3"/>
        <v>6096.4166666666679</v>
      </c>
      <c r="H22" s="220">
        <f t="shared" si="4"/>
        <v>208.20387500000001</v>
      </c>
      <c r="I22" s="220">
        <f t="shared" si="7"/>
        <v>140</v>
      </c>
      <c r="J22" s="15">
        <f>+H22+G22+F22+E22+D22+I22</f>
        <v>20055.73165277778</v>
      </c>
      <c r="K22" s="15">
        <v>206</v>
      </c>
      <c r="L22" s="15">
        <v>1</v>
      </c>
      <c r="M22" s="15">
        <f>+L22*K22*J22</f>
        <v>4131480.7204722227</v>
      </c>
      <c r="N22" s="39">
        <v>2</v>
      </c>
      <c r="O22" s="103">
        <f>+N22*M22</f>
        <v>8262961.4409444453</v>
      </c>
    </row>
    <row r="23" spans="1:16" ht="9.75" customHeight="1" x14ac:dyDescent="0.2">
      <c r="A23" s="39" t="s">
        <v>1058</v>
      </c>
      <c r="B23" s="39" t="s">
        <v>1065</v>
      </c>
      <c r="C23" s="219" t="s">
        <v>380</v>
      </c>
      <c r="D23" s="221">
        <f>1100000/240</f>
        <v>4583.333333333333</v>
      </c>
      <c r="E23" s="38">
        <f t="shared" si="2"/>
        <v>443.55833333333334</v>
      </c>
      <c r="F23" s="220">
        <f t="shared" si="0"/>
        <v>763.88888888889028</v>
      </c>
      <c r="G23" s="222">
        <f t="shared" si="3"/>
        <v>2593.6906108333337</v>
      </c>
      <c r="H23" s="220">
        <f t="shared" si="4"/>
        <v>208.20387500000001</v>
      </c>
      <c r="I23" s="220">
        <f t="shared" si="7"/>
        <v>55</v>
      </c>
      <c r="J23" s="15">
        <f t="shared" si="5"/>
        <v>8647.6750413888913</v>
      </c>
      <c r="K23" s="15">
        <v>206</v>
      </c>
      <c r="L23" s="15">
        <v>1</v>
      </c>
      <c r="M23" s="15">
        <f t="shared" si="6"/>
        <v>1781421.0585261115</v>
      </c>
      <c r="N23" s="39">
        <v>2</v>
      </c>
      <c r="O23" s="103">
        <f t="shared" si="1"/>
        <v>3562842.1170522231</v>
      </c>
    </row>
    <row r="24" spans="1:16" ht="14.25" customHeight="1" x14ac:dyDescent="0.2">
      <c r="A24" s="39" t="s">
        <v>1058</v>
      </c>
      <c r="B24" s="39" t="s">
        <v>1066</v>
      </c>
      <c r="C24" s="219" t="s">
        <v>1074</v>
      </c>
      <c r="D24" s="221">
        <f>+$C$29/240</f>
        <v>3785.5250000000001</v>
      </c>
      <c r="E24" s="38">
        <f>+IF(D24&lt;($C$29/240)*2,$C$31*$C$29/240,0)</f>
        <v>443.55833333333334</v>
      </c>
      <c r="F24" s="220">
        <f>+D24*$C$32</f>
        <v>630.9208333333346</v>
      </c>
      <c r="G24" s="222">
        <f>+$C$33*(D24+F24+E24)</f>
        <v>2176.7958662500005</v>
      </c>
      <c r="H24" s="220">
        <f t="shared" si="4"/>
        <v>208.20387500000001</v>
      </c>
      <c r="I24" s="220">
        <f>+D24*$C$35</f>
        <v>45.426300000000005</v>
      </c>
      <c r="J24" s="15">
        <f>+H24+G24+F24+E24+D24+I24</f>
        <v>7290.4302079166691</v>
      </c>
      <c r="K24" s="15">
        <v>206</v>
      </c>
      <c r="L24" s="15">
        <v>1</v>
      </c>
      <c r="M24" s="15">
        <f>+L24*K24*J24</f>
        <v>1501828.6228308338</v>
      </c>
      <c r="N24" s="39">
        <v>8</v>
      </c>
      <c r="O24" s="103">
        <f>+N24*M24</f>
        <v>12014628.98264667</v>
      </c>
    </row>
    <row r="25" spans="1:16" ht="9.75" customHeight="1" x14ac:dyDescent="0.2">
      <c r="A25" s="39" t="s">
        <v>1058</v>
      </c>
      <c r="B25" s="39" t="s">
        <v>1067</v>
      </c>
      <c r="C25" s="219" t="s">
        <v>1044</v>
      </c>
      <c r="D25" s="221">
        <f>1100000/240</f>
        <v>4583.333333333333</v>
      </c>
      <c r="E25" s="38">
        <f t="shared" si="2"/>
        <v>443.55833333333334</v>
      </c>
      <c r="F25" s="220">
        <f t="shared" si="0"/>
        <v>763.88888888889028</v>
      </c>
      <c r="G25" s="222">
        <f t="shared" si="3"/>
        <v>2593.6906108333337</v>
      </c>
      <c r="H25" s="220">
        <f t="shared" si="4"/>
        <v>208.20387500000001</v>
      </c>
      <c r="I25" s="220">
        <f t="shared" si="7"/>
        <v>55</v>
      </c>
      <c r="J25" s="15">
        <f t="shared" si="5"/>
        <v>8647.6750413888913</v>
      </c>
      <c r="K25" s="15">
        <v>206</v>
      </c>
      <c r="L25" s="15">
        <v>1</v>
      </c>
      <c r="M25" s="15">
        <f>+L25*K25*J25</f>
        <v>1781421.0585261115</v>
      </c>
      <c r="N25" s="39">
        <v>2</v>
      </c>
      <c r="O25" s="103">
        <f t="shared" si="1"/>
        <v>3562842.1170522231</v>
      </c>
      <c r="P25" s="68">
        <v>184840899.98933434</v>
      </c>
    </row>
    <row r="26" spans="1:16" ht="9.75" customHeight="1" x14ac:dyDescent="0.2">
      <c r="A26" s="39" t="s">
        <v>1058</v>
      </c>
      <c r="B26" s="39" t="s">
        <v>1068</v>
      </c>
      <c r="C26" s="219" t="s">
        <v>1051</v>
      </c>
      <c r="D26" s="221">
        <f>+$C$29/240</f>
        <v>3785.5250000000001</v>
      </c>
      <c r="E26" s="38">
        <f t="shared" si="2"/>
        <v>443.55833333333334</v>
      </c>
      <c r="F26" s="220">
        <f t="shared" si="0"/>
        <v>630.9208333333346</v>
      </c>
      <c r="G26" s="222">
        <f t="shared" si="3"/>
        <v>2176.7958662500005</v>
      </c>
      <c r="H26" s="220">
        <f t="shared" si="4"/>
        <v>208.20387500000001</v>
      </c>
      <c r="I26" s="220">
        <f t="shared" si="7"/>
        <v>45.426300000000005</v>
      </c>
      <c r="J26" s="15">
        <f t="shared" si="5"/>
        <v>7290.4302079166691</v>
      </c>
      <c r="K26" s="15">
        <v>206</v>
      </c>
      <c r="L26" s="15">
        <v>1</v>
      </c>
      <c r="M26" s="15">
        <f>+L26*K26*J26</f>
        <v>1501828.6228308338</v>
      </c>
      <c r="N26" s="39">
        <v>2</v>
      </c>
      <c r="O26" s="103">
        <f>+N26*M26</f>
        <v>3003657.2456616675</v>
      </c>
    </row>
    <row r="27" spans="1:16" ht="9.75" customHeight="1" x14ac:dyDescent="0.2">
      <c r="A27" s="39" t="s">
        <v>1058</v>
      </c>
      <c r="B27" s="39" t="s">
        <v>1069</v>
      </c>
      <c r="C27" s="219" t="s">
        <v>1055</v>
      </c>
      <c r="D27" s="221">
        <f>+$C$29/240</f>
        <v>3785.5250000000001</v>
      </c>
      <c r="E27" s="38">
        <f t="shared" si="2"/>
        <v>443.55833333333334</v>
      </c>
      <c r="F27" s="220">
        <f t="shared" si="0"/>
        <v>630.9208333333346</v>
      </c>
      <c r="G27" s="222">
        <f t="shared" si="3"/>
        <v>2176.7958662500005</v>
      </c>
      <c r="H27" s="220">
        <f t="shared" si="4"/>
        <v>208.20387500000001</v>
      </c>
      <c r="I27" s="220">
        <f>+D27*C36+D27*C35</f>
        <v>1181.0838000000001</v>
      </c>
      <c r="J27" s="15">
        <f t="shared" si="5"/>
        <v>8426.0877079166694</v>
      </c>
      <c r="K27" s="15">
        <v>206</v>
      </c>
      <c r="L27" s="15">
        <v>1</v>
      </c>
      <c r="M27" s="15">
        <f t="shared" si="6"/>
        <v>1735774.0678308338</v>
      </c>
      <c r="N27" s="39">
        <v>3</v>
      </c>
      <c r="O27" s="103">
        <f t="shared" si="1"/>
        <v>5207322.2034925018</v>
      </c>
    </row>
    <row r="28" spans="1:16" ht="9.75" customHeight="1" x14ac:dyDescent="0.2">
      <c r="A28" s="45"/>
      <c r="B28" s="45"/>
      <c r="C28" s="78"/>
      <c r="D28" s="78"/>
      <c r="E28" s="78"/>
      <c r="F28" s="78"/>
      <c r="G28" s="78"/>
      <c r="H28" s="78"/>
      <c r="I28" s="78"/>
      <c r="J28" s="101"/>
      <c r="K28" s="101"/>
      <c r="L28" s="101"/>
      <c r="M28" s="101"/>
      <c r="N28" s="45"/>
      <c r="O28" s="104">
        <f>SUM(O16:O27)</f>
        <v>74411126.978085846</v>
      </c>
      <c r="P28" s="68">
        <f>+O28/4</f>
        <v>18602781.744521461</v>
      </c>
    </row>
    <row r="29" spans="1:16" ht="10.199999999999999" customHeight="1" x14ac:dyDescent="0.2">
      <c r="A29" s="818" t="s">
        <v>184</v>
      </c>
      <c r="B29" s="818"/>
      <c r="C29" s="108">
        <v>908526</v>
      </c>
    </row>
    <row r="30" spans="1:16" ht="10.199999999999999" customHeight="1" x14ac:dyDescent="0.2">
      <c r="A30" s="818" t="s">
        <v>515</v>
      </c>
      <c r="B30" s="818"/>
      <c r="C30" s="102">
        <v>106454</v>
      </c>
    </row>
    <row r="31" spans="1:16" ht="10.199999999999999" customHeight="1" x14ac:dyDescent="0.2">
      <c r="A31" s="818" t="s">
        <v>516</v>
      </c>
      <c r="B31" s="818"/>
      <c r="C31" s="106">
        <f>+C30/C29</f>
        <v>0.11717221081179845</v>
      </c>
    </row>
    <row r="32" spans="1:16" ht="10.199999999999999" customHeight="1" x14ac:dyDescent="0.2">
      <c r="A32" s="818" t="s">
        <v>517</v>
      </c>
      <c r="B32" s="818"/>
      <c r="C32" s="106">
        <v>0.16666666666666699</v>
      </c>
    </row>
    <row r="33" spans="1:5" ht="10.199999999999999" customHeight="1" x14ac:dyDescent="0.2">
      <c r="A33" s="818" t="s">
        <v>518</v>
      </c>
      <c r="B33" s="818"/>
      <c r="C33" s="107">
        <v>0.44789999999999996</v>
      </c>
    </row>
    <row r="34" spans="1:5" ht="10.199999999999999" customHeight="1" x14ac:dyDescent="0.2">
      <c r="A34" s="818" t="s">
        <v>519</v>
      </c>
      <c r="B34" s="818"/>
      <c r="C34" s="107">
        <v>5.5E-2</v>
      </c>
    </row>
    <row r="35" spans="1:5" ht="10.199999999999999" customHeight="1" x14ac:dyDescent="0.2">
      <c r="A35" s="818" t="s">
        <v>1054</v>
      </c>
      <c r="B35" s="818"/>
      <c r="C35" s="107">
        <v>1.2E-2</v>
      </c>
      <c r="D35" s="168"/>
      <c r="E35" s="168"/>
    </row>
    <row r="36" spans="1:5" ht="10.199999999999999" customHeight="1" x14ac:dyDescent="0.2">
      <c r="A36" s="818" t="s">
        <v>1053</v>
      </c>
      <c r="B36" s="818"/>
      <c r="C36" s="107">
        <v>0.3</v>
      </c>
    </row>
  </sheetData>
  <mergeCells count="28">
    <mergeCell ref="C1:N1"/>
    <mergeCell ref="A2:B5"/>
    <mergeCell ref="J2:O2"/>
    <mergeCell ref="J3:O3"/>
    <mergeCell ref="J4:O4"/>
    <mergeCell ref="J5:O5"/>
    <mergeCell ref="A7:B7"/>
    <mergeCell ref="C7:J7"/>
    <mergeCell ref="M7:O7"/>
    <mergeCell ref="K9:L9"/>
    <mergeCell ref="M9:O9"/>
    <mergeCell ref="D9:J9"/>
    <mergeCell ref="D10:O10"/>
    <mergeCell ref="D11:O11"/>
    <mergeCell ref="D12:O12"/>
    <mergeCell ref="D13:O13"/>
    <mergeCell ref="A29:B29"/>
    <mergeCell ref="A36:B36"/>
    <mergeCell ref="A35:B35"/>
    <mergeCell ref="A10:B10"/>
    <mergeCell ref="A11:B11"/>
    <mergeCell ref="A12:B12"/>
    <mergeCell ref="A13:B13"/>
    <mergeCell ref="A30:B30"/>
    <mergeCell ref="A31:B31"/>
    <mergeCell ref="A32:B32"/>
    <mergeCell ref="A33:B33"/>
    <mergeCell ref="A34:B34"/>
  </mergeCells>
  <phoneticPr fontId="25" type="noConversion"/>
  <pageMargins left="0.70866141732283472" right="0.59" top="1.2204724409448819" bottom="1.08" header="0.31496062992125984" footer="0.77"/>
  <pageSetup scale="78" orientation="landscape" r:id="rId1"/>
  <headerFooter>
    <oddHeader>&amp;L&amp;G&amp;C&amp;G&amp;R&amp;G</oddHeader>
    <oddFooter>&amp;L&amp;G&amp;R&amp;G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showGridLines="0" view="pageBreakPreview" zoomScale="120" zoomScaleNormal="100" zoomScaleSheetLayoutView="120" workbookViewId="0">
      <selection activeCell="E10" sqref="E10:J10"/>
    </sheetView>
  </sheetViews>
  <sheetFormatPr baseColWidth="10" defaultColWidth="11.5546875" defaultRowHeight="10.199999999999999" x14ac:dyDescent="0.2"/>
  <cols>
    <col min="1" max="1" width="6.88671875" style="68" customWidth="1"/>
    <col min="2" max="2" width="7.88671875" style="68" customWidth="1"/>
    <col min="3" max="3" width="24.33203125" style="68" customWidth="1"/>
    <col min="4" max="4" width="7.33203125" style="68" customWidth="1"/>
    <col min="5" max="5" width="7.6640625" style="68" customWidth="1"/>
    <col min="6" max="6" width="6.33203125" style="68" customWidth="1"/>
    <col min="7" max="7" width="9.6640625" style="68" customWidth="1"/>
    <col min="8" max="8" width="9.109375" style="68" customWidth="1"/>
    <col min="9" max="9" width="6.33203125" style="68" customWidth="1"/>
    <col min="10" max="10" width="11.6640625" style="68" customWidth="1"/>
    <col min="11" max="16384" width="11.5546875" style="68"/>
  </cols>
  <sheetData>
    <row r="1" spans="1:19" s="227" customFormat="1" ht="38.25" customHeight="1" x14ac:dyDescent="0.3">
      <c r="A1" s="224"/>
      <c r="B1" s="224"/>
      <c r="C1" s="224"/>
      <c r="D1" s="701"/>
      <c r="E1" s="701"/>
      <c r="F1" s="701"/>
      <c r="G1" s="701"/>
      <c r="H1" s="701"/>
      <c r="I1" s="701"/>
      <c r="J1" s="226"/>
    </row>
    <row r="2" spans="1:19" s="227" customFormat="1" ht="9.75" customHeight="1" x14ac:dyDescent="0.3">
      <c r="A2" s="705"/>
      <c r="B2" s="705"/>
      <c r="C2" s="705"/>
      <c r="D2" s="705"/>
      <c r="F2" s="237"/>
      <c r="G2" s="603" t="s">
        <v>60</v>
      </c>
      <c r="H2" s="603"/>
      <c r="I2" s="603"/>
      <c r="J2" s="603"/>
    </row>
    <row r="3" spans="1:19" s="227" customFormat="1" ht="9.75" customHeight="1" x14ac:dyDescent="0.3">
      <c r="A3" s="705"/>
      <c r="B3" s="705"/>
      <c r="C3" s="705"/>
      <c r="D3" s="705"/>
      <c r="F3" s="237"/>
      <c r="G3" s="603" t="s">
        <v>61</v>
      </c>
      <c r="H3" s="603"/>
      <c r="I3" s="603"/>
      <c r="J3" s="603"/>
    </row>
    <row r="4" spans="1:19" s="227" customFormat="1" ht="9.75" customHeight="1" x14ac:dyDescent="0.2">
      <c r="A4" s="705"/>
      <c r="B4" s="705"/>
      <c r="F4" s="168" t="s">
        <v>281</v>
      </c>
      <c r="G4" s="603" t="s">
        <v>1061</v>
      </c>
      <c r="H4" s="603"/>
      <c r="I4" s="603"/>
      <c r="J4" s="603"/>
      <c r="M4" s="237"/>
      <c r="N4" s="237"/>
      <c r="O4" s="237"/>
      <c r="P4" s="237"/>
      <c r="Q4" s="237"/>
      <c r="R4" s="237"/>
      <c r="S4" s="237"/>
    </row>
    <row r="5" spans="1:19" s="227" customFormat="1" ht="9.75" customHeight="1" x14ac:dyDescent="0.2">
      <c r="A5" s="705"/>
      <c r="B5" s="705"/>
      <c r="F5" s="168" t="s">
        <v>280</v>
      </c>
      <c r="G5" s="603" t="s">
        <v>1062</v>
      </c>
      <c r="H5" s="603"/>
      <c r="I5" s="603"/>
      <c r="J5" s="603"/>
      <c r="M5" s="237"/>
      <c r="N5" s="237"/>
      <c r="O5" s="237"/>
      <c r="P5" s="237"/>
      <c r="Q5" s="237"/>
      <c r="R5" s="237"/>
      <c r="S5" s="237"/>
    </row>
    <row r="6" spans="1:19" s="227" customFormat="1" ht="10.5" customHeight="1" x14ac:dyDescent="0.3">
      <c r="B6" s="155"/>
      <c r="C6" s="155"/>
      <c r="I6" s="226"/>
      <c r="J6" s="226"/>
      <c r="M6" s="237"/>
      <c r="N6" s="237"/>
      <c r="O6" s="237"/>
      <c r="P6" s="237"/>
      <c r="Q6" s="237"/>
      <c r="R6" s="237"/>
      <c r="S6" s="237"/>
    </row>
    <row r="7" spans="1:19" s="227" customFormat="1" ht="12" customHeight="1" x14ac:dyDescent="0.3">
      <c r="A7" s="706" t="s">
        <v>21</v>
      </c>
      <c r="B7" s="706"/>
      <c r="C7" s="707" t="str">
        <f>+G4</f>
        <v>DISTRITO DE TURBO</v>
      </c>
      <c r="D7" s="707"/>
      <c r="E7" s="707" t="s">
        <v>22</v>
      </c>
      <c r="F7" s="707"/>
      <c r="G7" s="707"/>
      <c r="H7" s="707" t="str">
        <f>+G3</f>
        <v>DEPARTAMENTO DE ANTIOQUIA</v>
      </c>
      <c r="I7" s="707"/>
      <c r="J7" s="707"/>
      <c r="M7" s="237"/>
      <c r="N7" s="237"/>
      <c r="O7" s="237"/>
      <c r="P7" s="237"/>
      <c r="Q7" s="237"/>
      <c r="R7" s="237"/>
      <c r="S7" s="237"/>
    </row>
    <row r="8" spans="1:19" s="227" customFormat="1" ht="7.2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226"/>
    </row>
    <row r="9" spans="1:19" s="227" customFormat="1" ht="10.199999999999999" customHeight="1" x14ac:dyDescent="0.3">
      <c r="A9" s="706" t="s">
        <v>20</v>
      </c>
      <c r="B9" s="706"/>
      <c r="C9" s="707" t="s">
        <v>1105</v>
      </c>
      <c r="D9" s="707"/>
      <c r="E9" s="708" t="s">
        <v>10</v>
      </c>
      <c r="F9" s="708"/>
      <c r="G9" s="708"/>
      <c r="H9" s="611">
        <f>'AJUSTE PRESUPUESTO'!H9</f>
        <v>45152</v>
      </c>
      <c r="I9" s="611"/>
      <c r="J9" s="611"/>
      <c r="K9" s="238"/>
    </row>
    <row r="10" spans="1:19" s="227" customFormat="1" ht="10.199999999999999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</row>
    <row r="11" spans="1:19" s="227" customFormat="1" ht="18.600000000000001" customHeight="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</row>
    <row r="12" spans="1:19" s="227" customFormat="1" ht="12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</row>
    <row r="13" spans="1:19" s="227" customFormat="1" ht="12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</row>
    <row r="14" spans="1:19" s="227" customFormat="1" ht="12" customHeight="1" x14ac:dyDescent="0.3">
      <c r="A14" s="706"/>
      <c r="B14" s="706"/>
      <c r="C14" s="707"/>
      <c r="D14" s="707"/>
      <c r="E14" s="707"/>
      <c r="F14" s="707"/>
      <c r="G14" s="707"/>
      <c r="H14" s="707"/>
      <c r="I14" s="707"/>
      <c r="J14" s="226"/>
    </row>
    <row r="15" spans="1:19" s="227" customFormat="1" ht="12" customHeight="1" x14ac:dyDescent="0.3">
      <c r="A15" s="605" t="s">
        <v>1090</v>
      </c>
      <c r="B15" s="605"/>
      <c r="C15" s="605"/>
      <c r="D15" s="605"/>
      <c r="E15" s="605"/>
      <c r="F15" s="605"/>
      <c r="G15" s="605"/>
      <c r="H15" s="605"/>
      <c r="I15" s="605"/>
      <c r="J15" s="605"/>
    </row>
    <row r="16" spans="1:19" s="111" customFormat="1" ht="17.399999999999999" customHeight="1" x14ac:dyDescent="0.3">
      <c r="A16" s="261" t="s">
        <v>72</v>
      </c>
      <c r="B16" s="261" t="s">
        <v>75</v>
      </c>
      <c r="C16" s="262" t="s">
        <v>35</v>
      </c>
      <c r="D16" s="262" t="s">
        <v>1045</v>
      </c>
      <c r="E16" s="262" t="s">
        <v>1072</v>
      </c>
      <c r="F16" s="262" t="s">
        <v>395</v>
      </c>
      <c r="G16" s="262" t="s">
        <v>1064</v>
      </c>
      <c r="H16" s="262" t="s">
        <v>384</v>
      </c>
      <c r="I16" s="261" t="s">
        <v>1073</v>
      </c>
      <c r="J16" s="261" t="s">
        <v>1057</v>
      </c>
    </row>
    <row r="17" spans="1:10" ht="9.75" customHeight="1" x14ac:dyDescent="0.2">
      <c r="A17" s="39" t="s">
        <v>1058</v>
      </c>
      <c r="B17" s="39" t="s">
        <v>50</v>
      </c>
      <c r="C17" s="219" t="str">
        <f>VLOOKUP(B17,'MDEO ADMON'!B16:O48,2,FALSE)</f>
        <v>ING DIRECTOR</v>
      </c>
      <c r="D17" s="221">
        <f>VLOOKUP(B17,'MDEO ADMON'!B10:O48,9,FALSE)</f>
        <v>35400.217763888897</v>
      </c>
      <c r="E17" s="220">
        <f>206</f>
        <v>206</v>
      </c>
      <c r="F17" s="271">
        <f>+'FACTOR MULTIPLICADOR'!$H$49</f>
        <v>2.0553499999999998</v>
      </c>
      <c r="G17" s="220">
        <v>1</v>
      </c>
      <c r="H17" s="239">
        <f>+G17*E17*D17*F17</f>
        <v>14988526.541687863</v>
      </c>
      <c r="I17" s="15">
        <v>13</v>
      </c>
      <c r="J17" s="103">
        <f>+I17*H17</f>
        <v>194850845.04194221</v>
      </c>
    </row>
    <row r="18" spans="1:10" ht="9.75" customHeight="1" x14ac:dyDescent="0.2">
      <c r="A18" s="39" t="s">
        <v>1058</v>
      </c>
      <c r="B18" s="39" t="s">
        <v>52</v>
      </c>
      <c r="C18" s="219" t="str">
        <f>VLOOKUP(B18,'MDEO ADMON'!B18:O50,2,FALSE)</f>
        <v>ING. RESIDENTE</v>
      </c>
      <c r="D18" s="221">
        <f>VLOOKUP(B18,'MDEO ADMON'!B12:O50,9,FALSE)</f>
        <v>23434.933041666671</v>
      </c>
      <c r="E18" s="220">
        <f>206</f>
        <v>206</v>
      </c>
      <c r="F18" s="271">
        <f>+'FACTOR MULTIPLICADOR'!$H$49</f>
        <v>2.0553499999999998</v>
      </c>
      <c r="G18" s="220">
        <v>2</v>
      </c>
      <c r="H18" s="239">
        <f t="shared" ref="H18:H20" si="0">+G18*E18*D18*F18</f>
        <v>19844799.726402111</v>
      </c>
      <c r="I18" s="15">
        <v>13</v>
      </c>
      <c r="J18" s="103">
        <f>+I18*H18</f>
        <v>257982396.44322744</v>
      </c>
    </row>
    <row r="19" spans="1:10" ht="9.75" customHeight="1" x14ac:dyDescent="0.2">
      <c r="A19" s="39" t="s">
        <v>1058</v>
      </c>
      <c r="B19" s="39" t="s">
        <v>175</v>
      </c>
      <c r="C19" s="219" t="str">
        <f>VLOOKUP(B19,'MDEO ADMON'!B19:O51,2,FALSE)</f>
        <v>AUXILIAR TECNICO</v>
      </c>
      <c r="D19" s="221">
        <f>VLOOKUP(B19,'MDEO ADMON'!B13:O51,9,FALSE)</f>
        <v>13018.096930555559</v>
      </c>
      <c r="E19" s="220">
        <f>206</f>
        <v>206</v>
      </c>
      <c r="F19" s="271">
        <f>+'FACTOR MULTIPLICADOR'!$H$49</f>
        <v>2.0553499999999998</v>
      </c>
      <c r="G19" s="220">
        <v>2</v>
      </c>
      <c r="H19" s="239">
        <f t="shared" si="0"/>
        <v>11023779.156801553</v>
      </c>
      <c r="I19" s="15">
        <v>12</v>
      </c>
      <c r="J19" s="103">
        <f>+I19*H19</f>
        <v>132285349.88161865</v>
      </c>
    </row>
    <row r="20" spans="1:10" ht="9.75" customHeight="1" x14ac:dyDescent="0.2">
      <c r="A20" s="39" t="s">
        <v>1058</v>
      </c>
      <c r="B20" s="39" t="s">
        <v>1067</v>
      </c>
      <c r="C20" s="219" t="s">
        <v>1104</v>
      </c>
      <c r="D20" s="221">
        <f>VLOOKUP(B20,'MDEO ADMON'!B14:O52,9,FALSE)</f>
        <v>8647.6750413888913</v>
      </c>
      <c r="E20" s="220">
        <f>206</f>
        <v>206</v>
      </c>
      <c r="F20" s="271">
        <f>+'FACTOR MULTIPLICADOR'!$H$49</f>
        <v>2.0553499999999998</v>
      </c>
      <c r="G20" s="220">
        <v>1</v>
      </c>
      <c r="H20" s="239">
        <f t="shared" si="0"/>
        <v>3661443.772641643</v>
      </c>
      <c r="I20" s="15">
        <v>12</v>
      </c>
      <c r="J20" s="103">
        <f>+I20*H20</f>
        <v>43937325.271699712</v>
      </c>
    </row>
    <row r="21" spans="1:10" ht="9.75" customHeight="1" x14ac:dyDescent="0.2">
      <c r="A21" s="800" t="s">
        <v>203</v>
      </c>
      <c r="B21" s="801"/>
      <c r="C21" s="804"/>
      <c r="D21" s="7"/>
      <c r="E21" s="7"/>
      <c r="F21" s="7"/>
      <c r="G21" s="7"/>
      <c r="H21" s="242"/>
      <c r="I21" s="101"/>
      <c r="J21" s="103">
        <f>SUM(J17:J20)</f>
        <v>629055916.63848794</v>
      </c>
    </row>
    <row r="22" spans="1:10" s="111" customFormat="1" ht="17.399999999999999" customHeight="1" x14ac:dyDescent="0.3">
      <c r="A22" s="772" t="s">
        <v>35</v>
      </c>
      <c r="B22" s="774"/>
      <c r="C22" s="773"/>
      <c r="D22" s="263" t="s">
        <v>12</v>
      </c>
      <c r="E22" s="263" t="s">
        <v>13</v>
      </c>
      <c r="F22" s="261" t="s">
        <v>1070</v>
      </c>
      <c r="G22" s="261" t="s">
        <v>1076</v>
      </c>
      <c r="H22" s="261" t="s">
        <v>384</v>
      </c>
      <c r="I22" s="261" t="s">
        <v>1077</v>
      </c>
      <c r="J22" s="261" t="s">
        <v>203</v>
      </c>
    </row>
    <row r="23" spans="1:10" ht="10.199999999999999" customHeight="1" x14ac:dyDescent="0.2">
      <c r="A23" s="627" t="s">
        <v>1079</v>
      </c>
      <c r="B23" s="803"/>
      <c r="C23" s="628"/>
      <c r="D23" s="241" t="s">
        <v>12</v>
      </c>
      <c r="E23" s="219">
        <v>180</v>
      </c>
      <c r="F23" s="220">
        <v>1</v>
      </c>
      <c r="G23" s="221">
        <v>60000</v>
      </c>
      <c r="H23" s="239">
        <f t="shared" ref="H23:H24" si="1">+G23*F23*E23</f>
        <v>10800000</v>
      </c>
      <c r="I23" s="260">
        <v>1</v>
      </c>
      <c r="J23" s="248">
        <f t="shared" ref="J23:J24" si="2">+I23*H23</f>
        <v>10800000</v>
      </c>
    </row>
    <row r="24" spans="1:10" ht="10.199999999999999" customHeight="1" x14ac:dyDescent="0.2">
      <c r="A24" s="627" t="s">
        <v>1080</v>
      </c>
      <c r="B24" s="803"/>
      <c r="C24" s="628"/>
      <c r="D24" s="241" t="s">
        <v>12</v>
      </c>
      <c r="E24" s="322">
        <v>816.5706095267127</v>
      </c>
      <c r="F24" s="220">
        <v>1</v>
      </c>
      <c r="G24" s="221">
        <v>60000</v>
      </c>
      <c r="H24" s="239">
        <f t="shared" si="1"/>
        <v>48994236.571602762</v>
      </c>
      <c r="I24" s="260">
        <v>1</v>
      </c>
      <c r="J24" s="248">
        <f t="shared" si="2"/>
        <v>48994236.571602762</v>
      </c>
    </row>
    <row r="25" spans="1:10" ht="10.199999999999999" customHeight="1" x14ac:dyDescent="0.2">
      <c r="A25" s="627" t="s">
        <v>203</v>
      </c>
      <c r="B25" s="803"/>
      <c r="C25" s="628"/>
      <c r="D25" s="241"/>
      <c r="E25" s="219"/>
      <c r="F25" s="220"/>
      <c r="G25" s="221"/>
      <c r="H25" s="239"/>
      <c r="I25" s="15"/>
      <c r="J25" s="248">
        <f>SUM(J23:J24)</f>
        <v>59794236.571602762</v>
      </c>
    </row>
    <row r="26" spans="1:10" ht="10.199999999999999" customHeight="1" x14ac:dyDescent="0.2">
      <c r="A26" s="250"/>
      <c r="B26" s="250"/>
      <c r="C26" s="250"/>
      <c r="D26" s="240"/>
      <c r="E26" s="230"/>
      <c r="F26" s="251"/>
      <c r="G26" s="252"/>
      <c r="H26" s="253"/>
      <c r="I26" s="101"/>
      <c r="J26" s="254"/>
    </row>
    <row r="27" spans="1:10" ht="10.199999999999999" customHeight="1" x14ac:dyDescent="0.2">
      <c r="A27" s="828" t="s">
        <v>35</v>
      </c>
      <c r="B27" s="829"/>
      <c r="C27" s="829"/>
      <c r="D27" s="829"/>
      <c r="E27" s="829"/>
      <c r="F27" s="830"/>
      <c r="G27" s="772" t="s">
        <v>1081</v>
      </c>
      <c r="H27" s="773"/>
      <c r="I27" s="261" t="s">
        <v>379</v>
      </c>
      <c r="J27" s="261" t="s">
        <v>203</v>
      </c>
    </row>
    <row r="28" spans="1:10" ht="9.6" customHeight="1" x14ac:dyDescent="0.2">
      <c r="A28" s="627" t="s">
        <v>381</v>
      </c>
      <c r="B28" s="803"/>
      <c r="C28" s="803"/>
      <c r="D28" s="803"/>
      <c r="E28" s="803"/>
      <c r="F28" s="628"/>
      <c r="G28" s="766">
        <f>+'AJUSTE PRESUPUESTO'!H73</f>
        <v>989938078.55343366</v>
      </c>
      <c r="H28" s="767"/>
      <c r="I28" s="256">
        <v>4.0000000000000001E-3</v>
      </c>
      <c r="J28" s="248">
        <f>+I28*G28</f>
        <v>3959752.3142137346</v>
      </c>
    </row>
    <row r="29" spans="1:10" ht="9.6" customHeight="1" x14ac:dyDescent="0.2">
      <c r="A29" s="627" t="s">
        <v>1223</v>
      </c>
      <c r="B29" s="803"/>
      <c r="C29" s="803"/>
      <c r="D29" s="803"/>
      <c r="E29" s="803"/>
      <c r="F29" s="628"/>
      <c r="G29" s="766">
        <f>+G28</f>
        <v>989938078.55343366</v>
      </c>
      <c r="H29" s="767"/>
      <c r="I29" s="256">
        <v>7.4999999999999997E-2</v>
      </c>
      <c r="J29" s="248">
        <f>+I29*G29</f>
        <v>74245355.891507521</v>
      </c>
    </row>
    <row r="30" spans="1:10" ht="9.6" customHeight="1" x14ac:dyDescent="0.2">
      <c r="A30" s="627" t="s">
        <v>203</v>
      </c>
      <c r="B30" s="803"/>
      <c r="C30" s="803"/>
      <c r="D30" s="803"/>
      <c r="E30" s="803"/>
      <c r="F30" s="628"/>
      <c r="G30" s="766">
        <f>SUM(H28:H28)</f>
        <v>0</v>
      </c>
      <c r="H30" s="767"/>
      <c r="I30" s="15"/>
      <c r="J30" s="248">
        <f>+J28+J25+J21+J29</f>
        <v>767055261.4158119</v>
      </c>
    </row>
    <row r="31" spans="1:10" ht="9.6" customHeight="1" x14ac:dyDescent="0.2">
      <c r="A31" s="627" t="s">
        <v>1124</v>
      </c>
      <c r="B31" s="803"/>
      <c r="C31" s="803"/>
      <c r="D31" s="803"/>
      <c r="E31" s="803"/>
      <c r="F31" s="628"/>
      <c r="G31" s="766">
        <f>SUM(H30:H30)</f>
        <v>0</v>
      </c>
      <c r="H31" s="767"/>
      <c r="I31" s="15"/>
      <c r="J31" s="248">
        <f>+J30*0.19</f>
        <v>145740499.66900426</v>
      </c>
    </row>
    <row r="32" spans="1:10" ht="9.6" customHeight="1" x14ac:dyDescent="0.2">
      <c r="A32" s="627" t="s">
        <v>203</v>
      </c>
      <c r="B32" s="803"/>
      <c r="C32" s="803"/>
      <c r="D32" s="803"/>
      <c r="E32" s="803"/>
      <c r="F32" s="628"/>
      <c r="G32" s="766">
        <f>SUM(H31:H31)</f>
        <v>0</v>
      </c>
      <c r="H32" s="767"/>
      <c r="I32" s="15"/>
      <c r="J32" s="248">
        <f>+J31+J30</f>
        <v>912795761.08481622</v>
      </c>
    </row>
    <row r="33" spans="1:10" x14ac:dyDescent="0.2">
      <c r="A33" s="250"/>
      <c r="B33" s="250"/>
      <c r="C33" s="250"/>
      <c r="D33" s="240"/>
      <c r="E33" s="230"/>
      <c r="F33" s="251"/>
      <c r="G33" s="252"/>
      <c r="H33" s="253"/>
      <c r="I33" s="101"/>
      <c r="J33" s="254"/>
    </row>
    <row r="34" spans="1:10" x14ac:dyDescent="0.2">
      <c r="A34" s="600" t="s">
        <v>386</v>
      </c>
      <c r="B34" s="600"/>
      <c r="C34" s="600"/>
      <c r="D34" s="600"/>
      <c r="E34" s="600"/>
      <c r="F34" s="600"/>
      <c r="G34" s="600"/>
      <c r="H34" s="249"/>
      <c r="J34" s="217"/>
    </row>
  </sheetData>
  <mergeCells count="48">
    <mergeCell ref="D1:I1"/>
    <mergeCell ref="A2:B5"/>
    <mergeCell ref="C2:D3"/>
    <mergeCell ref="G2:J2"/>
    <mergeCell ref="G3:J3"/>
    <mergeCell ref="G4:J4"/>
    <mergeCell ref="G5:J5"/>
    <mergeCell ref="A7:B7"/>
    <mergeCell ref="C7:D7"/>
    <mergeCell ref="E7:G7"/>
    <mergeCell ref="H7:J7"/>
    <mergeCell ref="A9:B9"/>
    <mergeCell ref="C9:D9"/>
    <mergeCell ref="E9:G9"/>
    <mergeCell ref="H9:J9"/>
    <mergeCell ref="A10:B10"/>
    <mergeCell ref="C10:D10"/>
    <mergeCell ref="E10:J10"/>
    <mergeCell ref="A11:B11"/>
    <mergeCell ref="C11:D11"/>
    <mergeCell ref="E11:J11"/>
    <mergeCell ref="A12:B12"/>
    <mergeCell ref="C12:D12"/>
    <mergeCell ref="E12:J12"/>
    <mergeCell ref="A13:B13"/>
    <mergeCell ref="C13:D13"/>
    <mergeCell ref="E13:J13"/>
    <mergeCell ref="A14:B14"/>
    <mergeCell ref="C14:I14"/>
    <mergeCell ref="A15:J15"/>
    <mergeCell ref="A21:C21"/>
    <mergeCell ref="A34:G34"/>
    <mergeCell ref="A22:C22"/>
    <mergeCell ref="A28:F28"/>
    <mergeCell ref="G28:H28"/>
    <mergeCell ref="A30:F30"/>
    <mergeCell ref="G30:H30"/>
    <mergeCell ref="A23:C23"/>
    <mergeCell ref="A24:C24"/>
    <mergeCell ref="A25:C25"/>
    <mergeCell ref="A27:F27"/>
    <mergeCell ref="G27:H27"/>
    <mergeCell ref="A31:F31"/>
    <mergeCell ref="G31:H31"/>
    <mergeCell ref="A32:F32"/>
    <mergeCell ref="G32:H32"/>
    <mergeCell ref="A29:F29"/>
    <mergeCell ref="G29:H29"/>
  </mergeCells>
  <pageMargins left="0.70866141732283472" right="0.59" top="1.2204724409448819" bottom="1.08" header="0.31496062992125984" footer="0.77"/>
  <pageSetup scale="78" orientation="landscape" r:id="rId1"/>
  <headerFooter>
    <oddHeader>&amp;L&amp;G&amp;C&amp;G&amp;R&amp;G</oddHeader>
    <oddFooter>&amp;L&amp;G&amp;R&amp;G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7"/>
  <sheetViews>
    <sheetView workbookViewId="0">
      <selection activeCell="C10" sqref="C10:H10"/>
    </sheetView>
  </sheetViews>
  <sheetFormatPr baseColWidth="10" defaultColWidth="11.44140625" defaultRowHeight="11.4" x14ac:dyDescent="0.2"/>
  <cols>
    <col min="1" max="6" width="11.44140625" style="325"/>
    <col min="7" max="7" width="9.6640625" style="325" customWidth="1"/>
    <col min="8" max="16384" width="11.44140625" style="325"/>
  </cols>
  <sheetData>
    <row r="1" spans="1:8" ht="28.95" customHeight="1" x14ac:dyDescent="0.2">
      <c r="A1" s="852"/>
      <c r="B1" s="852"/>
      <c r="C1" s="852"/>
      <c r="D1" s="852"/>
      <c r="E1" s="852"/>
      <c r="F1" s="852"/>
      <c r="G1" s="852"/>
      <c r="H1" s="852"/>
    </row>
    <row r="2" spans="1:8" ht="12" x14ac:dyDescent="0.25">
      <c r="A2" s="852"/>
      <c r="B2" s="854"/>
      <c r="D2" s="326"/>
      <c r="E2" s="855" t="s">
        <v>60</v>
      </c>
      <c r="F2" s="855"/>
      <c r="G2" s="855"/>
      <c r="H2" s="855"/>
    </row>
    <row r="3" spans="1:8" ht="12" x14ac:dyDescent="0.25">
      <c r="A3" s="852"/>
      <c r="B3" s="854"/>
      <c r="D3" s="326"/>
      <c r="E3" s="855" t="s">
        <v>61</v>
      </c>
      <c r="F3" s="855"/>
      <c r="G3" s="855"/>
      <c r="H3" s="855"/>
    </row>
    <row r="4" spans="1:8" ht="12" x14ac:dyDescent="0.25">
      <c r="A4" s="852"/>
      <c r="D4" s="327" t="s">
        <v>281</v>
      </c>
      <c r="E4" s="855" t="e">
        <f>VLOOKUP(D4,#REF!,2,FALSE)</f>
        <v>#REF!</v>
      </c>
      <c r="F4" s="855"/>
      <c r="G4" s="855"/>
      <c r="H4" s="855"/>
    </row>
    <row r="5" spans="1:8" ht="12" x14ac:dyDescent="0.25">
      <c r="A5" s="852"/>
      <c r="D5" s="327" t="s">
        <v>280</v>
      </c>
      <c r="E5" s="855" t="e">
        <f>VLOOKUP(D5,#REF!,2,FALSE)</f>
        <v>#REF!</v>
      </c>
      <c r="F5" s="855"/>
      <c r="G5" s="855"/>
      <c r="H5" s="855"/>
    </row>
    <row r="6" spans="1:8" x14ac:dyDescent="0.2">
      <c r="A6" s="853"/>
      <c r="B6" s="328"/>
      <c r="D6" s="329"/>
    </row>
    <row r="7" spans="1:8" ht="12" x14ac:dyDescent="0.2">
      <c r="A7" s="330" t="s">
        <v>21</v>
      </c>
      <c r="B7" s="843" t="e">
        <f>+E4</f>
        <v>#REF!</v>
      </c>
      <c r="C7" s="843"/>
      <c r="D7" s="843" t="s">
        <v>22</v>
      </c>
      <c r="E7" s="843"/>
      <c r="F7" s="844" t="str">
        <f>+E3</f>
        <v>DEPARTAMENTO DE ANTIOQUIA</v>
      </c>
      <c r="G7" s="845"/>
      <c r="H7" s="846"/>
    </row>
    <row r="8" spans="1:8" ht="4.95" customHeight="1" x14ac:dyDescent="0.2">
      <c r="A8" s="331"/>
      <c r="B8" s="331"/>
      <c r="C8" s="331"/>
      <c r="D8" s="332"/>
      <c r="E8" s="333"/>
      <c r="F8" s="333"/>
      <c r="G8" s="333"/>
    </row>
    <row r="9" spans="1:8" ht="12" x14ac:dyDescent="0.2">
      <c r="A9" s="333" t="s">
        <v>20</v>
      </c>
      <c r="B9" s="847" t="s">
        <v>395</v>
      </c>
      <c r="C9" s="847"/>
      <c r="D9" s="847"/>
      <c r="E9" s="334" t="s">
        <v>10</v>
      </c>
      <c r="F9" s="848">
        <v>44289</v>
      </c>
      <c r="G9" s="848"/>
      <c r="H9" s="848"/>
    </row>
    <row r="10" spans="1:8" ht="14.4" customHeight="1" x14ac:dyDescent="0.2">
      <c r="A10" s="333" t="s">
        <v>8</v>
      </c>
      <c r="B10" s="335" t="s">
        <v>64</v>
      </c>
      <c r="C10" s="849" t="e">
        <f>+#REF!</f>
        <v>#REF!</v>
      </c>
      <c r="D10" s="849"/>
      <c r="E10" s="849"/>
      <c r="F10" s="849"/>
      <c r="G10" s="849"/>
      <c r="H10" s="849"/>
    </row>
    <row r="11" spans="1:8" ht="21" customHeight="1" x14ac:dyDescent="0.2">
      <c r="A11" s="333" t="s">
        <v>7</v>
      </c>
      <c r="B11" s="335" t="s">
        <v>63</v>
      </c>
      <c r="C11" s="849" t="e">
        <f>+#REF!</f>
        <v>#REF!</v>
      </c>
      <c r="D11" s="849"/>
      <c r="E11" s="849"/>
      <c r="F11" s="849"/>
      <c r="G11" s="849"/>
      <c r="H11" s="849"/>
    </row>
    <row r="12" spans="1:8" ht="14.4" customHeight="1" x14ac:dyDescent="0.2">
      <c r="A12" s="333" t="s">
        <v>9</v>
      </c>
      <c r="B12" s="335" t="s">
        <v>62</v>
      </c>
      <c r="C12" s="849" t="e">
        <f>+#REF!</f>
        <v>#REF!</v>
      </c>
      <c r="D12" s="849"/>
      <c r="E12" s="849"/>
      <c r="F12" s="849"/>
      <c r="G12" s="849"/>
      <c r="H12" s="849"/>
    </row>
    <row r="13" spans="1:8" ht="14.4" customHeight="1" x14ac:dyDescent="0.2">
      <c r="A13" s="333" t="s">
        <v>66</v>
      </c>
      <c r="B13" s="335" t="s">
        <v>65</v>
      </c>
      <c r="C13" s="849" t="e">
        <f>+#REF!</f>
        <v>#REF!</v>
      </c>
      <c r="D13" s="849"/>
      <c r="E13" s="849"/>
      <c r="F13" s="849"/>
      <c r="G13" s="849"/>
      <c r="H13" s="849"/>
    </row>
    <row r="14" spans="1:8" x14ac:dyDescent="0.2">
      <c r="D14" s="329"/>
    </row>
    <row r="15" spans="1:8" ht="12" x14ac:dyDescent="0.2">
      <c r="A15" s="850" t="s">
        <v>460</v>
      </c>
      <c r="B15" s="850"/>
      <c r="C15" s="850"/>
      <c r="D15" s="850"/>
      <c r="E15" s="850"/>
      <c r="F15" s="850"/>
      <c r="G15" s="850"/>
      <c r="H15" s="850"/>
    </row>
    <row r="16" spans="1:8" ht="12" x14ac:dyDescent="0.25">
      <c r="A16" s="336" t="s">
        <v>11</v>
      </c>
      <c r="B16" s="851" t="s">
        <v>35</v>
      </c>
      <c r="C16" s="851"/>
      <c r="D16" s="851"/>
      <c r="E16" s="851"/>
      <c r="F16" s="851"/>
      <c r="G16" s="851"/>
      <c r="H16" s="337" t="s">
        <v>379</v>
      </c>
    </row>
    <row r="17" spans="1:8" x14ac:dyDescent="0.2">
      <c r="A17" s="338"/>
      <c r="B17" s="842"/>
      <c r="C17" s="842"/>
      <c r="D17" s="842"/>
      <c r="E17" s="842"/>
      <c r="F17" s="842"/>
      <c r="G17" s="842"/>
      <c r="H17" s="339"/>
    </row>
    <row r="18" spans="1:8" ht="12" x14ac:dyDescent="0.25">
      <c r="A18" s="340" t="s">
        <v>461</v>
      </c>
      <c r="B18" s="841" t="s">
        <v>462</v>
      </c>
      <c r="C18" s="841"/>
      <c r="D18" s="841"/>
      <c r="E18" s="841"/>
      <c r="F18" s="841"/>
      <c r="G18" s="841"/>
      <c r="H18" s="339">
        <v>1</v>
      </c>
    </row>
    <row r="19" spans="1:8" ht="12" x14ac:dyDescent="0.25">
      <c r="A19" s="338"/>
      <c r="B19" s="841"/>
      <c r="C19" s="841"/>
      <c r="D19" s="841">
        <v>6</v>
      </c>
      <c r="E19" s="841">
        <v>2</v>
      </c>
      <c r="F19" s="841">
        <f>+E19*D19*H19</f>
        <v>0</v>
      </c>
      <c r="G19" s="841">
        <v>1</v>
      </c>
      <c r="H19" s="339"/>
    </row>
    <row r="20" spans="1:8" ht="11.25" customHeight="1" x14ac:dyDescent="0.25">
      <c r="A20" s="340" t="s">
        <v>463</v>
      </c>
      <c r="B20" s="841" t="s">
        <v>1102</v>
      </c>
      <c r="C20" s="841"/>
      <c r="D20" s="841"/>
      <c r="E20" s="841"/>
      <c r="F20" s="841"/>
      <c r="G20" s="841"/>
      <c r="H20" s="339">
        <f>SUM(H21:H31)</f>
        <v>0.5978500000000001</v>
      </c>
    </row>
    <row r="21" spans="1:8" ht="11.25" customHeight="1" x14ac:dyDescent="0.2">
      <c r="A21" s="338">
        <v>1</v>
      </c>
      <c r="B21" s="840" t="s">
        <v>464</v>
      </c>
      <c r="C21" s="840"/>
      <c r="D21" s="840"/>
      <c r="E21" s="840"/>
      <c r="F21" s="840"/>
      <c r="G21" s="840"/>
      <c r="H21" s="339">
        <v>8.3299999999999999E-2</v>
      </c>
    </row>
    <row r="22" spans="1:8" ht="11.25" customHeight="1" x14ac:dyDescent="0.2">
      <c r="A22" s="338">
        <v>2</v>
      </c>
      <c r="B22" s="840" t="s">
        <v>465</v>
      </c>
      <c r="C22" s="840"/>
      <c r="D22" s="840"/>
      <c r="E22" s="840"/>
      <c r="F22" s="840"/>
      <c r="G22" s="840" t="e">
        <f>SUM(#REF!)</f>
        <v>#REF!</v>
      </c>
      <c r="H22" s="339">
        <v>0.01</v>
      </c>
    </row>
    <row r="23" spans="1:8" ht="11.25" customHeight="1" x14ac:dyDescent="0.2">
      <c r="A23" s="338">
        <v>3</v>
      </c>
      <c r="B23" s="840" t="s">
        <v>466</v>
      </c>
      <c r="C23" s="840"/>
      <c r="D23" s="840">
        <v>700000</v>
      </c>
      <c r="E23" s="840">
        <v>6</v>
      </c>
      <c r="F23" s="840">
        <f>D23*E23</f>
        <v>4200000</v>
      </c>
      <c r="G23" s="840"/>
      <c r="H23" s="339">
        <f>+H21/2</f>
        <v>4.165E-2</v>
      </c>
    </row>
    <row r="24" spans="1:8" ht="11.25" customHeight="1" x14ac:dyDescent="0.2">
      <c r="A24" s="338">
        <v>4</v>
      </c>
      <c r="B24" s="840" t="s">
        <v>467</v>
      </c>
      <c r="C24" s="840"/>
      <c r="D24" s="840">
        <v>2039970.6471411218</v>
      </c>
      <c r="E24" s="840">
        <v>6</v>
      </c>
      <c r="F24" s="840">
        <f>D24*E24</f>
        <v>12239823.882846732</v>
      </c>
      <c r="G24" s="840"/>
      <c r="H24" s="339">
        <v>8.3299999999999999E-2</v>
      </c>
    </row>
    <row r="25" spans="1:8" ht="11.25" customHeight="1" x14ac:dyDescent="0.2">
      <c r="A25" s="338">
        <v>1</v>
      </c>
      <c r="B25" s="840" t="s">
        <v>469</v>
      </c>
      <c r="C25" s="840"/>
      <c r="D25" s="840" t="e">
        <f>+#REF!</f>
        <v>#REF!</v>
      </c>
      <c r="E25" s="840">
        <v>6</v>
      </c>
      <c r="F25" s="840" t="e">
        <f>D25*E25</f>
        <v>#REF!</v>
      </c>
      <c r="G25" s="840"/>
      <c r="H25" s="339">
        <v>0.08</v>
      </c>
    </row>
    <row r="26" spans="1:8" ht="11.25" customHeight="1" x14ac:dyDescent="0.2">
      <c r="A26" s="338">
        <v>2</v>
      </c>
      <c r="B26" s="840" t="s">
        <v>470</v>
      </c>
      <c r="C26" s="840"/>
      <c r="D26" s="840">
        <f>+[10]PRESUPUESTO!H66</f>
        <v>307345794.4199999</v>
      </c>
      <c r="E26" s="840">
        <v>7.1000000000000004E-3</v>
      </c>
      <c r="F26" s="840">
        <f>ROUND(D26*E26,0)+20821</f>
        <v>2202976</v>
      </c>
      <c r="G26" s="840"/>
      <c r="H26" s="339">
        <v>0.12</v>
      </c>
    </row>
    <row r="27" spans="1:8" ht="11.25" customHeight="1" x14ac:dyDescent="0.2">
      <c r="A27" s="338">
        <v>3</v>
      </c>
      <c r="B27" s="840" t="s">
        <v>1097</v>
      </c>
      <c r="C27" s="840"/>
      <c r="D27" s="840">
        <f>+D26</f>
        <v>307345794.4199999</v>
      </c>
      <c r="E27" s="840">
        <v>0.215</v>
      </c>
      <c r="F27" s="840">
        <f>ROUND(D27*E27,0)</f>
        <v>66079346</v>
      </c>
      <c r="G27" s="840"/>
      <c r="H27" s="339">
        <v>6.9599999999999995E-2</v>
      </c>
    </row>
    <row r="28" spans="1:8" ht="11.25" customHeight="1" x14ac:dyDescent="0.2">
      <c r="A28" s="338">
        <v>4</v>
      </c>
      <c r="B28" s="840" t="s">
        <v>383</v>
      </c>
      <c r="C28" s="840"/>
      <c r="D28" s="840"/>
      <c r="E28" s="840"/>
      <c r="F28" s="840"/>
      <c r="G28" s="840" t="e">
        <f>ROUND(SUM(F23:F27),0)</f>
        <v>#REF!</v>
      </c>
      <c r="H28" s="339">
        <v>0.03</v>
      </c>
    </row>
    <row r="29" spans="1:8" ht="11.25" customHeight="1" x14ac:dyDescent="0.2">
      <c r="A29" s="338">
        <v>5</v>
      </c>
      <c r="B29" s="840" t="s">
        <v>471</v>
      </c>
      <c r="C29" s="840"/>
      <c r="D29" s="840"/>
      <c r="E29" s="840"/>
      <c r="F29" s="840">
        <v>0.1</v>
      </c>
      <c r="G29" s="840" t="e">
        <f>+F29*G22</f>
        <v>#REF!</v>
      </c>
      <c r="H29" s="339">
        <v>0.02</v>
      </c>
    </row>
    <row r="30" spans="1:8" ht="11.25" customHeight="1" x14ac:dyDescent="0.2">
      <c r="A30" s="338">
        <v>6</v>
      </c>
      <c r="B30" s="840" t="s">
        <v>472</v>
      </c>
      <c r="C30" s="840"/>
      <c r="D30" s="840"/>
      <c r="E30" s="840"/>
      <c r="F30" s="840">
        <v>0.19</v>
      </c>
      <c r="G30" s="840" t="e">
        <f>+G22*F30</f>
        <v>#REF!</v>
      </c>
      <c r="H30" s="339">
        <v>0.04</v>
      </c>
    </row>
    <row r="31" spans="1:8" ht="11.25" customHeight="1" x14ac:dyDescent="0.2">
      <c r="A31" s="338">
        <v>8</v>
      </c>
      <c r="B31" s="840" t="s">
        <v>1098</v>
      </c>
      <c r="C31" s="840"/>
      <c r="D31" s="840"/>
      <c r="E31" s="840"/>
      <c r="F31" s="840"/>
      <c r="G31" s="840"/>
      <c r="H31" s="339">
        <v>0.02</v>
      </c>
    </row>
    <row r="32" spans="1:8" x14ac:dyDescent="0.2">
      <c r="A32" s="338"/>
      <c r="B32" s="840"/>
      <c r="C32" s="840"/>
      <c r="D32" s="840"/>
      <c r="E32" s="840"/>
      <c r="F32" s="840"/>
      <c r="G32" s="840"/>
      <c r="H32" s="339"/>
    </row>
    <row r="33" spans="1:13" ht="12" x14ac:dyDescent="0.25">
      <c r="A33" s="340" t="s">
        <v>468</v>
      </c>
      <c r="B33" s="834" t="s">
        <v>474</v>
      </c>
      <c r="C33" s="834"/>
      <c r="D33" s="834"/>
      <c r="E33" s="834"/>
      <c r="F33" s="834"/>
      <c r="G33" s="834"/>
      <c r="H33" s="341">
        <f>SUM(H34:H38)</f>
        <v>0.13</v>
      </c>
    </row>
    <row r="34" spans="1:13" x14ac:dyDescent="0.2">
      <c r="A34" s="338">
        <v>1</v>
      </c>
      <c r="B34" s="840" t="s">
        <v>475</v>
      </c>
      <c r="C34" s="840"/>
      <c r="D34" s="840"/>
      <c r="E34" s="840"/>
      <c r="F34" s="840"/>
      <c r="G34" s="840"/>
      <c r="H34" s="339">
        <v>0.02</v>
      </c>
    </row>
    <row r="35" spans="1:13" x14ac:dyDescent="0.2">
      <c r="A35" s="338">
        <v>2</v>
      </c>
      <c r="B35" s="840" t="s">
        <v>476</v>
      </c>
      <c r="C35" s="840"/>
      <c r="D35" s="840"/>
      <c r="E35" s="840"/>
      <c r="F35" s="840"/>
      <c r="G35" s="840"/>
      <c r="H35" s="339">
        <v>0.04</v>
      </c>
    </row>
    <row r="36" spans="1:13" x14ac:dyDescent="0.2">
      <c r="A36" s="338">
        <v>3</v>
      </c>
      <c r="B36" s="840" t="s">
        <v>1099</v>
      </c>
      <c r="C36" s="840"/>
      <c r="D36" s="840"/>
      <c r="E36" s="840"/>
      <c r="F36" s="840"/>
      <c r="G36" s="840"/>
      <c r="H36" s="339">
        <v>0.02</v>
      </c>
    </row>
    <row r="37" spans="1:13" x14ac:dyDescent="0.2">
      <c r="A37" s="338">
        <v>4</v>
      </c>
      <c r="B37" s="840" t="s">
        <v>1100</v>
      </c>
      <c r="C37" s="840"/>
      <c r="D37" s="840"/>
      <c r="E37" s="840"/>
      <c r="F37" s="840"/>
      <c r="G37" s="840"/>
      <c r="H37" s="339">
        <v>2.5000000000000001E-2</v>
      </c>
    </row>
    <row r="38" spans="1:13" x14ac:dyDescent="0.2">
      <c r="A38" s="338">
        <v>5</v>
      </c>
      <c r="B38" s="840" t="s">
        <v>1101</v>
      </c>
      <c r="C38" s="840"/>
      <c r="D38" s="840"/>
      <c r="E38" s="840"/>
      <c r="F38" s="840"/>
      <c r="G38" s="840"/>
      <c r="H38" s="339">
        <v>2.5000000000000001E-2</v>
      </c>
    </row>
    <row r="39" spans="1:13" x14ac:dyDescent="0.2">
      <c r="A39" s="338"/>
      <c r="B39" s="840"/>
      <c r="C39" s="840"/>
      <c r="D39" s="840"/>
      <c r="E39" s="840"/>
      <c r="F39" s="840"/>
      <c r="G39" s="840"/>
      <c r="H39" s="339"/>
    </row>
    <row r="40" spans="1:13" ht="12" x14ac:dyDescent="0.2">
      <c r="A40" s="340" t="s">
        <v>473</v>
      </c>
      <c r="B40" s="834" t="s">
        <v>1225</v>
      </c>
      <c r="C40" s="834"/>
      <c r="D40" s="834"/>
      <c r="E40" s="834"/>
      <c r="F40" s="834"/>
      <c r="G40" s="834"/>
      <c r="H40" s="339">
        <f>SUM(H41:H47)</f>
        <v>0.32749999999999996</v>
      </c>
    </row>
    <row r="41" spans="1:13" x14ac:dyDescent="0.2">
      <c r="A41" s="338">
        <v>1</v>
      </c>
      <c r="B41" s="831" t="s">
        <v>1224</v>
      </c>
      <c r="C41" s="832"/>
      <c r="D41" s="832"/>
      <c r="E41" s="832"/>
      <c r="F41" s="832"/>
      <c r="G41" s="833"/>
      <c r="H41" s="339">
        <v>0.08</v>
      </c>
    </row>
    <row r="42" spans="1:13" x14ac:dyDescent="0.2">
      <c r="A42" s="338">
        <v>3</v>
      </c>
      <c r="B42" s="831" t="s">
        <v>1231</v>
      </c>
      <c r="C42" s="832"/>
      <c r="D42" s="832"/>
      <c r="E42" s="832"/>
      <c r="F42" s="832"/>
      <c r="G42" s="833"/>
      <c r="H42" s="339">
        <v>0.12</v>
      </c>
    </row>
    <row r="43" spans="1:13" x14ac:dyDescent="0.2">
      <c r="A43" s="338">
        <v>4</v>
      </c>
      <c r="B43" s="342" t="s">
        <v>1229</v>
      </c>
      <c r="C43" s="343"/>
      <c r="D43" s="343"/>
      <c r="E43" s="343"/>
      <c r="F43" s="343"/>
      <c r="G43" s="344"/>
      <c r="H43" s="339">
        <v>2.5000000000000001E-2</v>
      </c>
    </row>
    <row r="44" spans="1:13" x14ac:dyDescent="0.2">
      <c r="A44" s="338">
        <v>5</v>
      </c>
      <c r="B44" s="831" t="s">
        <v>1226</v>
      </c>
      <c r="C44" s="832"/>
      <c r="D44" s="832"/>
      <c r="E44" s="832"/>
      <c r="F44" s="832"/>
      <c r="G44" s="833"/>
      <c r="H44" s="339">
        <v>1.9E-2</v>
      </c>
    </row>
    <row r="45" spans="1:13" x14ac:dyDescent="0.2">
      <c r="A45" s="338">
        <v>6</v>
      </c>
      <c r="B45" s="831" t="s">
        <v>1227</v>
      </c>
      <c r="C45" s="832"/>
      <c r="D45" s="832"/>
      <c r="E45" s="832"/>
      <c r="F45" s="832"/>
      <c r="G45" s="833"/>
      <c r="H45" s="339">
        <v>3.5999999999999997E-2</v>
      </c>
    </row>
    <row r="46" spans="1:13" x14ac:dyDescent="0.2">
      <c r="A46" s="338">
        <v>7</v>
      </c>
      <c r="B46" s="831" t="s">
        <v>1228</v>
      </c>
      <c r="C46" s="832"/>
      <c r="D46" s="832"/>
      <c r="E46" s="832"/>
      <c r="F46" s="832"/>
      <c r="G46" s="833"/>
      <c r="H46" s="339">
        <v>0.03</v>
      </c>
    </row>
    <row r="47" spans="1:13" x14ac:dyDescent="0.2">
      <c r="A47" s="338">
        <v>8</v>
      </c>
      <c r="B47" s="831" t="s">
        <v>1230</v>
      </c>
      <c r="C47" s="832"/>
      <c r="D47" s="832"/>
      <c r="E47" s="832"/>
      <c r="F47" s="832"/>
      <c r="G47" s="833"/>
      <c r="H47" s="339">
        <v>1.7500000000000002E-2</v>
      </c>
    </row>
    <row r="48" spans="1:13" ht="12" x14ac:dyDescent="0.2">
      <c r="A48" s="340"/>
      <c r="B48" s="342"/>
      <c r="C48" s="343"/>
      <c r="D48" s="343"/>
      <c r="E48" s="343"/>
      <c r="F48" s="343"/>
      <c r="G48" s="344"/>
      <c r="H48" s="339"/>
      <c r="K48" s="345"/>
      <c r="L48" s="345"/>
      <c r="M48" s="346"/>
    </row>
    <row r="49" spans="1:8" ht="12" x14ac:dyDescent="0.25">
      <c r="A49" s="340"/>
      <c r="B49" s="835" t="s">
        <v>1103</v>
      </c>
      <c r="C49" s="836"/>
      <c r="D49" s="836"/>
      <c r="E49" s="836"/>
      <c r="F49" s="836"/>
      <c r="G49" s="837"/>
      <c r="H49" s="341">
        <f>+H40+H33+H20+H18</f>
        <v>2.0553499999999998</v>
      </c>
    </row>
    <row r="50" spans="1:8" x14ac:dyDescent="0.2">
      <c r="A50" s="328"/>
      <c r="B50" s="328"/>
      <c r="C50" s="347"/>
      <c r="D50" s="329"/>
    </row>
    <row r="51" spans="1:8" x14ac:dyDescent="0.2">
      <c r="A51" s="328"/>
      <c r="B51" s="328"/>
      <c r="C51" s="347"/>
      <c r="D51" s="329"/>
    </row>
    <row r="52" spans="1:8" x14ac:dyDescent="0.2">
      <c r="A52" s="328"/>
      <c r="B52" s="328"/>
      <c r="C52" s="347"/>
      <c r="D52" s="329"/>
    </row>
    <row r="53" spans="1:8" ht="12" x14ac:dyDescent="0.25">
      <c r="A53" s="838"/>
      <c r="B53" s="839"/>
      <c r="C53" s="839"/>
      <c r="D53" s="329"/>
    </row>
    <row r="54" spans="1:8" ht="12" x14ac:dyDescent="0.25">
      <c r="A54" s="326"/>
      <c r="G54" s="348"/>
    </row>
    <row r="55" spans="1:8" x14ac:dyDescent="0.2">
      <c r="G55" s="348"/>
    </row>
    <row r="56" spans="1:8" x14ac:dyDescent="0.2">
      <c r="G56" s="348"/>
    </row>
    <row r="57" spans="1:8" ht="12" x14ac:dyDescent="0.25">
      <c r="A57" s="839"/>
      <c r="B57" s="839"/>
      <c r="C57" s="839"/>
      <c r="D57" s="329"/>
    </row>
  </sheetData>
  <mergeCells count="51">
    <mergeCell ref="A1:H1"/>
    <mergeCell ref="A2:A6"/>
    <mergeCell ref="B2:B3"/>
    <mergeCell ref="E2:H2"/>
    <mergeCell ref="E3:H3"/>
    <mergeCell ref="E4:H4"/>
    <mergeCell ref="E5:H5"/>
    <mergeCell ref="B17:G17"/>
    <mergeCell ref="B7:C7"/>
    <mergeCell ref="D7:E7"/>
    <mergeCell ref="F7:H7"/>
    <mergeCell ref="B9:D9"/>
    <mergeCell ref="F9:H9"/>
    <mergeCell ref="C10:H10"/>
    <mergeCell ref="C11:H11"/>
    <mergeCell ref="C12:H12"/>
    <mergeCell ref="C13:H13"/>
    <mergeCell ref="A15:H15"/>
    <mergeCell ref="B16:G16"/>
    <mergeCell ref="B27:G2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33:G33"/>
    <mergeCell ref="B34:G34"/>
    <mergeCell ref="B35:G35"/>
    <mergeCell ref="B39:G39"/>
    <mergeCell ref="B36:G36"/>
    <mergeCell ref="B37:G37"/>
    <mergeCell ref="B38:G38"/>
    <mergeCell ref="B28:G28"/>
    <mergeCell ref="B29:G29"/>
    <mergeCell ref="B30:G30"/>
    <mergeCell ref="B31:G31"/>
    <mergeCell ref="B32:G32"/>
    <mergeCell ref="B47:G47"/>
    <mergeCell ref="B40:G40"/>
    <mergeCell ref="B49:G49"/>
    <mergeCell ref="A53:C53"/>
    <mergeCell ref="A57:C57"/>
    <mergeCell ref="B41:G41"/>
    <mergeCell ref="B42:G42"/>
    <mergeCell ref="B44:G44"/>
    <mergeCell ref="B45:G45"/>
    <mergeCell ref="B46:G4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3"/>
  <sheetViews>
    <sheetView showGridLines="0" view="pageBreakPreview" topLeftCell="A21" zoomScale="110" zoomScaleNormal="100" zoomScaleSheetLayoutView="110" workbookViewId="0">
      <selection activeCell="E48" sqref="E48"/>
    </sheetView>
  </sheetViews>
  <sheetFormatPr baseColWidth="10" defaultColWidth="11.44140625" defaultRowHeight="10.199999999999999" x14ac:dyDescent="0.2"/>
  <cols>
    <col min="1" max="1" width="8" style="68" customWidth="1"/>
    <col min="2" max="2" width="8.109375" style="68" customWidth="1"/>
    <col min="3" max="3" width="15.109375" style="68" customWidth="1"/>
    <col min="4" max="4" width="14.109375" style="68" customWidth="1"/>
    <col min="5" max="5" width="7.5546875" style="68" customWidth="1"/>
    <col min="6" max="6" width="9" style="68" customWidth="1"/>
    <col min="7" max="7" width="14.109375" style="69" bestFit="1" customWidth="1"/>
    <col min="8" max="8" width="15.88671875" style="68" bestFit="1" customWidth="1"/>
    <col min="9" max="9" width="11" style="68" bestFit="1" customWidth="1"/>
    <col min="10" max="10" width="21.6640625" style="68" customWidth="1"/>
    <col min="11" max="16384" width="11.44140625" style="68"/>
  </cols>
  <sheetData>
    <row r="1" spans="1:9" ht="38.25" customHeight="1" x14ac:dyDescent="0.2">
      <c r="A1" s="67"/>
      <c r="B1" s="67"/>
      <c r="C1" s="600"/>
      <c r="D1" s="600"/>
      <c r="E1" s="600"/>
      <c r="F1" s="600"/>
      <c r="G1" s="600"/>
      <c r="H1" s="600"/>
      <c r="I1" s="600"/>
    </row>
    <row r="2" spans="1:9" ht="12.75" customHeight="1" x14ac:dyDescent="0.2">
      <c r="A2" s="601"/>
      <c r="B2" s="601"/>
      <c r="C2" s="600"/>
      <c r="D2" s="602" t="s">
        <v>60</v>
      </c>
      <c r="E2" s="602"/>
      <c r="F2" s="602"/>
      <c r="G2" s="602"/>
      <c r="H2" s="602"/>
      <c r="I2" s="602"/>
    </row>
    <row r="3" spans="1:9" ht="12.75" customHeight="1" x14ac:dyDescent="0.2">
      <c r="A3" s="601"/>
      <c r="B3" s="601"/>
      <c r="C3" s="600"/>
      <c r="D3" s="602" t="s">
        <v>61</v>
      </c>
      <c r="E3" s="602"/>
      <c r="F3" s="602"/>
      <c r="G3" s="602"/>
      <c r="H3" s="602"/>
      <c r="I3" s="602"/>
    </row>
    <row r="4" spans="1:9" ht="12.75" customHeight="1" x14ac:dyDescent="0.2">
      <c r="A4" s="601"/>
      <c r="B4" s="601"/>
      <c r="C4" s="45" t="s">
        <v>281</v>
      </c>
      <c r="D4" s="602" t="e">
        <f>VLOOKUP(C4,#REF!,2,FALSE)</f>
        <v>#REF!</v>
      </c>
      <c r="E4" s="602"/>
      <c r="F4" s="602"/>
      <c r="G4" s="602"/>
      <c r="H4" s="602"/>
      <c r="I4" s="602"/>
    </row>
    <row r="5" spans="1:9" ht="12.75" customHeight="1" x14ac:dyDescent="0.2">
      <c r="A5" s="601"/>
      <c r="B5" s="601"/>
      <c r="C5" s="45" t="s">
        <v>280</v>
      </c>
      <c r="D5" s="602" t="e">
        <f>VLOOKUP(C5,#REF!,2,FALSE)</f>
        <v>#REF!</v>
      </c>
      <c r="E5" s="602"/>
      <c r="F5" s="602"/>
      <c r="G5" s="602"/>
      <c r="H5" s="602"/>
      <c r="I5" s="602"/>
    </row>
    <row r="6" spans="1:9" ht="10.5" customHeight="1" x14ac:dyDescent="0.2">
      <c r="B6" s="27"/>
    </row>
    <row r="7" spans="1:9" x14ac:dyDescent="0.2">
      <c r="A7" s="604" t="s">
        <v>21</v>
      </c>
      <c r="B7" s="604"/>
      <c r="C7" s="606" t="e">
        <f>+D4</f>
        <v>#REF!</v>
      </c>
      <c r="D7" s="606"/>
      <c r="E7" s="604" t="s">
        <v>22</v>
      </c>
      <c r="F7" s="604"/>
      <c r="G7" s="604"/>
      <c r="H7" s="606" t="str">
        <f>+D3</f>
        <v>DEPARTAMENTO DE ANTIOQUIA</v>
      </c>
      <c r="I7" s="606"/>
    </row>
    <row r="8" spans="1:9" x14ac:dyDescent="0.2">
      <c r="A8" s="2"/>
      <c r="B8" s="2"/>
      <c r="C8" s="2"/>
      <c r="D8" s="2"/>
      <c r="E8" s="3"/>
      <c r="F8" s="3"/>
      <c r="G8" s="65"/>
      <c r="H8" s="3"/>
      <c r="I8" s="3"/>
    </row>
    <row r="9" spans="1:9" ht="14.25" customHeight="1" x14ac:dyDescent="0.2">
      <c r="A9" s="607" t="s">
        <v>20</v>
      </c>
      <c r="B9" s="608"/>
      <c r="C9" s="823" t="s">
        <v>116</v>
      </c>
      <c r="D9" s="823"/>
      <c r="E9" s="610" t="s">
        <v>10</v>
      </c>
      <c r="F9" s="610"/>
      <c r="G9" s="610"/>
      <c r="H9" s="654" t="e">
        <f>VLOOKUP(E9,#REF!,2,FALSE)</f>
        <v>#REF!</v>
      </c>
      <c r="I9" s="654"/>
    </row>
    <row r="10" spans="1:9" ht="11.4" customHeight="1" x14ac:dyDescent="0.2">
      <c r="A10" s="607" t="s">
        <v>8</v>
      </c>
      <c r="B10" s="608"/>
      <c r="C10" s="10" t="s">
        <v>62</v>
      </c>
      <c r="D10" s="655" t="e">
        <f>VLOOKUP(APU!C10,#REF!,2,FALSE)</f>
        <v>#REF!</v>
      </c>
      <c r="E10" s="655"/>
      <c r="F10" s="655"/>
      <c r="G10" s="655"/>
      <c r="H10" s="655"/>
      <c r="I10" s="655"/>
    </row>
    <row r="11" spans="1:9" ht="11.4" customHeight="1" x14ac:dyDescent="0.2">
      <c r="A11" s="607" t="s">
        <v>7</v>
      </c>
      <c r="B11" s="608"/>
      <c r="C11" s="10" t="s">
        <v>63</v>
      </c>
      <c r="D11" s="655" t="e">
        <f>VLOOKUP(APU!C11,#REF!,2,FALSE)</f>
        <v>#REF!</v>
      </c>
      <c r="E11" s="655"/>
      <c r="F11" s="655"/>
      <c r="G11" s="655"/>
      <c r="H11" s="655"/>
      <c r="I11" s="655"/>
    </row>
    <row r="12" spans="1:9" ht="11.4" customHeight="1" x14ac:dyDescent="0.2">
      <c r="A12" s="607" t="s">
        <v>9</v>
      </c>
      <c r="B12" s="608"/>
      <c r="C12" s="10" t="s">
        <v>62</v>
      </c>
      <c r="D12" s="655" t="e">
        <f>VLOOKUP(APU!C12,#REF!,2,FALSE)</f>
        <v>#REF!</v>
      </c>
      <c r="E12" s="655"/>
      <c r="F12" s="655"/>
      <c r="G12" s="655"/>
      <c r="H12" s="655"/>
      <c r="I12" s="655"/>
    </row>
    <row r="13" spans="1:9" ht="11.4" customHeight="1" x14ac:dyDescent="0.2">
      <c r="A13" s="607" t="s">
        <v>66</v>
      </c>
      <c r="B13" s="608"/>
      <c r="C13" s="10" t="s">
        <v>65</v>
      </c>
      <c r="D13" s="655" t="e">
        <f>VLOOKUP(APU!C13,#REF!,2,FALSE)</f>
        <v>#REF!</v>
      </c>
      <c r="E13" s="655"/>
      <c r="F13" s="655"/>
      <c r="G13" s="655"/>
      <c r="H13" s="655"/>
      <c r="I13" s="655"/>
    </row>
    <row r="14" spans="1:9" ht="14.25" customHeight="1" x14ac:dyDescent="0.2">
      <c r="A14" s="866" t="s">
        <v>24</v>
      </c>
      <c r="B14" s="866"/>
      <c r="C14" s="861"/>
      <c r="D14" s="861"/>
      <c r="E14" s="861"/>
      <c r="F14" s="861"/>
      <c r="G14" s="861"/>
      <c r="H14" s="861"/>
      <c r="I14" s="861"/>
    </row>
    <row r="15" spans="1:9" ht="7.2" customHeight="1" x14ac:dyDescent="0.2"/>
    <row r="16" spans="1:9" s="73" customFormat="1" ht="20.399999999999999" x14ac:dyDescent="0.3">
      <c r="A16" s="70" t="s">
        <v>11</v>
      </c>
      <c r="B16" s="71" t="s">
        <v>294</v>
      </c>
      <c r="C16" s="865" t="s">
        <v>35</v>
      </c>
      <c r="D16" s="865"/>
      <c r="E16" s="70" t="s">
        <v>12</v>
      </c>
      <c r="F16" s="70" t="s">
        <v>13</v>
      </c>
      <c r="G16" s="72" t="s">
        <v>119</v>
      </c>
      <c r="H16" s="70" t="s">
        <v>38</v>
      </c>
      <c r="I16" s="70" t="s">
        <v>118</v>
      </c>
    </row>
    <row r="17" spans="1:9" s="73" customFormat="1" ht="16.5" customHeight="1" x14ac:dyDescent="0.3">
      <c r="A17" s="862" t="s">
        <v>122</v>
      </c>
      <c r="B17" s="862"/>
      <c r="C17" s="862"/>
      <c r="D17" s="862"/>
      <c r="E17" s="862"/>
      <c r="F17" s="862"/>
      <c r="G17" s="862"/>
      <c r="H17" s="863">
        <f>SUM(H18:H19)</f>
        <v>96247724</v>
      </c>
      <c r="I17" s="864"/>
    </row>
    <row r="18" spans="1:9" s="44" customFormat="1" ht="13.5" customHeight="1" x14ac:dyDescent="0.3">
      <c r="A18" s="43" t="s">
        <v>25</v>
      </c>
      <c r="B18" s="21" t="s">
        <v>117</v>
      </c>
      <c r="C18" s="822" t="s">
        <v>992</v>
      </c>
      <c r="D18" s="822"/>
      <c r="E18" s="43" t="str">
        <f>VLOOKUP(B18,APU!$B$16:$I$1858,4,FALSE)</f>
        <v>ML</v>
      </c>
      <c r="F18" s="43">
        <f>VLOOKUP(A18,MEM!$B$285:$L$286,11,FALSE)</f>
        <v>9031</v>
      </c>
      <c r="G18" s="74">
        <f>VLOOKUP(B18,APU!$B$16:$I$1858,8,FALSE)</f>
        <v>1076</v>
      </c>
      <c r="H18" s="75">
        <f>+G18*F18</f>
        <v>9717356</v>
      </c>
      <c r="I18" s="76"/>
    </row>
    <row r="19" spans="1:9" s="78" customFormat="1" ht="19.2" customHeight="1" x14ac:dyDescent="0.3">
      <c r="A19" s="43" t="s">
        <v>205</v>
      </c>
      <c r="B19" s="21" t="s">
        <v>206</v>
      </c>
      <c r="C19" s="822" t="s">
        <v>507</v>
      </c>
      <c r="D19" s="822"/>
      <c r="E19" s="43" t="str">
        <f>VLOOKUP(B19,APU!$B$16:$I$1858,4,FALSE)</f>
        <v>M2</v>
      </c>
      <c r="F19" s="43">
        <f>VLOOKUP(A19,MEM!$B$285:$L$4976,11,FALSE)</f>
        <v>4432</v>
      </c>
      <c r="G19" s="74">
        <f>VLOOKUP(B19,APU!$B$16:$I$1858,8,FALSE)</f>
        <v>19524</v>
      </c>
      <c r="H19" s="75">
        <f>+G19*F19</f>
        <v>86530368</v>
      </c>
      <c r="I19" s="77"/>
    </row>
    <row r="20" spans="1:9" s="73" customFormat="1" ht="15" customHeight="1" x14ac:dyDescent="0.3">
      <c r="A20" s="862" t="s">
        <v>394</v>
      </c>
      <c r="B20" s="862"/>
      <c r="C20" s="862"/>
      <c r="D20" s="862"/>
      <c r="E20" s="862"/>
      <c r="F20" s="862"/>
      <c r="G20" s="862"/>
      <c r="H20" s="863">
        <f>SUM(H21:H34)</f>
        <v>1998221798.28</v>
      </c>
      <c r="I20" s="864"/>
    </row>
    <row r="21" spans="1:9" ht="12" customHeight="1" x14ac:dyDescent="0.2">
      <c r="A21" s="43" t="s">
        <v>209</v>
      </c>
      <c r="B21" s="21" t="s">
        <v>210</v>
      </c>
      <c r="C21" s="822" t="s">
        <v>994</v>
      </c>
      <c r="D21" s="822"/>
      <c r="E21" s="43" t="str">
        <f>VLOOKUP(B21,APU!$B$16:$I$1858,4,FALSE)</f>
        <v>M3</v>
      </c>
      <c r="F21" s="43">
        <f>VLOOKUP(A21,MEM!$B$285:$L$4976,11,FALSE)</f>
        <v>3180</v>
      </c>
      <c r="G21" s="74">
        <f>VLOOKUP(B21,APU!$B$16:$I$1858,8,FALSE)</f>
        <v>24857</v>
      </c>
      <c r="H21" s="74">
        <f t="shared" ref="H21:H26" si="0">+G21*F21</f>
        <v>79045260</v>
      </c>
      <c r="I21" s="79"/>
    </row>
    <row r="22" spans="1:9" ht="21" customHeight="1" x14ac:dyDescent="0.2">
      <c r="A22" s="43" t="s">
        <v>211</v>
      </c>
      <c r="B22" s="21" t="s">
        <v>212</v>
      </c>
      <c r="C22" s="856" t="s">
        <v>392</v>
      </c>
      <c r="D22" s="857"/>
      <c r="E22" s="43" t="str">
        <f>VLOOKUP(B22,APU!$B$16:$I$1858,4,FALSE)</f>
        <v>m3</v>
      </c>
      <c r="F22" s="43">
        <f>VLOOKUP(A22,MEM!$B$285:$L$4976,11,FALSE)</f>
        <v>5385</v>
      </c>
      <c r="G22" s="74">
        <f>VLOOKUP(B22,APU!$B$16:$I$1858,8,FALSE)</f>
        <v>13084</v>
      </c>
      <c r="H22" s="74">
        <f t="shared" si="0"/>
        <v>70457340</v>
      </c>
      <c r="I22" s="77"/>
    </row>
    <row r="23" spans="1:9" ht="13.5" customHeight="1" x14ac:dyDescent="0.2">
      <c r="A23" s="43" t="s">
        <v>214</v>
      </c>
      <c r="B23" s="21" t="s">
        <v>222</v>
      </c>
      <c r="C23" s="856" t="s">
        <v>213</v>
      </c>
      <c r="D23" s="857"/>
      <c r="E23" s="43" t="str">
        <f>VLOOKUP(B23,APU!$B$16:$I$1858,4,FALSE)</f>
        <v>UNIDAD</v>
      </c>
      <c r="F23" s="43">
        <f>VLOOKUP(A23,MEM!$B$285:$L$4976,11,FALSE)</f>
        <v>31</v>
      </c>
      <c r="G23" s="74">
        <f>VLOOKUP(B23,APU!$B$16:$I$1858,8,FALSE)</f>
        <v>101748</v>
      </c>
      <c r="H23" s="74">
        <f t="shared" si="0"/>
        <v>3154188</v>
      </c>
      <c r="I23" s="77"/>
    </row>
    <row r="24" spans="1:9" ht="13.5" customHeight="1" x14ac:dyDescent="0.2">
      <c r="A24" s="43" t="s">
        <v>215</v>
      </c>
      <c r="B24" s="21" t="s">
        <v>223</v>
      </c>
      <c r="C24" s="856" t="s">
        <v>216</v>
      </c>
      <c r="D24" s="857"/>
      <c r="E24" s="43" t="str">
        <f>VLOOKUP(B24,APU!$B$16:$I$1858,4,FALSE)</f>
        <v>UNIDAD</v>
      </c>
      <c r="F24" s="43">
        <f>VLOOKUP(A24,MEM!$B$285:$L$4976,11,FALSE)</f>
        <v>132</v>
      </c>
      <c r="G24" s="74">
        <f>VLOOKUP(B24,APU!$B$16:$I$1858,8,FALSE)</f>
        <v>381544</v>
      </c>
      <c r="H24" s="74">
        <f t="shared" si="0"/>
        <v>50363808</v>
      </c>
      <c r="I24" s="77"/>
    </row>
    <row r="25" spans="1:9" ht="13.5" customHeight="1" x14ac:dyDescent="0.2">
      <c r="A25" s="43" t="s">
        <v>217</v>
      </c>
      <c r="B25" s="21" t="s">
        <v>226</v>
      </c>
      <c r="C25" s="856" t="s">
        <v>224</v>
      </c>
      <c r="D25" s="857"/>
      <c r="E25" s="43" t="str">
        <f>VLOOKUP(B25,APU!$B$16:$I$1858,4,FALSE)</f>
        <v>UNIDAD</v>
      </c>
      <c r="F25" s="43">
        <f>VLOOKUP(A25,MEM!$B$285:$L$4976,11,FALSE)</f>
        <v>165</v>
      </c>
      <c r="G25" s="74">
        <f>VLOOKUP(B25,APU!$B$16:$I$1858,8,FALSE)</f>
        <v>281104</v>
      </c>
      <c r="H25" s="74">
        <f t="shared" si="0"/>
        <v>46382160</v>
      </c>
      <c r="I25" s="77"/>
    </row>
    <row r="26" spans="1:9" ht="14.4" customHeight="1" x14ac:dyDescent="0.2">
      <c r="A26" s="43" t="s">
        <v>218</v>
      </c>
      <c r="B26" s="21" t="s">
        <v>293</v>
      </c>
      <c r="C26" s="856" t="s">
        <v>225</v>
      </c>
      <c r="D26" s="857"/>
      <c r="E26" s="43" t="str">
        <f>VLOOKUP(B26,APU!$B$16:$I$1858,4,FALSE)</f>
        <v>UNIDAD</v>
      </c>
      <c r="F26" s="43">
        <f>VLOOKUP(A26,MEM!$B$285:$L$4976,11,FALSE)</f>
        <v>165</v>
      </c>
      <c r="G26" s="74">
        <f>VLOOKUP(B26,APU!$B$16:$I$1858,8,FALSE)</f>
        <v>71104</v>
      </c>
      <c r="H26" s="74">
        <f t="shared" si="0"/>
        <v>11732160</v>
      </c>
      <c r="I26" s="77"/>
    </row>
    <row r="27" spans="1:9" ht="18.600000000000001" customHeight="1" x14ac:dyDescent="0.2">
      <c r="A27" s="43" t="s">
        <v>219</v>
      </c>
      <c r="B27" s="21" t="s">
        <v>282</v>
      </c>
      <c r="C27" s="856" t="s">
        <v>415</v>
      </c>
      <c r="D27" s="857"/>
      <c r="E27" s="43" t="str">
        <f>VLOOKUP(B27,APU!$B$16:$I$1858,4,FALSE)</f>
        <v>ML</v>
      </c>
      <c r="F27" s="43">
        <f>VLOOKUP(A27,MEM!$B$285:$L$4976,11,FALSE)</f>
        <v>1797</v>
      </c>
      <c r="G27" s="74">
        <f>VLOOKUP(B27,APU!$B$16:$I$1858,8,FALSE)</f>
        <v>119612</v>
      </c>
      <c r="H27" s="75">
        <f t="shared" ref="H27:H34" si="1">+G27*F27</f>
        <v>214942764</v>
      </c>
      <c r="I27" s="77"/>
    </row>
    <row r="28" spans="1:9" ht="23.25" customHeight="1" x14ac:dyDescent="0.2">
      <c r="A28" s="43" t="s">
        <v>220</v>
      </c>
      <c r="B28" s="21" t="s">
        <v>283</v>
      </c>
      <c r="C28" s="856" t="s">
        <v>866</v>
      </c>
      <c r="D28" s="857"/>
      <c r="E28" s="43" t="str">
        <f>VLOOKUP(B28,APU!$B$16:$I$1858,4,FALSE)</f>
        <v>ML</v>
      </c>
      <c r="F28" s="43">
        <f>VLOOKUP(A28,MEM!$B$285:$L$4976,11,FALSE)</f>
        <v>1428.02</v>
      </c>
      <c r="G28" s="74">
        <f>VLOOKUP(B28,APU!$B$16:$I$1858,8,FALSE)</f>
        <v>206374</v>
      </c>
      <c r="H28" s="75">
        <f t="shared" si="1"/>
        <v>294706199.48000002</v>
      </c>
      <c r="I28" s="77"/>
    </row>
    <row r="29" spans="1:9" ht="23.25" customHeight="1" x14ac:dyDescent="0.2">
      <c r="A29" s="43" t="s">
        <v>221</v>
      </c>
      <c r="B29" s="21" t="s">
        <v>995</v>
      </c>
      <c r="C29" s="856" t="s">
        <v>867</v>
      </c>
      <c r="D29" s="857"/>
      <c r="E29" s="43" t="str">
        <f>VLOOKUP(B29,APU!$B$16:$I$1858,4,FALSE)</f>
        <v>ML</v>
      </c>
      <c r="F29" s="43">
        <f>VLOOKUP(A29,MEM!$B$285:$L$4976,11,FALSE)</f>
        <v>1228.6500000000001</v>
      </c>
      <c r="G29" s="74">
        <f>VLOOKUP(B29,APU!$B$16:$I$1858,8,FALSE)</f>
        <v>262592</v>
      </c>
      <c r="H29" s="75">
        <f>+G29*F29</f>
        <v>322633660.80000001</v>
      </c>
      <c r="I29" s="77"/>
    </row>
    <row r="30" spans="1:9" ht="23.25" customHeight="1" x14ac:dyDescent="0.2">
      <c r="A30" s="43" t="s">
        <v>426</v>
      </c>
      <c r="B30" s="21" t="s">
        <v>285</v>
      </c>
      <c r="C30" s="856" t="s">
        <v>509</v>
      </c>
      <c r="D30" s="857"/>
      <c r="E30" s="43" t="str">
        <f>VLOOKUP(B30,APU!$B$16:$I$1858,4,FALSE)</f>
        <v>ML</v>
      </c>
      <c r="F30" s="43">
        <f>VLOOKUP(A30,MEM!$B$285:$L$4976,11,FALSE)</f>
        <v>560</v>
      </c>
      <c r="G30" s="74">
        <f>VLOOKUP(B30,APU!$B$16:$I$1858,8,FALSE)</f>
        <v>470234</v>
      </c>
      <c r="H30" s="75">
        <f>+G30*F30</f>
        <v>263331040</v>
      </c>
      <c r="I30" s="77"/>
    </row>
    <row r="31" spans="1:9" ht="24.75" customHeight="1" x14ac:dyDescent="0.2">
      <c r="A31" s="43" t="s">
        <v>412</v>
      </c>
      <c r="B31" s="21" t="s">
        <v>416</v>
      </c>
      <c r="C31" s="856" t="s">
        <v>417</v>
      </c>
      <c r="D31" s="857"/>
      <c r="E31" s="43" t="str">
        <f>VLOOKUP(B31,APU!$B$16:$I$1858,4,FALSE)</f>
        <v>UNIDAD</v>
      </c>
      <c r="F31" s="43">
        <f>VLOOKUP(A31,MEM!$B$285:$L$4976,11,FALSE)</f>
        <v>36</v>
      </c>
      <c r="G31" s="74">
        <f>VLOOKUP(B31,APU!$B$16:$I$1858,8,FALSE)</f>
        <v>896032</v>
      </c>
      <c r="H31" s="75">
        <f t="shared" si="1"/>
        <v>32257152</v>
      </c>
      <c r="I31" s="77"/>
    </row>
    <row r="32" spans="1:9" ht="24.75" customHeight="1" x14ac:dyDescent="0.2">
      <c r="A32" s="43" t="s">
        <v>413</v>
      </c>
      <c r="B32" s="21" t="s">
        <v>284</v>
      </c>
      <c r="C32" s="856" t="s">
        <v>418</v>
      </c>
      <c r="D32" s="857"/>
      <c r="E32" s="43" t="str">
        <f>VLOOKUP(B32,APU!$B$16:$I$1858,4,FALSE)</f>
        <v>M3</v>
      </c>
      <c r="F32" s="43">
        <f>VLOOKUP(A32,MEM!$B$285:$L$4976,11,FALSE)</f>
        <v>1890</v>
      </c>
      <c r="G32" s="74">
        <f>VLOOKUP(B32,APU!$B$16:$I$1858,8,FALSE)</f>
        <v>77911</v>
      </c>
      <c r="H32" s="75">
        <f t="shared" si="1"/>
        <v>147251790</v>
      </c>
      <c r="I32" s="77"/>
    </row>
    <row r="33" spans="1:9" ht="15" customHeight="1" x14ac:dyDescent="0.2">
      <c r="A33" s="43" t="s">
        <v>864</v>
      </c>
      <c r="B33" s="21" t="s">
        <v>429</v>
      </c>
      <c r="C33" s="856" t="s">
        <v>419</v>
      </c>
      <c r="D33" s="857"/>
      <c r="E33" s="43" t="str">
        <f>VLOOKUP(B33,APU!$B$16:$I$1858,4,FALSE)</f>
        <v>M3</v>
      </c>
      <c r="F33" s="43">
        <f>VLOOKUP(A33,MEM!$B$285:$L$4976,11,FALSE)</f>
        <v>1527</v>
      </c>
      <c r="G33" s="74">
        <f>VLOOKUP(B33,APU!$B$16:$I$1858,8,FALSE)</f>
        <v>44460</v>
      </c>
      <c r="H33" s="75">
        <f t="shared" si="1"/>
        <v>67890420</v>
      </c>
      <c r="I33" s="77"/>
    </row>
    <row r="34" spans="1:9" ht="15.75" customHeight="1" x14ac:dyDescent="0.2">
      <c r="A34" s="43" t="s">
        <v>865</v>
      </c>
      <c r="B34" s="21" t="s">
        <v>393</v>
      </c>
      <c r="C34" s="856" t="s">
        <v>414</v>
      </c>
      <c r="D34" s="857"/>
      <c r="E34" s="43" t="str">
        <f>VLOOKUP(B34,APU!$B$16:$I$1858,4,FALSE)</f>
        <v>UNIDAD</v>
      </c>
      <c r="F34" s="43">
        <f>VLOOKUP(A34,MEM!$B$285:$L$4976,11,FALSE)</f>
        <v>426</v>
      </c>
      <c r="G34" s="74">
        <f>VLOOKUP(B34,APU!$B$16:$I$1858,8,FALSE)</f>
        <v>925056</v>
      </c>
      <c r="H34" s="75">
        <f t="shared" si="1"/>
        <v>394073856</v>
      </c>
      <c r="I34" s="77"/>
    </row>
    <row r="35" spans="1:9" ht="16.5" customHeight="1" x14ac:dyDescent="0.2">
      <c r="A35" s="862" t="s">
        <v>402</v>
      </c>
      <c r="B35" s="862"/>
      <c r="C35" s="862"/>
      <c r="D35" s="862"/>
      <c r="E35" s="862"/>
      <c r="F35" s="862"/>
      <c r="G35" s="862"/>
      <c r="H35" s="863">
        <f>SUM(H36:H41)</f>
        <v>8646475835</v>
      </c>
      <c r="I35" s="864"/>
    </row>
    <row r="36" spans="1:9" ht="21" customHeight="1" x14ac:dyDescent="0.2">
      <c r="A36" s="43" t="s">
        <v>243</v>
      </c>
      <c r="B36" s="21" t="s">
        <v>245</v>
      </c>
      <c r="C36" s="856" t="s">
        <v>244</v>
      </c>
      <c r="D36" s="857"/>
      <c r="E36" s="43" t="str">
        <f>VLOOKUP(B36,APU!$B$16:$I$1858,4,FALSE)</f>
        <v>M3</v>
      </c>
      <c r="F36" s="43">
        <f>VLOOKUP(A36,MEM!$B$285:$L$4976,11,FALSE)</f>
        <v>2205</v>
      </c>
      <c r="G36" s="74">
        <f>VLOOKUP(B36,APU!$B$16:$I$1858,8,FALSE)</f>
        <v>33215</v>
      </c>
      <c r="H36" s="75">
        <f t="shared" ref="H36:H41" si="2">+G36*F36</f>
        <v>73239075</v>
      </c>
      <c r="I36" s="79"/>
    </row>
    <row r="37" spans="1:9" ht="21.6" customHeight="1" x14ac:dyDescent="0.2">
      <c r="A37" s="43" t="s">
        <v>249</v>
      </c>
      <c r="B37" s="21" t="s">
        <v>246</v>
      </c>
      <c r="C37" s="856" t="s">
        <v>399</v>
      </c>
      <c r="D37" s="857"/>
      <c r="E37" s="43" t="str">
        <f>VLOOKUP(B37,APU!$B$16:$I$1858,4,FALSE)</f>
        <v>M2</v>
      </c>
      <c r="F37" s="43">
        <f>VLOOKUP(A37,MEM!$B$285:$L$4976,11,FALSE)</f>
        <v>14703</v>
      </c>
      <c r="G37" s="74">
        <f>VLOOKUP(B37,APU!$B$16:$I$1858,8,FALSE)</f>
        <v>9220</v>
      </c>
      <c r="H37" s="75">
        <f t="shared" si="2"/>
        <v>135561660</v>
      </c>
      <c r="I37" s="80"/>
    </row>
    <row r="38" spans="1:9" ht="34.5" customHeight="1" x14ac:dyDescent="0.2">
      <c r="A38" s="43" t="s">
        <v>253</v>
      </c>
      <c r="B38" s="21" t="s">
        <v>247</v>
      </c>
      <c r="C38" s="856" t="s">
        <v>403</v>
      </c>
      <c r="D38" s="857"/>
      <c r="E38" s="43" t="str">
        <f>VLOOKUP(B38,APU!$B$16:$I$1858,4,FALSE)</f>
        <v>M3</v>
      </c>
      <c r="F38" s="43">
        <f>VLOOKUP(A38,MEM!$B$285:$L$4976,11,FALSE)</f>
        <v>2205</v>
      </c>
      <c r="G38" s="74">
        <f>VLOOKUP(B38,APU!$B$16:$I$1858,8,FALSE)</f>
        <v>116586</v>
      </c>
      <c r="H38" s="75">
        <f t="shared" si="2"/>
        <v>257072130</v>
      </c>
      <c r="I38" s="80"/>
    </row>
    <row r="39" spans="1:9" ht="22.2" customHeight="1" x14ac:dyDescent="0.2">
      <c r="A39" s="43" t="s">
        <v>254</v>
      </c>
      <c r="B39" s="21" t="s">
        <v>434</v>
      </c>
      <c r="C39" s="856" t="s">
        <v>521</v>
      </c>
      <c r="D39" s="857"/>
      <c r="E39" s="43" t="str">
        <f>VLOOKUP(B39,APU!$B$16:$I$1858,4,FALSE)</f>
        <v>M3</v>
      </c>
      <c r="F39" s="43">
        <f>VLOOKUP(A39,MEM!$B$285:$L$4976,11,FALSE)</f>
        <v>6888</v>
      </c>
      <c r="G39" s="74">
        <f>VLOOKUP(B39,APU!$B$16:$I$1858,8,FALSE)</f>
        <v>92551</v>
      </c>
      <c r="H39" s="75">
        <f t="shared" si="2"/>
        <v>637491288</v>
      </c>
      <c r="I39" s="80"/>
    </row>
    <row r="40" spans="1:9" ht="11.25" customHeight="1" x14ac:dyDescent="0.2">
      <c r="A40" s="43" t="s">
        <v>255</v>
      </c>
      <c r="B40" s="21" t="s">
        <v>248</v>
      </c>
      <c r="C40" s="856" t="s">
        <v>600</v>
      </c>
      <c r="D40" s="857"/>
      <c r="E40" s="43" t="str">
        <f>VLOOKUP(B40,[2]APU!$B$16:$I$2863,4,FALSE)</f>
        <v>M3</v>
      </c>
      <c r="F40" s="43">
        <f>VLOOKUP(A40,MEM!$B$285:$L$4976,11,FALSE)</f>
        <v>9134</v>
      </c>
      <c r="G40" s="74">
        <f>VLOOKUP(B40,APU!$B$16:$I$1858,8,FALSE)</f>
        <v>808486</v>
      </c>
      <c r="H40" s="75">
        <f>+G40*F40</f>
        <v>7384711124</v>
      </c>
      <c r="I40" s="80"/>
    </row>
    <row r="41" spans="1:9" ht="24" customHeight="1" x14ac:dyDescent="0.2">
      <c r="A41" s="43" t="s">
        <v>256</v>
      </c>
      <c r="B41" s="21" t="s">
        <v>259</v>
      </c>
      <c r="C41" s="856" t="s">
        <v>257</v>
      </c>
      <c r="D41" s="857"/>
      <c r="E41" s="43" t="str">
        <f>VLOOKUP(B41,[2]APU!$B$16:$I$2863,4,FALSE)</f>
        <v>KG</v>
      </c>
      <c r="F41" s="43">
        <f>VLOOKUP(A41,MEM!$B$285:$L$4976,11,FALSE)</f>
        <v>13466</v>
      </c>
      <c r="G41" s="74">
        <f>VLOOKUP(B41,APU!$B$16:$I$1858,8,FALSE)</f>
        <v>11763</v>
      </c>
      <c r="H41" s="75">
        <f t="shared" si="2"/>
        <v>158400558</v>
      </c>
      <c r="I41" s="80"/>
    </row>
    <row r="42" spans="1:9" ht="13.5" customHeight="1" x14ac:dyDescent="0.2">
      <c r="A42" s="862" t="s">
        <v>265</v>
      </c>
      <c r="B42" s="862"/>
      <c r="C42" s="862"/>
      <c r="D42" s="862"/>
      <c r="E42" s="862"/>
      <c r="F42" s="862"/>
      <c r="G42" s="862"/>
      <c r="H42" s="863">
        <f>SUM(H43:H49)</f>
        <v>3496825045</v>
      </c>
      <c r="I42" s="864"/>
    </row>
    <row r="43" spans="1:9" ht="12" customHeight="1" x14ac:dyDescent="0.2">
      <c r="A43" s="43" t="s">
        <v>266</v>
      </c>
      <c r="B43" s="21" t="s">
        <v>273</v>
      </c>
      <c r="C43" s="856" t="s">
        <v>263</v>
      </c>
      <c r="D43" s="857"/>
      <c r="E43" s="43" t="str">
        <f>VLOOKUP(B43,APU!$B$16:$I$1858,4,FALSE)</f>
        <v>ML</v>
      </c>
      <c r="F43" s="43">
        <f>VLOOKUP(A43,MEM!$B$285:$L$4976,11,FALSE)</f>
        <v>15131</v>
      </c>
      <c r="G43" s="74">
        <f>VLOOKUP(B43,APU!$B$16:$I$1858,8,FALSE)</f>
        <v>58763</v>
      </c>
      <c r="H43" s="75">
        <f t="shared" ref="H43:H48" si="3">+G43*F43</f>
        <v>889142953</v>
      </c>
      <c r="I43" s="79"/>
    </row>
    <row r="44" spans="1:9" ht="40.950000000000003" customHeight="1" x14ac:dyDescent="0.2">
      <c r="A44" s="43" t="s">
        <v>267</v>
      </c>
      <c r="B44" s="21" t="s">
        <v>387</v>
      </c>
      <c r="C44" s="856" t="s">
        <v>275</v>
      </c>
      <c r="D44" s="857"/>
      <c r="E44" s="43" t="str">
        <f>VLOOKUP(B44,APU!$B$16:$I$1858,4,FALSE)</f>
        <v>M3</v>
      </c>
      <c r="F44" s="43">
        <f>VLOOKUP(A44,MEM!$B$285:$L$4976,11,FALSE)</f>
        <v>4237</v>
      </c>
      <c r="G44" s="74">
        <f>VLOOKUP(B44,APU!$B$16:$I$1858,8,FALSE)</f>
        <v>60221</v>
      </c>
      <c r="H44" s="75">
        <f t="shared" si="3"/>
        <v>255156377</v>
      </c>
      <c r="I44" s="77"/>
    </row>
    <row r="45" spans="1:9" ht="21.6" customHeight="1" x14ac:dyDescent="0.2">
      <c r="A45" s="43" t="s">
        <v>268</v>
      </c>
      <c r="B45" s="21" t="s">
        <v>291</v>
      </c>
      <c r="C45" s="856" t="s">
        <v>989</v>
      </c>
      <c r="D45" s="857"/>
      <c r="E45" s="43" t="str">
        <f>VLOOKUP(B45,APU!$B$16:$I$1858,4,FALSE)</f>
        <v>M2</v>
      </c>
      <c r="F45" s="43">
        <f>VLOOKUP(A45,MEM!$B$285:$L$4976,11,FALSE)</f>
        <v>18157</v>
      </c>
      <c r="G45" s="74">
        <f>VLOOKUP(B45,APU!$B$16:$I$1858,8,FALSE)</f>
        <v>97253</v>
      </c>
      <c r="H45" s="75">
        <f t="shared" si="3"/>
        <v>1765822721</v>
      </c>
      <c r="I45" s="77"/>
    </row>
    <row r="46" spans="1:9" ht="21" customHeight="1" x14ac:dyDescent="0.2">
      <c r="A46" s="43" t="s">
        <v>269</v>
      </c>
      <c r="B46" s="21" t="s">
        <v>274</v>
      </c>
      <c r="C46" s="856" t="s">
        <v>490</v>
      </c>
      <c r="D46" s="857"/>
      <c r="E46" s="43" t="s">
        <v>26</v>
      </c>
      <c r="F46" s="43">
        <f>VLOOKUP(A46,MEM!$B$285:$L$4976,11,FALSE)</f>
        <v>540</v>
      </c>
      <c r="G46" s="74">
        <f>VLOOKUP(B46,APU!$B$16:$I$1858,8,FALSE)</f>
        <v>13392</v>
      </c>
      <c r="H46" s="75">
        <f t="shared" si="3"/>
        <v>7231680</v>
      </c>
      <c r="I46" s="77"/>
    </row>
    <row r="47" spans="1:9" ht="31.2" customHeight="1" x14ac:dyDescent="0.2">
      <c r="A47" s="43" t="s">
        <v>270</v>
      </c>
      <c r="B47" s="21" t="s">
        <v>292</v>
      </c>
      <c r="C47" s="856" t="s">
        <v>264</v>
      </c>
      <c r="D47" s="857"/>
      <c r="E47" s="43" t="str">
        <f>VLOOKUP(B47,APU!$B$16:$I$1858,4,FALSE)</f>
        <v>m2</v>
      </c>
      <c r="F47" s="43">
        <f>VLOOKUP(A47,MEM!$B$285:$L$4976,11,FALSE)</f>
        <v>124</v>
      </c>
      <c r="G47" s="74">
        <f>VLOOKUP(B47,APU!$B$16:$I$1858,8,FALSE)</f>
        <v>89406</v>
      </c>
      <c r="H47" s="75">
        <f t="shared" si="3"/>
        <v>11086344</v>
      </c>
      <c r="I47" s="77"/>
    </row>
    <row r="48" spans="1:9" ht="21.6" customHeight="1" x14ac:dyDescent="0.2">
      <c r="A48" s="43" t="s">
        <v>271</v>
      </c>
      <c r="B48" s="21" t="s">
        <v>439</v>
      </c>
      <c r="C48" s="856" t="s">
        <v>489</v>
      </c>
      <c r="D48" s="857"/>
      <c r="E48" s="43" t="str">
        <f>VLOOKUP(B48,APU!$B$16:$I$1858,4,FALSE)</f>
        <v>M3</v>
      </c>
      <c r="F48" s="43">
        <f>VLOOKUP(A48,MEM!$B$285:$L$4976,11,FALSE)</f>
        <v>454</v>
      </c>
      <c r="G48" s="74">
        <f>VLOOKUP(B48,APU!$B$16:$I$1858,8,FALSE)</f>
        <v>730651</v>
      </c>
      <c r="H48" s="75">
        <f t="shared" si="3"/>
        <v>331715554</v>
      </c>
      <c r="I48" s="77"/>
    </row>
    <row r="49" spans="1:10" ht="13.95" customHeight="1" x14ac:dyDescent="0.2">
      <c r="A49" s="43" t="s">
        <v>272</v>
      </c>
      <c r="B49" s="21" t="s">
        <v>443</v>
      </c>
      <c r="C49" s="856" t="s">
        <v>491</v>
      </c>
      <c r="D49" s="857"/>
      <c r="E49" s="43" t="str">
        <f>VLOOKUP(B49,APU!$B$16:$I$1858,4,FALSE)</f>
        <v>UNIDAD</v>
      </c>
      <c r="F49" s="43">
        <f>VLOOKUP(A49,MEM!$B$285:$L$4976,11,FALSE)</f>
        <v>422</v>
      </c>
      <c r="G49" s="74">
        <f>VLOOKUP(B49,APU!$B$16:$I$1858,8,FALSE)</f>
        <v>560828</v>
      </c>
      <c r="H49" s="75">
        <f>+G49*F49</f>
        <v>236669416</v>
      </c>
      <c r="I49" s="77"/>
    </row>
    <row r="50" spans="1:10" ht="12" customHeight="1" x14ac:dyDescent="0.2">
      <c r="H50" s="81"/>
      <c r="I50" s="81"/>
    </row>
    <row r="51" spans="1:10" ht="12" customHeight="1" x14ac:dyDescent="0.2">
      <c r="A51" s="629" t="s">
        <v>260</v>
      </c>
      <c r="B51" s="630"/>
      <c r="C51" s="630"/>
      <c r="D51" s="630"/>
      <c r="E51" s="630"/>
      <c r="F51" s="630"/>
      <c r="G51" s="631"/>
      <c r="H51" s="632">
        <f>+H42+H35+H20+H17</f>
        <v>14237770402.280001</v>
      </c>
      <c r="I51" s="632"/>
    </row>
    <row r="52" spans="1:10" ht="12" customHeight="1" x14ac:dyDescent="0.2">
      <c r="A52" s="639" t="s">
        <v>208</v>
      </c>
      <c r="B52" s="640"/>
      <c r="C52" s="640"/>
      <c r="D52" s="640"/>
      <c r="E52" s="640"/>
      <c r="F52" s="641"/>
      <c r="G52" s="24">
        <v>0.02</v>
      </c>
      <c r="H52" s="632">
        <f>(G52*H51)</f>
        <v>284755408.0456</v>
      </c>
      <c r="I52" s="632"/>
    </row>
    <row r="53" spans="1:10" ht="12" customHeight="1" x14ac:dyDescent="0.2">
      <c r="A53" s="639" t="s">
        <v>5</v>
      </c>
      <c r="B53" s="640"/>
      <c r="C53" s="640"/>
      <c r="D53" s="640"/>
      <c r="E53" s="640"/>
      <c r="F53" s="641"/>
      <c r="G53" s="25">
        <v>0.23</v>
      </c>
      <c r="H53" s="642">
        <f>(G53*H51)</f>
        <v>3274687192.5244002</v>
      </c>
      <c r="I53" s="643"/>
    </row>
    <row r="54" spans="1:10" ht="12" customHeight="1" x14ac:dyDescent="0.2">
      <c r="A54" s="639" t="s">
        <v>261</v>
      </c>
      <c r="B54" s="640"/>
      <c r="C54" s="640"/>
      <c r="D54" s="640"/>
      <c r="E54" s="640"/>
      <c r="F54" s="641"/>
      <c r="G54" s="25">
        <v>0.01</v>
      </c>
      <c r="H54" s="642">
        <f>(G54*H51)</f>
        <v>142377704.0228</v>
      </c>
      <c r="I54" s="643"/>
    </row>
    <row r="55" spans="1:10" x14ac:dyDescent="0.2">
      <c r="A55" s="639" t="s">
        <v>262</v>
      </c>
      <c r="B55" s="640"/>
      <c r="C55" s="640"/>
      <c r="D55" s="640"/>
      <c r="E55" s="640"/>
      <c r="F55" s="641"/>
      <c r="G55" s="25">
        <v>0.05</v>
      </c>
      <c r="H55" s="642">
        <f>(G55*H51)</f>
        <v>711888520.11400008</v>
      </c>
      <c r="I55" s="643"/>
    </row>
    <row r="56" spans="1:10" x14ac:dyDescent="0.2">
      <c r="A56" s="629" t="s">
        <v>203</v>
      </c>
      <c r="B56" s="630"/>
      <c r="C56" s="630"/>
      <c r="D56" s="630"/>
      <c r="E56" s="630"/>
      <c r="F56" s="630"/>
      <c r="G56" s="631"/>
      <c r="H56" s="632">
        <f>+H55+H54+H53+H52+H51</f>
        <v>18651479226.986801</v>
      </c>
      <c r="I56" s="632"/>
      <c r="J56" s="190">
        <f>+F18/1000*1640000000</f>
        <v>14810840000.000002</v>
      </c>
    </row>
    <row r="57" spans="1:10" x14ac:dyDescent="0.2">
      <c r="A57" s="203"/>
      <c r="B57" s="203"/>
      <c r="C57" s="203"/>
      <c r="D57" s="203"/>
      <c r="E57" s="203"/>
      <c r="F57" s="203"/>
      <c r="G57" s="203"/>
      <c r="H57" s="204"/>
      <c r="I57" s="204"/>
    </row>
    <row r="58" spans="1:10" x14ac:dyDescent="0.2">
      <c r="A58" s="629" t="s">
        <v>861</v>
      </c>
      <c r="B58" s="630"/>
      <c r="C58" s="630"/>
      <c r="D58" s="630"/>
      <c r="E58" s="630"/>
      <c r="F58" s="630"/>
      <c r="G58" s="631"/>
      <c r="H58" s="858">
        <f>+H56*0.05</f>
        <v>932573961.34934008</v>
      </c>
      <c r="I58" s="860"/>
    </row>
    <row r="59" spans="1:10" x14ac:dyDescent="0.2">
      <c r="H59" s="82"/>
      <c r="I59" s="82"/>
    </row>
    <row r="60" spans="1:10" x14ac:dyDescent="0.2">
      <c r="A60" s="629" t="s">
        <v>203</v>
      </c>
      <c r="B60" s="630"/>
      <c r="C60" s="630"/>
      <c r="D60" s="630"/>
      <c r="E60" s="630"/>
      <c r="F60" s="630"/>
      <c r="G60" s="631"/>
      <c r="H60" s="858">
        <f>+H58+H56</f>
        <v>19584053188.33614</v>
      </c>
      <c r="I60" s="859"/>
      <c r="J60" s="190">
        <f>+H60/F18</f>
        <v>2168536.5062934491</v>
      </c>
    </row>
    <row r="61" spans="1:10" x14ac:dyDescent="0.2">
      <c r="H61" s="81"/>
      <c r="I61" s="81"/>
    </row>
    <row r="63" spans="1:10" x14ac:dyDescent="0.2">
      <c r="A63" s="664"/>
      <c r="B63" s="664"/>
      <c r="C63" s="664"/>
      <c r="D63" s="664"/>
      <c r="E63" s="664"/>
      <c r="F63" s="664"/>
      <c r="G63" s="664"/>
      <c r="H63" s="664"/>
      <c r="I63" s="664"/>
    </row>
  </sheetData>
  <mergeCells count="80">
    <mergeCell ref="H42:I42"/>
    <mergeCell ref="C37:D37"/>
    <mergeCell ref="C41:D41"/>
    <mergeCell ref="A42:G42"/>
    <mergeCell ref="C27:D27"/>
    <mergeCell ref="C28:D28"/>
    <mergeCell ref="C31:D31"/>
    <mergeCell ref="C32:D32"/>
    <mergeCell ref="C33:D33"/>
    <mergeCell ref="C43:D43"/>
    <mergeCell ref="C47:D47"/>
    <mergeCell ref="C45:D45"/>
    <mergeCell ref="C46:D46"/>
    <mergeCell ref="C1:I1"/>
    <mergeCell ref="D10:I10"/>
    <mergeCell ref="C24:D24"/>
    <mergeCell ref="C36:D36"/>
    <mergeCell ref="C40:D40"/>
    <mergeCell ref="H35:I35"/>
    <mergeCell ref="C25:D25"/>
    <mergeCell ref="C26:D26"/>
    <mergeCell ref="A35:G35"/>
    <mergeCell ref="A13:B13"/>
    <mergeCell ref="D13:I13"/>
    <mergeCell ref="A14:B14"/>
    <mergeCell ref="A2:B5"/>
    <mergeCell ref="D2:I2"/>
    <mergeCell ref="D3:I3"/>
    <mergeCell ref="C2:C3"/>
    <mergeCell ref="A9:B9"/>
    <mergeCell ref="D4:I4"/>
    <mergeCell ref="D5:I5"/>
    <mergeCell ref="E7:G7"/>
    <mergeCell ref="H7:I7"/>
    <mergeCell ref="C7:D7"/>
    <mergeCell ref="A7:B7"/>
    <mergeCell ref="C9:D9"/>
    <mergeCell ref="H9:I9"/>
    <mergeCell ref="E9:G9"/>
    <mergeCell ref="A12:B12"/>
    <mergeCell ref="D12:I12"/>
    <mergeCell ref="A10:B10"/>
    <mergeCell ref="A11:B11"/>
    <mergeCell ref="D11:I11"/>
    <mergeCell ref="C14:I14"/>
    <mergeCell ref="A20:G20"/>
    <mergeCell ref="H20:I20"/>
    <mergeCell ref="C38:D38"/>
    <mergeCell ref="C39:D39"/>
    <mergeCell ref="C21:D21"/>
    <mergeCell ref="C16:D16"/>
    <mergeCell ref="C18:D18"/>
    <mergeCell ref="C29:D29"/>
    <mergeCell ref="C30:D30"/>
    <mergeCell ref="C34:D34"/>
    <mergeCell ref="A17:G17"/>
    <mergeCell ref="H17:I17"/>
    <mergeCell ref="C19:D19"/>
    <mergeCell ref="C22:D22"/>
    <mergeCell ref="C23:D23"/>
    <mergeCell ref="A63:I63"/>
    <mergeCell ref="H51:I51"/>
    <mergeCell ref="A51:G51"/>
    <mergeCell ref="H52:I52"/>
    <mergeCell ref="H53:I53"/>
    <mergeCell ref="H58:I58"/>
    <mergeCell ref="H55:I55"/>
    <mergeCell ref="A56:G56"/>
    <mergeCell ref="H56:I56"/>
    <mergeCell ref="A52:F52"/>
    <mergeCell ref="A53:F53"/>
    <mergeCell ref="A54:F54"/>
    <mergeCell ref="A55:F55"/>
    <mergeCell ref="A60:G60"/>
    <mergeCell ref="C48:D48"/>
    <mergeCell ref="H60:I60"/>
    <mergeCell ref="H54:I54"/>
    <mergeCell ref="A58:G58"/>
    <mergeCell ref="C44:D44"/>
    <mergeCell ref="C49:D49"/>
  </mergeCells>
  <phoneticPr fontId="25" type="noConversion"/>
  <hyperlinks>
    <hyperlink ref="B18" location="'ESPECIFICACION NORMA'!B16" display="PAR_01" xr:uid="{00000000-0004-0000-0B00-000000000000}"/>
    <hyperlink ref="B19" location="'ESPECIFICACION NORMA'!B37" display="201.3-13" xr:uid="{00000000-0004-0000-0B00-000001000000}"/>
  </hyperlinks>
  <printOptions horizontalCentered="1"/>
  <pageMargins left="0.61" right="0.22" top="0.37" bottom="0.62" header="0.24" footer="0.55000000000000004"/>
  <pageSetup scale="90" orientation="portrait" r:id="rId1"/>
  <headerFooter>
    <oddFooter xml:space="preserve">&amp;L
</oddFooter>
  </headerFooter>
  <ignoredErrors>
    <ignoredError sqref="H22 H28 G31:H32 H33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695"/>
  <sheetViews>
    <sheetView showGridLines="0" view="pageBreakPreview" topLeftCell="A81" zoomScale="80" zoomScaleNormal="100" zoomScaleSheetLayoutView="80" workbookViewId="0">
      <selection activeCell="L106" sqref="L106"/>
    </sheetView>
  </sheetViews>
  <sheetFormatPr baseColWidth="10" defaultColWidth="11.44140625" defaultRowHeight="14.4" x14ac:dyDescent="0.3"/>
  <cols>
    <col min="1" max="1" width="12.109375" customWidth="1"/>
    <col min="2" max="2" width="9.44140625" style="1" customWidth="1"/>
    <col min="3" max="3" width="30.88671875" customWidth="1"/>
    <col min="4" max="4" width="12.5546875" customWidth="1"/>
    <col min="5" max="5" width="8.6640625" customWidth="1"/>
    <col min="6" max="6" width="11.44140625" customWidth="1"/>
    <col min="7" max="7" width="11.33203125" customWidth="1"/>
    <col min="8" max="8" width="10.6640625" customWidth="1"/>
    <col min="9" max="9" width="12.44140625" customWidth="1"/>
    <col min="10" max="10" width="4.44140625" customWidth="1"/>
    <col min="11" max="11" width="8.6640625" customWidth="1"/>
    <col min="12" max="12" width="11.44140625" style="89"/>
  </cols>
  <sheetData>
    <row r="1" spans="1:9" ht="38.25" customHeight="1" x14ac:dyDescent="0.3">
      <c r="A1" s="9"/>
      <c r="B1" s="9" t="s">
        <v>463</v>
      </c>
      <c r="C1" s="692"/>
      <c r="D1" s="692"/>
      <c r="E1" s="692"/>
      <c r="F1" s="692"/>
      <c r="G1" s="692"/>
      <c r="H1" s="692"/>
      <c r="I1" s="692"/>
    </row>
    <row r="2" spans="1:9" ht="9.75" customHeight="1" x14ac:dyDescent="0.3">
      <c r="A2" s="902"/>
      <c r="B2" s="902"/>
      <c r="C2" s="692"/>
      <c r="D2" s="903" t="s">
        <v>60</v>
      </c>
      <c r="E2" s="903"/>
      <c r="F2" s="903"/>
      <c r="G2" s="903"/>
      <c r="H2" s="903"/>
      <c r="I2" s="903"/>
    </row>
    <row r="3" spans="1:9" ht="12" customHeight="1" x14ac:dyDescent="0.3">
      <c r="A3" s="902"/>
      <c r="B3" s="902"/>
      <c r="C3" s="692"/>
      <c r="D3" s="903" t="s">
        <v>61</v>
      </c>
      <c r="E3" s="903"/>
      <c r="F3" s="903"/>
      <c r="G3" s="903"/>
      <c r="H3" s="903"/>
      <c r="I3" s="903"/>
    </row>
    <row r="4" spans="1:9" ht="12" customHeight="1" x14ac:dyDescent="0.3">
      <c r="A4" s="902"/>
      <c r="B4" s="902"/>
      <c r="C4" s="45" t="s">
        <v>281</v>
      </c>
      <c r="D4" s="903" t="str">
        <f>VLOOKUP(C4,'[6]LOGOS SUB REGION'!$B$6:$C$22,2,FALSE)</f>
        <v>MUNICIPIO DE TURBO</v>
      </c>
      <c r="E4" s="903"/>
      <c r="F4" s="903"/>
      <c r="G4" s="903"/>
      <c r="H4" s="903"/>
      <c r="I4" s="903"/>
    </row>
    <row r="5" spans="1:9" ht="12" customHeight="1" x14ac:dyDescent="0.3">
      <c r="A5" s="902"/>
      <c r="B5" s="902"/>
      <c r="C5" s="45" t="s">
        <v>280</v>
      </c>
      <c r="D5" s="903" t="str">
        <f>VLOOKUP(C5,'[6]LOGOS SUB REGION'!$B$6:$C$22,2,FALSE)</f>
        <v>SECRETARIA DE PLANEACION Y SECRETARIA DE OBRAS PUBLICAS</v>
      </c>
      <c r="E5" s="903"/>
      <c r="F5" s="903"/>
      <c r="G5" s="903"/>
      <c r="H5" s="903"/>
      <c r="I5" s="903"/>
    </row>
    <row r="6" spans="1:9" ht="10.5" customHeight="1" x14ac:dyDescent="0.3"/>
    <row r="7" spans="1:9" ht="9" customHeight="1" x14ac:dyDescent="0.3">
      <c r="A7" s="904" t="s">
        <v>21</v>
      </c>
      <c r="B7" s="904"/>
      <c r="C7" s="91" t="str">
        <f>+D4</f>
        <v>MUNICIPIO DE TURBO</v>
      </c>
      <c r="D7" s="604" t="s">
        <v>390</v>
      </c>
      <c r="E7" s="604"/>
      <c r="F7" s="604"/>
      <c r="G7" s="606" t="str">
        <f>+D3</f>
        <v>DEPARTAMENTO DE ANTIOQUIA</v>
      </c>
      <c r="H7" s="606"/>
      <c r="I7" s="606"/>
    </row>
    <row r="8" spans="1:9" ht="9" customHeight="1" x14ac:dyDescent="0.3">
      <c r="A8" s="2"/>
      <c r="B8" s="2"/>
      <c r="C8" s="2"/>
      <c r="D8" s="2"/>
      <c r="E8" s="3"/>
      <c r="F8" s="3"/>
      <c r="G8" s="3"/>
      <c r="H8" s="3"/>
      <c r="I8" s="3"/>
    </row>
    <row r="9" spans="1:9" ht="11.25" customHeight="1" x14ac:dyDescent="0.3">
      <c r="A9" s="607" t="s">
        <v>20</v>
      </c>
      <c r="B9" s="608"/>
      <c r="C9" s="11" t="s">
        <v>23</v>
      </c>
      <c r="D9" s="905" t="s">
        <v>10</v>
      </c>
      <c r="E9" s="906"/>
      <c r="F9" s="907"/>
      <c r="G9" s="899">
        <f>VLOOKUP(D9,[6]INICIO!$E$10:$H$22,2,FALSE)</f>
        <v>43112</v>
      </c>
      <c r="H9" s="900"/>
      <c r="I9" s="901"/>
    </row>
    <row r="10" spans="1:9" ht="11.25" customHeight="1" x14ac:dyDescent="0.3">
      <c r="A10" s="607" t="s">
        <v>8</v>
      </c>
      <c r="B10" s="608"/>
      <c r="C10" s="10" t="s">
        <v>64</v>
      </c>
      <c r="D10" s="810" t="str">
        <f>VLOOKUP([6]APU!C10,[6]INICIO!$E$10:$H$16,2,FALSE)</f>
        <v>MUNICIPIO DE TURBO</v>
      </c>
      <c r="E10" s="811"/>
      <c r="F10" s="811"/>
      <c r="G10" s="811"/>
      <c r="H10" s="811"/>
      <c r="I10" s="812"/>
    </row>
    <row r="11" spans="1:9" ht="11.25" customHeight="1" x14ac:dyDescent="0.3">
      <c r="A11" s="607" t="s">
        <v>7</v>
      </c>
      <c r="B11" s="608"/>
      <c r="C11" s="10" t="s">
        <v>63</v>
      </c>
      <c r="D11" s="810" t="str">
        <f>VLOOKUP([6]APU!C11,[6]INICIO!$E$10:$H$16,2,FALSE)</f>
        <v>CARRERA 115 ENTRE CALLE 14 Y CALLE 5A</v>
      </c>
      <c r="E11" s="811"/>
      <c r="F11" s="811"/>
      <c r="G11" s="811"/>
      <c r="H11" s="811"/>
      <c r="I11" s="812"/>
    </row>
    <row r="12" spans="1:9" ht="11.25" customHeight="1" x14ac:dyDescent="0.3">
      <c r="A12" s="607" t="s">
        <v>9</v>
      </c>
      <c r="B12" s="608"/>
      <c r="C12" s="10" t="s">
        <v>62</v>
      </c>
      <c r="D12" s="810" t="str">
        <f>VLOOKUP([6]APU!C12,[6]INICIO!$E$10:$H$16,2,FALSE)</f>
        <v>CONSTRUCCIÓN DE PASEOS URBANOS EL LOS BARRIOS, ECCEHOMO, BUENOS AIRES Y LA PLAYA DE TURBO ANTIOQUIA</v>
      </c>
      <c r="E12" s="811"/>
      <c r="F12" s="811"/>
      <c r="G12" s="811"/>
      <c r="H12" s="811"/>
      <c r="I12" s="812"/>
    </row>
    <row r="13" spans="1:9" ht="11.25" customHeight="1" x14ac:dyDescent="0.3">
      <c r="A13" s="607" t="s">
        <v>66</v>
      </c>
      <c r="B13" s="608"/>
      <c r="C13" s="10" t="s">
        <v>65</v>
      </c>
      <c r="D13" s="810" t="str">
        <f>VLOOKUP([6]APU!C13,[6]INICIO!$E$10:$H$16,2,FALSE)</f>
        <v>INVIAS, RAS 2000, NORMAS EPM</v>
      </c>
      <c r="E13" s="811"/>
      <c r="F13" s="811"/>
      <c r="G13" s="811"/>
      <c r="H13" s="811"/>
      <c r="I13" s="812"/>
    </row>
    <row r="14" spans="1:9" ht="11.25" customHeight="1" x14ac:dyDescent="0.3">
      <c r="A14" s="607" t="s">
        <v>24</v>
      </c>
      <c r="B14" s="608"/>
      <c r="C14" s="896"/>
      <c r="D14" s="897"/>
      <c r="E14" s="897"/>
      <c r="F14" s="897"/>
      <c r="G14" s="897"/>
      <c r="H14" s="897"/>
      <c r="I14" s="898"/>
    </row>
    <row r="15" spans="1:9" ht="12.75" customHeight="1" x14ac:dyDescent="0.3">
      <c r="A15" s="47" t="s">
        <v>68</v>
      </c>
      <c r="B15" s="3"/>
      <c r="C15" s="3"/>
      <c r="D15" s="3"/>
      <c r="E15" s="3"/>
      <c r="F15" s="3"/>
      <c r="G15" s="3"/>
      <c r="H15" s="3"/>
      <c r="I15" s="180"/>
    </row>
    <row r="16" spans="1:9" ht="12.75" customHeight="1" x14ac:dyDescent="0.3">
      <c r="A16" s="94" t="s">
        <v>69</v>
      </c>
      <c r="B16" s="112" t="s">
        <v>25</v>
      </c>
      <c r="C16" s="604" t="s">
        <v>70</v>
      </c>
      <c r="D16" s="868" t="str">
        <f>VLOOKUP(B16,[6]PRESUPUESTO!$A$18:$I$22,3,FALSE)</f>
        <v>LOCALIZACIÓN Y REPLANTEO</v>
      </c>
      <c r="E16" s="868"/>
      <c r="F16" s="868"/>
      <c r="G16" s="868"/>
      <c r="H16" s="868"/>
      <c r="I16" s="884"/>
    </row>
    <row r="17" spans="1:11" ht="12.75" customHeight="1" x14ac:dyDescent="0.3">
      <c r="A17" s="94" t="s">
        <v>71</v>
      </c>
      <c r="B17" s="29" t="s">
        <v>117</v>
      </c>
      <c r="C17" s="604"/>
      <c r="D17" s="140" t="s">
        <v>12</v>
      </c>
      <c r="E17" s="113" t="s">
        <v>129</v>
      </c>
      <c r="F17" s="113" t="s">
        <v>13</v>
      </c>
      <c r="G17" s="113">
        <f>VLOOKUP(B17,PRESUPUESTO!B18:I22,5,FALSE)</f>
        <v>9031</v>
      </c>
      <c r="H17" s="114" t="s">
        <v>27</v>
      </c>
      <c r="I17" s="46">
        <f>+I41</f>
        <v>1076</v>
      </c>
    </row>
    <row r="18" spans="1:11" ht="12.75" customHeight="1" x14ac:dyDescent="0.3">
      <c r="A18" s="47" t="s">
        <v>14</v>
      </c>
      <c r="B18" s="3"/>
      <c r="C18" s="115"/>
      <c r="D18" s="115"/>
      <c r="E18" s="115"/>
      <c r="F18" s="115"/>
      <c r="G18" s="115"/>
      <c r="H18" s="115"/>
      <c r="I18" s="48"/>
    </row>
    <row r="19" spans="1:11" ht="12.75" customHeight="1" x14ac:dyDescent="0.3">
      <c r="A19" s="879" t="s">
        <v>19</v>
      </c>
      <c r="B19" s="868"/>
      <c r="C19" s="868"/>
      <c r="D19" s="868"/>
      <c r="E19" s="868"/>
      <c r="F19" s="116" t="s">
        <v>28</v>
      </c>
      <c r="G19" s="116" t="s">
        <v>29</v>
      </c>
      <c r="H19" s="116" t="s">
        <v>30</v>
      </c>
      <c r="I19" s="884"/>
    </row>
    <row r="20" spans="1:11" ht="12.75" customHeight="1" x14ac:dyDescent="0.3">
      <c r="A20" s="92" t="s">
        <v>1</v>
      </c>
      <c r="B20" s="117" t="s">
        <v>74</v>
      </c>
      <c r="C20" s="878" t="str">
        <f>IF($A20="EQUI",VLOOKUP($B20,EQUI!B$16:G$37,2,FALSE),IF($A20="TRAN",VLOOKUP($B20,TRAN!$B$16:$G$26,2,FALSE),IF($A20="MAT",VLOOKUP($B20,'MAT1'!$B$16:$G$43,2,FALSE),IF($A20="MDEO",VLOOKUP($B20,MDEO!$B$16:$P$27,2,FALSE)))))</f>
        <v xml:space="preserve">Estación total localización </v>
      </c>
      <c r="D20" s="878"/>
      <c r="E20" s="878"/>
      <c r="F20" s="123">
        <f>IF($A20="EQUI",VLOOKUP($B20,EQUI!B$16:G$36,4,FALSE),IF($A20="TRAN",VLOOKUP($B20,TRAN!$B$16:$G$26,4,FALSE),IF($A20="MAT",VLOOKUP($B20,'MAT1'!$B$16:$G$43,4,FALSE),IF($A20="MDEO",VLOOKUP($B20,MDEO!$B$16:$P$27,4,FALSE)))))</f>
        <v>80000</v>
      </c>
      <c r="G20" s="143">
        <v>8.3798882681564244E-3</v>
      </c>
      <c r="H20" s="30">
        <f>+F20*G20</f>
        <v>670.39106145251401</v>
      </c>
      <c r="I20" s="884"/>
      <c r="K20" s="191">
        <f>+G20*$G$17</f>
        <v>75.678770949720672</v>
      </c>
    </row>
    <row r="21" spans="1:11" ht="12.75" customHeight="1" x14ac:dyDescent="0.3">
      <c r="A21" s="49"/>
      <c r="B21" s="115"/>
      <c r="C21" s="115"/>
      <c r="D21" s="115"/>
      <c r="E21" s="115"/>
      <c r="F21" s="120" t="s">
        <v>32</v>
      </c>
      <c r="G21" s="121" t="str">
        <f>+B16</f>
        <v>1.1</v>
      </c>
      <c r="H21" s="121" t="s">
        <v>33</v>
      </c>
      <c r="I21" s="48">
        <f>SUM(H20:H20)</f>
        <v>670.39106145251401</v>
      </c>
    </row>
    <row r="22" spans="1:11" ht="12.75" customHeight="1" x14ac:dyDescent="0.3">
      <c r="A22" s="47" t="s">
        <v>34</v>
      </c>
      <c r="B22" s="3"/>
      <c r="C22" s="115"/>
      <c r="D22" s="115"/>
      <c r="E22" s="115"/>
      <c r="F22" s="115"/>
      <c r="G22" s="115"/>
      <c r="H22" s="115"/>
      <c r="I22" s="50"/>
    </row>
    <row r="23" spans="1:11" ht="12.75" customHeight="1" x14ac:dyDescent="0.3">
      <c r="A23" s="879" t="s">
        <v>35</v>
      </c>
      <c r="B23" s="868"/>
      <c r="C23" s="868"/>
      <c r="D23" s="868"/>
      <c r="E23" s="116" t="s">
        <v>12</v>
      </c>
      <c r="F23" s="116" t="s">
        <v>36</v>
      </c>
      <c r="G23" s="116" t="s">
        <v>37</v>
      </c>
      <c r="H23" s="116" t="s">
        <v>38</v>
      </c>
      <c r="I23" s="884"/>
    </row>
    <row r="24" spans="1:11" ht="12.75" customHeight="1" x14ac:dyDescent="0.3">
      <c r="A24" s="92" t="s">
        <v>522</v>
      </c>
      <c r="B24" s="117" t="s">
        <v>41</v>
      </c>
      <c r="C24" s="878" t="str">
        <f>IF($A24="EQUI",VLOOKUP($B24,EQUI!B$16:G$35,2,FALSE),IF($A24="TRAN",VLOOKUP($B24,TRAN!$B$16:$G$26,2,FALSE),IF($A24="MAT1",VLOOKUP($B24,'MAT1'!$B$16:$G$43,2,FALSE),IF($A24="MAT2",VLOOKUP($B24,'MAT2'!$B$16:$G$35,2,FALSE),IF($A24="MDEO",VLOOKUP($B24,MDEO!$B$16:$P$27,2,FALSE))))))</f>
        <v>1/4 de pintura</v>
      </c>
      <c r="D24" s="878"/>
      <c r="E24" s="123" t="str">
        <f>IF($A24="EQUI",VLOOKUP($B24,EQUI!B$16:G$35,3,FALSE),IF($A24="TRAN",VLOOKUP($B24,TRAN!$B$16:$G$26,3,FALSE),IF($A24="MAT1",VLOOKUP($B24,'MAT1'!$B$16:$G$43,3,FALSE),IF($A24="MAT2",VLOOKUP($B24,'MAT2'!$B$16:$G$45,3,FALSE),IF($A24="MDEO",VLOOKUP($B24,MDEO!$B$16:$P$27,3,FALSE))))))</f>
        <v>GL</v>
      </c>
      <c r="F24" s="123">
        <f>IF($A24="EQUI",VLOOKUP($B24,EQUI!B$16:G$35,4,FALSE),IF($A24="TRAN",VLOOKUP($B24,TRAN!$B$16:$G$26,4,FALSE),IF($A24="MAT1",VLOOKUP($B24,'MAT1'!$B$16:$G$43,4,FALSE),IF($A24="MAT2",VLOOKUP($B24,'MAT2'!$B$16:$G$34,4,FALSE),IF($A24="MDEO",VLOOKUP($B24,MDEO!$B$16:$P$27,4,FALSE))))))</f>
        <v>12500</v>
      </c>
      <c r="G24" s="115">
        <v>8.0000000000000002E-3</v>
      </c>
      <c r="H24" s="118">
        <f>G24*F24</f>
        <v>100</v>
      </c>
      <c r="I24" s="884"/>
      <c r="K24" s="191">
        <f>+G24*$G$17</f>
        <v>72.248000000000005</v>
      </c>
    </row>
    <row r="25" spans="1:11" ht="12.75" customHeight="1" x14ac:dyDescent="0.3">
      <c r="A25" s="92" t="s">
        <v>522</v>
      </c>
      <c r="B25" s="117" t="s">
        <v>140</v>
      </c>
      <c r="C25" s="878" t="str">
        <f>IF($A25="EQUI",VLOOKUP($B25,EQUI!B$16:G$35,2,FALSE),IF($A25="TRAN",VLOOKUP($B25,TRAN!$B$16:$G$26,2,FALSE),IF($A25="MAT1",VLOOKUP($B25,'MAT1'!$B$16:$G$43,2,FALSE),IF($A25="MAT2",VLOOKUP($B25,'MAT2'!$B$16:$G$35,2,FALSE),IF($A25="MDEO",VLOOKUP($B25,MDEO!$B$16:$P$27,2,FALSE))))))</f>
        <v>clavo común 2</v>
      </c>
      <c r="D25" s="878"/>
      <c r="E25" s="123" t="str">
        <f>IF($A25="EQUI",VLOOKUP($B25,EQUI!B$16:G$35,3,FALSE),IF($A25="TRAN",VLOOKUP($B25,TRAN!$B$16:$G$26,3,FALSE),IF($A25="MAT1",VLOOKUP($B25,'MAT1'!$B$16:$G$43,3,FALSE),IF($A25="MAT2",VLOOKUP($B25,'MAT2'!$B$16:$G$45,3,FALSE),IF($A25="MDEO",VLOOKUP($B25,MDEO!$B$16:$P$27,3,FALSE))))))</f>
        <v>LB</v>
      </c>
      <c r="F25" s="123">
        <f>IF($A25="EQUI",VLOOKUP($B25,EQUI!B$16:G$35,4,FALSE),IF($A25="TRAN",VLOOKUP($B25,TRAN!$B$16:$G$26,4,FALSE),IF($A25="MAT1",VLOOKUP($B25,'MAT1'!$B$16:$G$43,4,FALSE),IF($A25="MAT2",VLOOKUP($B25,'MAT2'!$B$16:$G$34,4,FALSE),IF($A25="MDEO",VLOOKUP($B25,MDEO!$B$16:$P$27,4,FALSE))))))</f>
        <v>2300</v>
      </c>
      <c r="G25" s="115">
        <v>0.01</v>
      </c>
      <c r="H25" s="118">
        <f>G25*F25</f>
        <v>23</v>
      </c>
      <c r="I25" s="884"/>
      <c r="K25" s="191">
        <f>+G25*$G$17</f>
        <v>90.31</v>
      </c>
    </row>
    <row r="26" spans="1:11" ht="12.75" customHeight="1" x14ac:dyDescent="0.3">
      <c r="A26" s="92" t="s">
        <v>522</v>
      </c>
      <c r="B26" s="117" t="s">
        <v>147</v>
      </c>
      <c r="C26" s="878" t="str">
        <f>IF($A26="EQUI",VLOOKUP($B26,EQUI!B$16:G$35,2,FALSE),IF($A26="TRAN",VLOOKUP($B26,TRAN!$B$16:$G$26,2,FALSE),IF($A26="MAT1",VLOOKUP($B26,'MAT1'!$B$16:$G$43,2,FALSE),IF($A26="MAT2",VLOOKUP($B26,'MAT2'!$B$16:$G$35,2,FALSE),IF($A26="MDEO",VLOOKUP($B26,MDEO!$B$16:$P$27,2,FALSE))))))</f>
        <v>listón 2*2 madera tipo choiba</v>
      </c>
      <c r="D26" s="878"/>
      <c r="E26" s="123" t="str">
        <f>IF($A26="EQUI",VLOOKUP($B26,EQUI!B$16:G$35,3,FALSE),IF($A26="TRAN",VLOOKUP($B26,TRAN!$B$16:$G$26,3,FALSE),IF($A26="MAT1",VLOOKUP($B26,'MAT1'!$B$16:$G$43,3,FALSE),IF($A26="MAT2",VLOOKUP($B26,'MAT2'!$B$16:$G$45,3,FALSE),IF($A26="MDEO",VLOOKUP($B26,MDEO!$B$16:$P$27,3,FALSE))))))</f>
        <v>UNIDAD</v>
      </c>
      <c r="F26" s="123">
        <f>IF($A26="EQUI",VLOOKUP($B26,EQUI!B$16:G$35,4,FALSE),IF($A26="TRAN",VLOOKUP($B26,TRAN!$B$16:$G$26,4,FALSE),IF($A26="MAT1",VLOOKUP($B26,'MAT1'!$B$16:$G$43,4,FALSE),IF($A26="MAT2",VLOOKUP($B26,'MAT2'!$B$16:$G$34,4,FALSE),IF($A26="MDEO",VLOOKUP($B26,MDEO!$B$16:$P$27,4,FALSE))))))</f>
        <v>10000</v>
      </c>
      <c r="G26" s="115">
        <v>3.0000000000000001E-3</v>
      </c>
      <c r="H26" s="118">
        <f>G26*F26</f>
        <v>30</v>
      </c>
      <c r="I26" s="884"/>
      <c r="K26" s="191">
        <f>+G26*$G$17</f>
        <v>27.093</v>
      </c>
    </row>
    <row r="27" spans="1:11" ht="12.75" customHeight="1" x14ac:dyDescent="0.3">
      <c r="A27" s="92"/>
      <c r="B27" s="117"/>
      <c r="C27" s="878"/>
      <c r="D27" s="878"/>
      <c r="E27" s="123"/>
      <c r="F27" s="115"/>
      <c r="G27" s="115"/>
      <c r="H27" s="118"/>
      <c r="I27" s="884"/>
    </row>
    <row r="28" spans="1:11" ht="12.75" customHeight="1" x14ac:dyDescent="0.3">
      <c r="A28" s="49"/>
      <c r="B28" s="115"/>
      <c r="C28" s="115"/>
      <c r="D28" s="115"/>
      <c r="E28" s="115"/>
      <c r="F28" s="120" t="s">
        <v>32</v>
      </c>
      <c r="G28" s="121" t="str">
        <f>+B16</f>
        <v>1.1</v>
      </c>
      <c r="H28" s="121" t="s">
        <v>42</v>
      </c>
      <c r="I28" s="50">
        <f>SUM(H24:H27)</f>
        <v>153</v>
      </c>
    </row>
    <row r="29" spans="1:11" ht="12.75" customHeight="1" x14ac:dyDescent="0.3">
      <c r="A29" s="47" t="s">
        <v>15</v>
      </c>
      <c r="B29" s="3"/>
      <c r="C29" s="115"/>
      <c r="D29" s="115"/>
      <c r="E29" s="115"/>
      <c r="F29" s="115"/>
      <c r="G29" s="115"/>
      <c r="H29" s="115"/>
      <c r="I29" s="50"/>
    </row>
    <row r="30" spans="1:11" ht="12.75" customHeight="1" x14ac:dyDescent="0.3">
      <c r="A30" s="879" t="s">
        <v>35</v>
      </c>
      <c r="B30" s="868"/>
      <c r="C30" s="868"/>
      <c r="D30" s="116" t="s">
        <v>43</v>
      </c>
      <c r="E30" s="116" t="s">
        <v>44</v>
      </c>
      <c r="F30" s="123" t="s">
        <v>45</v>
      </c>
      <c r="G30" s="116" t="s">
        <v>17</v>
      </c>
      <c r="H30" s="116" t="s">
        <v>30</v>
      </c>
      <c r="I30" s="884"/>
    </row>
    <row r="31" spans="1:11" ht="12.75" customHeight="1" x14ac:dyDescent="0.3">
      <c r="A31" s="51" t="s">
        <v>3</v>
      </c>
      <c r="B31" s="122"/>
      <c r="C31" s="115"/>
      <c r="D31" s="115"/>
      <c r="E31" s="115"/>
      <c r="F31" s="115"/>
      <c r="G31" s="115"/>
      <c r="H31" s="115"/>
      <c r="I31" s="884"/>
    </row>
    <row r="32" spans="1:11" ht="12.75" customHeight="1" x14ac:dyDescent="0.3">
      <c r="A32" s="49"/>
      <c r="B32" s="115"/>
      <c r="C32" s="115"/>
      <c r="D32" s="115"/>
      <c r="E32" s="115"/>
      <c r="F32" s="120" t="s">
        <v>32</v>
      </c>
      <c r="G32" s="121" t="str">
        <f>+B16</f>
        <v>1.1</v>
      </c>
      <c r="H32" s="121" t="s">
        <v>46</v>
      </c>
      <c r="I32" s="50">
        <f>SUM(H31:H31)</f>
        <v>0</v>
      </c>
    </row>
    <row r="33" spans="1:12" ht="12.75" customHeight="1" x14ac:dyDescent="0.3">
      <c r="A33" s="47"/>
      <c r="B33" s="3"/>
      <c r="C33" s="115"/>
      <c r="D33" s="115"/>
      <c r="E33" s="115"/>
      <c r="F33" s="115"/>
      <c r="G33" s="115"/>
      <c r="H33" s="115"/>
      <c r="I33" s="50"/>
    </row>
    <row r="34" spans="1:12" s="125" customFormat="1" ht="12.75" customHeight="1" x14ac:dyDescent="0.3">
      <c r="A34" s="895" t="s">
        <v>18</v>
      </c>
      <c r="B34" s="874"/>
      <c r="C34" s="874"/>
      <c r="D34" s="123" t="s">
        <v>48</v>
      </c>
      <c r="E34" s="123" t="s">
        <v>109</v>
      </c>
      <c r="F34" s="124" t="s">
        <v>49</v>
      </c>
      <c r="G34" s="124" t="s">
        <v>29</v>
      </c>
      <c r="H34" s="123" t="s">
        <v>30</v>
      </c>
      <c r="I34" s="52"/>
      <c r="L34" s="200"/>
    </row>
    <row r="35" spans="1:12" ht="12.75" customHeight="1" x14ac:dyDescent="0.3">
      <c r="A35" s="51" t="s">
        <v>4</v>
      </c>
      <c r="B35" s="131" t="s">
        <v>50</v>
      </c>
      <c r="C35" s="126" t="str">
        <f>IF($A35="EQUI",VLOOKUP($B35,EQUI!B$16:G$37,2,FALSE),IF($A35="TRAN",VLOOKUP($B35,TRAN!$B$16:$G$26,2,FALSE),IF($A35="MAT",VLOOKUP($B35,'MAT1'!$B$16:$G$43,2,FALSE),IF($A35="MDEO",VLOOKUP($B35,MDEO!$B$16:$P$27,2,FALSE)))))</f>
        <v>topógrafo</v>
      </c>
      <c r="D35" s="31">
        <f>IF($A35="EQUI",VLOOKUP($B35,EQUI!B$16:G$35,3,FALSE),IF($A35="TRAN",VLOOKUP($B35,TRAN!$B$16:$G$26,3,FALSE),IF($A35="MAT",VLOOKUP($B35,'MAT1'!$B$16:$G$43,3,FALSE),IF($A35="MDEO",VLOOKUP($B35,MDEO!$B$16:$P$27,3,FALSE)))))</f>
        <v>6250</v>
      </c>
      <c r="E35" s="127"/>
      <c r="F35" s="32">
        <f>+D35+D35*E35</f>
        <v>6250</v>
      </c>
      <c r="G35" s="118">
        <v>2.5000000000000001E-2</v>
      </c>
      <c r="H35" s="128">
        <f>G35*F35</f>
        <v>156.25</v>
      </c>
      <c r="I35" s="50"/>
      <c r="K35">
        <f>+G35*$G$17</f>
        <v>225.77500000000001</v>
      </c>
    </row>
    <row r="36" spans="1:12" ht="12.75" customHeight="1" x14ac:dyDescent="0.3">
      <c r="A36" s="51" t="s">
        <v>4</v>
      </c>
      <c r="B36" s="131" t="s">
        <v>51</v>
      </c>
      <c r="C36" s="126" t="str">
        <f>IF($A36="EQUI",VLOOKUP($B36,EQUI!B$16:G$37,2,FALSE),IF($A36="TRAN",VLOOKUP($B36,TRAN!$B$16:$G$26,2,FALSE),IF($A36="MAT",VLOOKUP($B36,'MAT1'!$B$16:$G$43,2,FALSE),IF($A36="MDEO",VLOOKUP($B36,MDEO!$B$16:$P$27,2,FALSE)))))</f>
        <v>cadenero 1</v>
      </c>
      <c r="D36" s="31">
        <f>IF($A36="EQUI",VLOOKUP($B36,EQUI!B$16:G$35,3,FALSE),IF($A36="TRAN",VLOOKUP($B36,TRAN!$B$16:$G$26,3,FALSE),IF($A36="MAT",VLOOKUP($B36,'MAT1'!$B$16:$G$43,3,FALSE),IF($A36="MDEO",VLOOKUP($B36,MDEO!$B$16:$P$27,3,FALSE)))))</f>
        <v>5208.333333333333</v>
      </c>
      <c r="E36" s="127"/>
      <c r="F36" s="32">
        <f>+D36+D36*E36</f>
        <v>5208.333333333333</v>
      </c>
      <c r="G36" s="143">
        <v>8.3798882681564244E-3</v>
      </c>
      <c r="H36" s="128">
        <f>G36*F36</f>
        <v>43.645251396648042</v>
      </c>
      <c r="I36" s="50"/>
      <c r="K36">
        <f>+G36*$G$17</f>
        <v>75.678770949720672</v>
      </c>
    </row>
    <row r="37" spans="1:12" ht="12.75" customHeight="1" x14ac:dyDescent="0.3">
      <c r="A37" s="51" t="s">
        <v>4</v>
      </c>
      <c r="B37" s="131" t="s">
        <v>52</v>
      </c>
      <c r="C37" s="126" t="str">
        <f>IF($A37="EQUI",VLOOKUP($B37,EQUI!B$16:G$37,2,FALSE),IF($A37="TRAN",VLOOKUP($B37,TRAN!$B$16:$G$26,2,FALSE),IF($A37="MAT",VLOOKUP($B37,'MAT1'!$B$16:$G$43,2,FALSE),IF($A37="MDEO",VLOOKUP($B37,MDEO!$B$16:$P$27,2,FALSE)))))</f>
        <v>cadenero 2</v>
      </c>
      <c r="D37" s="31">
        <f>IF($A37="EQUI",VLOOKUP($B37,EQUI!B$16:G$35,3,FALSE),IF($A37="TRAN",VLOOKUP($B37,TRAN!$B$16:$G$26,3,FALSE),IF($A37="MAT",VLOOKUP($B37,'MAT1'!$B$16:$G$43,3,FALSE),IF($A37="MDEO",VLOOKUP($B37,MDEO!$B$16:$P$27,3,FALSE)))))</f>
        <v>4833.333333333333</v>
      </c>
      <c r="E37" s="127"/>
      <c r="F37" s="32">
        <f>+D37+D37*E37</f>
        <v>4833.333333333333</v>
      </c>
      <c r="G37" s="143">
        <v>8.3798882681564244E-3</v>
      </c>
      <c r="H37" s="128">
        <f>G37*F37</f>
        <v>40.502793296089379</v>
      </c>
      <c r="I37" s="50"/>
      <c r="K37">
        <f>+G37*$G$17</f>
        <v>75.678770949720672</v>
      </c>
    </row>
    <row r="38" spans="1:12" ht="12.75" customHeight="1" x14ac:dyDescent="0.3">
      <c r="A38" s="51" t="s">
        <v>4</v>
      </c>
      <c r="B38" s="131" t="s">
        <v>178</v>
      </c>
      <c r="C38" s="126" t="str">
        <f>IF($A38="EQUI",VLOOKUP($B38,EQUI!B$16:G$37,2,FALSE),IF($A38="TRAN",VLOOKUP($B38,TRAN!$B$16:$G$26,2,FALSE),IF($A38="MAT",VLOOKUP($B38,'MAT1'!$B$16:$G$43,2,FALSE),IF($A38="MDEO",VLOOKUP($B38,MDEO!$B$16:$P$33,2,FALSE)))))</f>
        <v>contra maestro</v>
      </c>
      <c r="D38" s="31">
        <f>IF($A38="EQUI",VLOOKUP($B38,EQUI!B$16:G$35,3,FALSE),IF($A38="TRAN",VLOOKUP($B38,TRAN!$B$16:$G$26,3,FALSE),IF($A38="MAT",VLOOKUP($B38,'MAT1'!$B$16:$G$43,3,FALSE),IF($A38="MDEO",VLOOKUP($B38,MDEO!$B$16:$P$33,3,FALSE)))))</f>
        <v>5208.333333333333</v>
      </c>
      <c r="E38" s="127"/>
      <c r="F38" s="32">
        <f>+D38+D38*E38</f>
        <v>5208.333333333333</v>
      </c>
      <c r="G38" s="130">
        <f>+G35*0.1</f>
        <v>2.5000000000000005E-3</v>
      </c>
      <c r="H38" s="128">
        <f>G38*F38</f>
        <v>13.020833333333336</v>
      </c>
      <c r="I38" s="50"/>
      <c r="K38" s="177">
        <f>+G38*$G$59</f>
        <v>11.080000000000002</v>
      </c>
    </row>
    <row r="39" spans="1:12" ht="12.75" customHeight="1" x14ac:dyDescent="0.3">
      <c r="A39" s="49"/>
      <c r="B39" s="115"/>
      <c r="C39" s="115"/>
      <c r="D39" s="115"/>
      <c r="E39" s="115"/>
      <c r="F39" s="120" t="s">
        <v>32</v>
      </c>
      <c r="G39" s="121" t="str">
        <f>+B16</f>
        <v>1.1</v>
      </c>
      <c r="H39" s="120" t="s">
        <v>53</v>
      </c>
      <c r="I39" s="48">
        <f>SUM(H35:H37)</f>
        <v>240.39804469273741</v>
      </c>
    </row>
    <row r="40" spans="1:12" ht="12.75" customHeight="1" x14ac:dyDescent="0.3">
      <c r="A40" s="49" t="s">
        <v>54</v>
      </c>
      <c r="B40" s="115"/>
      <c r="C40" s="115"/>
      <c r="D40" s="115"/>
      <c r="E40" s="115"/>
      <c r="F40" s="115"/>
      <c r="G40" s="115"/>
      <c r="H40" s="116"/>
      <c r="I40" s="48">
        <f>I39*0.05</f>
        <v>12.019902234636872</v>
      </c>
    </row>
    <row r="41" spans="1:12" ht="12.75" customHeight="1" x14ac:dyDescent="0.3">
      <c r="A41" s="49"/>
      <c r="B41" s="115"/>
      <c r="C41" s="115"/>
      <c r="D41" s="115"/>
      <c r="E41" s="115"/>
      <c r="F41" s="120" t="s">
        <v>55</v>
      </c>
      <c r="G41" s="116"/>
      <c r="H41" s="116"/>
      <c r="I41" s="48">
        <f>ROUND(I39+I40+I28+I21+I32,0)</f>
        <v>1076</v>
      </c>
    </row>
    <row r="42" spans="1:12" ht="12.75" customHeight="1" x14ac:dyDescent="0.3">
      <c r="A42" s="879" t="s">
        <v>56</v>
      </c>
      <c r="B42" s="868"/>
      <c r="C42" s="868"/>
      <c r="D42" s="868"/>
      <c r="E42" s="868" t="s">
        <v>57</v>
      </c>
      <c r="F42" s="868"/>
      <c r="G42" s="875" t="s">
        <v>58</v>
      </c>
      <c r="H42" s="875"/>
      <c r="I42" s="48"/>
    </row>
    <row r="43" spans="1:12" ht="12.75" customHeight="1" x14ac:dyDescent="0.3">
      <c r="A43" s="879" t="s">
        <v>208</v>
      </c>
      <c r="B43" s="868"/>
      <c r="C43" s="868"/>
      <c r="D43" s="868"/>
      <c r="E43" s="876">
        <v>0.02</v>
      </c>
      <c r="F43" s="876"/>
      <c r="G43" s="875">
        <f>+I41*E43</f>
        <v>21.52</v>
      </c>
      <c r="H43" s="875"/>
      <c r="I43" s="48"/>
    </row>
    <row r="44" spans="1:12" ht="12.75" customHeight="1" x14ac:dyDescent="0.3">
      <c r="A44" s="879" t="s">
        <v>5</v>
      </c>
      <c r="B44" s="868"/>
      <c r="C44" s="868"/>
      <c r="D44" s="868"/>
      <c r="E44" s="876">
        <v>0.23</v>
      </c>
      <c r="F44" s="876"/>
      <c r="G44" s="875">
        <f>+E44*I41</f>
        <v>247.48000000000002</v>
      </c>
      <c r="H44" s="875"/>
      <c r="I44" s="48"/>
    </row>
    <row r="45" spans="1:12" ht="12.75" customHeight="1" x14ac:dyDescent="0.3">
      <c r="A45" s="879" t="s">
        <v>6</v>
      </c>
      <c r="B45" s="868"/>
      <c r="C45" s="868"/>
      <c r="D45" s="868"/>
      <c r="E45" s="876">
        <v>0.05</v>
      </c>
      <c r="F45" s="876"/>
      <c r="G45" s="875">
        <f>+E45*I41</f>
        <v>53.800000000000004</v>
      </c>
      <c r="H45" s="875"/>
      <c r="I45" s="48"/>
    </row>
    <row r="46" spans="1:12" ht="12.75" customHeight="1" x14ac:dyDescent="0.3">
      <c r="A46" s="879" t="s">
        <v>207</v>
      </c>
      <c r="B46" s="868"/>
      <c r="C46" s="868"/>
      <c r="D46" s="868"/>
      <c r="E46" s="876">
        <v>0.02</v>
      </c>
      <c r="F46" s="876"/>
      <c r="G46" s="875">
        <f>+E46*I41</f>
        <v>21.52</v>
      </c>
      <c r="H46" s="875"/>
      <c r="I46" s="48"/>
    </row>
    <row r="47" spans="1:12" ht="12.75" customHeight="1" x14ac:dyDescent="0.3">
      <c r="A47" s="880" t="s">
        <v>397</v>
      </c>
      <c r="B47" s="867"/>
      <c r="C47" s="867"/>
      <c r="D47" s="867"/>
      <c r="E47" s="867"/>
      <c r="F47" s="867"/>
      <c r="G47" s="867"/>
      <c r="H47" s="867"/>
      <c r="I47" s="48">
        <f>+G46+G44+G45+G43</f>
        <v>344.32</v>
      </c>
    </row>
    <row r="48" spans="1:12" ht="12.75" customHeight="1" x14ac:dyDescent="0.3">
      <c r="A48" s="880" t="s">
        <v>59</v>
      </c>
      <c r="B48" s="867"/>
      <c r="C48" s="867"/>
      <c r="D48" s="867"/>
      <c r="E48" s="867"/>
      <c r="F48" s="867"/>
      <c r="G48" s="867"/>
      <c r="H48" s="867"/>
      <c r="I48" s="48">
        <f>+I47+I41</f>
        <v>1420.32</v>
      </c>
    </row>
    <row r="49" spans="1:12" ht="12.75" customHeight="1" x14ac:dyDescent="0.3">
      <c r="A49" s="93"/>
      <c r="B49" s="65"/>
      <c r="C49" s="65"/>
      <c r="D49" s="65"/>
      <c r="E49" s="65"/>
      <c r="F49" s="65"/>
      <c r="G49" s="65"/>
      <c r="H49" s="65"/>
      <c r="I49" s="48"/>
    </row>
    <row r="50" spans="1:12" ht="12.75" customHeight="1" x14ac:dyDescent="0.3">
      <c r="A50" s="881" t="s">
        <v>114</v>
      </c>
      <c r="B50" s="604"/>
      <c r="C50" s="604"/>
      <c r="D50" s="65"/>
      <c r="E50" s="65"/>
      <c r="F50" s="604" t="s">
        <v>396</v>
      </c>
      <c r="G50" s="604"/>
      <c r="H50" s="604"/>
      <c r="I50" s="894"/>
    </row>
    <row r="51" spans="1:12" ht="12.75" customHeight="1" x14ac:dyDescent="0.3">
      <c r="A51" s="92" t="s">
        <v>111</v>
      </c>
      <c r="B51" s="868"/>
      <c r="C51" s="868"/>
      <c r="D51" s="115"/>
      <c r="E51" s="115"/>
      <c r="F51" s="116" t="s">
        <v>111</v>
      </c>
      <c r="G51" s="868"/>
      <c r="H51" s="868"/>
      <c r="I51" s="884"/>
    </row>
    <row r="52" spans="1:12" ht="12.75" customHeight="1" x14ac:dyDescent="0.3">
      <c r="A52" s="132" t="s">
        <v>115</v>
      </c>
      <c r="B52" s="604" t="str">
        <f>VLOOKUP(A52,[6]INICIO!$E$6:$H$26,2,FALSE)</f>
        <v>LINA MARCELA</v>
      </c>
      <c r="C52" s="604"/>
      <c r="F52" s="86" t="s">
        <v>112</v>
      </c>
      <c r="G52" s="868"/>
      <c r="H52" s="868"/>
      <c r="I52" s="884"/>
    </row>
    <row r="53" spans="1:12" ht="12.75" customHeight="1" x14ac:dyDescent="0.3">
      <c r="A53" s="132" t="s">
        <v>113</v>
      </c>
      <c r="B53" s="604" t="str">
        <f>VLOOKUP(A52,[6]INICIO!$E$6:$H$26,4,FALSE)</f>
        <v>05202-316814 ANT</v>
      </c>
      <c r="C53" s="604"/>
      <c r="F53" s="86" t="s">
        <v>113</v>
      </c>
      <c r="G53" s="868"/>
      <c r="H53" s="868"/>
      <c r="I53" s="884"/>
    </row>
    <row r="54" spans="1:12" ht="12.75" customHeight="1" x14ac:dyDescent="0.3">
      <c r="A54" s="132"/>
      <c r="B54" s="116"/>
      <c r="C54" s="116"/>
      <c r="F54" s="86"/>
      <c r="G54" s="116"/>
      <c r="H54" s="116"/>
      <c r="I54" s="95"/>
    </row>
    <row r="55" spans="1:12" ht="12.75" customHeight="1" x14ac:dyDescent="0.3">
      <c r="A55" s="872" t="s">
        <v>110</v>
      </c>
      <c r="B55" s="869"/>
      <c r="C55" s="869"/>
      <c r="D55" s="869"/>
      <c r="E55" s="869"/>
      <c r="F55" s="869"/>
      <c r="G55" s="869"/>
      <c r="H55" s="869"/>
      <c r="I55" s="873"/>
    </row>
    <row r="56" spans="1:12" ht="12.75" customHeight="1" x14ac:dyDescent="0.3">
      <c r="A56" s="870"/>
      <c r="B56" s="691"/>
      <c r="C56" s="691"/>
      <c r="D56" s="691"/>
      <c r="E56" s="691"/>
      <c r="F56" s="691"/>
      <c r="G56" s="691"/>
      <c r="H56" s="691"/>
      <c r="I56" s="871"/>
    </row>
    <row r="57" spans="1:12" ht="12.75" customHeight="1" x14ac:dyDescent="0.3">
      <c r="A57" s="872"/>
      <c r="B57" s="869"/>
      <c r="C57" s="869"/>
      <c r="D57" s="869"/>
      <c r="E57" s="869"/>
      <c r="F57" s="869"/>
      <c r="G57" s="869"/>
      <c r="H57" s="869"/>
      <c r="I57" s="873"/>
    </row>
    <row r="58" spans="1:12" ht="12.75" customHeight="1" x14ac:dyDescent="0.3">
      <c r="A58" s="94" t="s">
        <v>69</v>
      </c>
      <c r="B58" s="112" t="s">
        <v>205</v>
      </c>
      <c r="C58" s="892" t="s">
        <v>70</v>
      </c>
      <c r="D58" s="922" t="str">
        <f>VLOOKUP(B58,PRESUPUESTO!$A$18:$I$21,3,FALSE)</f>
        <v>DEMOLICIÓN , ANDENES, BORDILLOS DE CONCRETO CONCRETOS EXISTENTES</v>
      </c>
      <c r="E58" s="922"/>
      <c r="F58" s="922"/>
      <c r="G58" s="922"/>
      <c r="H58" s="922"/>
      <c r="I58" s="923"/>
    </row>
    <row r="59" spans="1:12" ht="12.75" customHeight="1" x14ac:dyDescent="0.3">
      <c r="A59" s="94" t="s">
        <v>71</v>
      </c>
      <c r="B59" s="29" t="str">
        <f>VLOOKUP(B58,[6]PRESUPUESTO!$A$18:$I$22,2,FALSE)</f>
        <v>201.3-13</v>
      </c>
      <c r="C59" s="604"/>
      <c r="D59" s="140" t="s">
        <v>12</v>
      </c>
      <c r="E59" s="113" t="s">
        <v>26</v>
      </c>
      <c r="F59" s="113" t="s">
        <v>13</v>
      </c>
      <c r="G59" s="113">
        <f>VLOOKUP(B58,PRESUPUESTO!$A$15:$I$1650,6,FALSE)</f>
        <v>4432</v>
      </c>
      <c r="H59" s="114" t="s">
        <v>27</v>
      </c>
      <c r="I59" s="46">
        <f>+I81</f>
        <v>19524</v>
      </c>
    </row>
    <row r="60" spans="1:12" ht="12.75" customHeight="1" x14ac:dyDescent="0.3">
      <c r="A60" s="47" t="s">
        <v>14</v>
      </c>
      <c r="B60" s="3"/>
      <c r="C60" s="115"/>
      <c r="D60" s="115"/>
      <c r="E60" s="115"/>
      <c r="F60" s="115"/>
      <c r="G60" s="115"/>
      <c r="H60" s="115"/>
      <c r="I60" s="48"/>
    </row>
    <row r="61" spans="1:12" ht="12.75" customHeight="1" x14ac:dyDescent="0.3">
      <c r="A61" s="879" t="s">
        <v>19</v>
      </c>
      <c r="B61" s="868"/>
      <c r="C61" s="868"/>
      <c r="D61" s="868"/>
      <c r="E61" s="868"/>
      <c r="F61" s="116" t="s">
        <v>28</v>
      </c>
      <c r="G61" s="116" t="s">
        <v>29</v>
      </c>
      <c r="H61" s="116" t="s">
        <v>30</v>
      </c>
      <c r="I61" s="884"/>
    </row>
    <row r="62" spans="1:12" ht="12.75" customHeight="1" x14ac:dyDescent="0.3">
      <c r="A62" s="92" t="s">
        <v>1</v>
      </c>
      <c r="B62" s="117" t="s">
        <v>95</v>
      </c>
      <c r="C62" s="878" t="str">
        <f>IF($A62="EQUI",VLOOKUP($B62,EQUI!B$16:G$37,2,FALSE),IF($A62="TRAN",VLOOKUP($B62,TRAN!$B$16:$G$26,2,FALSE),IF($A62="MAT",VLOOKUP($B62,'MAT1'!$B$16:$G$43,2,FALSE),IF($A62="MDEO",VLOOKUP($B62,MDEO!$B$16:$P$27,2,FALSE)))))</f>
        <v>mini cargador</v>
      </c>
      <c r="D62" s="878"/>
      <c r="E62" s="878"/>
      <c r="F62" s="123">
        <f>IF($A62="EQUI",VLOOKUP($B62,EQUI!B$16:G$36,4,FALSE),IF($A62="TRAN",VLOOKUP($B62,TRAN!$B$16:$G$26,4,FALSE),IF($A62="MAT",VLOOKUP($B62,'MAT1'!$B$16:$G$43,4,FALSE),IF($A62="MDEO",VLOOKUP($B62,MDEO!$B$16:$P$27,4,FALSE)))))</f>
        <v>80000</v>
      </c>
      <c r="G62" s="143">
        <v>0.16</v>
      </c>
      <c r="H62" s="30">
        <f>+F62*G62</f>
        <v>12800</v>
      </c>
      <c r="I62" s="884"/>
      <c r="K62" s="191">
        <f>+G62*$G$59</f>
        <v>709.12</v>
      </c>
      <c r="L62" s="89">
        <f>+K62*F62</f>
        <v>56729600</v>
      </c>
    </row>
    <row r="63" spans="1:12" ht="12.75" customHeight="1" x14ac:dyDescent="0.3">
      <c r="A63" s="92" t="s">
        <v>1</v>
      </c>
      <c r="B63" s="117" t="s">
        <v>82</v>
      </c>
      <c r="C63" s="878" t="str">
        <f>IF($A63="EQUI",VLOOKUP($B63,EQUI!B$16:G$37,2,FALSE),IF($A63="TRAN",VLOOKUP($B63,TRAN!$B$16:$G$26,2,FALSE),IF($A63="MAT",VLOOKUP($B63,'MAT1'!$B$16:$G$43,2,FALSE),IF($A63="MDEO",VLOOKUP($B63,MDEO!$B$16:$P$27,2,FALSE)))))</f>
        <v>Martillo demoledor mini cargador</v>
      </c>
      <c r="D63" s="878"/>
      <c r="E63" s="878"/>
      <c r="F63" s="123">
        <f>IF($A63="EQUI",VLOOKUP($B63,EQUI!B$16:G$36,4,FALSE),IF($A63="TRAN",VLOOKUP($B63,TRAN!$B$16:$G$26,4,FALSE),IF($A63="MAT",VLOOKUP($B63,'MAT1'!$B$16:$G$43,4,FALSE),IF($A63="MDEO",VLOOKUP($B63,MDEO!$B$16:$P$27,4,FALSE)))))</f>
        <v>20000</v>
      </c>
      <c r="G63" s="143">
        <v>0.16</v>
      </c>
      <c r="H63" s="30">
        <f>+F63*G63</f>
        <v>3200</v>
      </c>
      <c r="I63" s="884"/>
      <c r="K63" s="191">
        <f>+G63*$G$59</f>
        <v>709.12</v>
      </c>
      <c r="L63" s="89">
        <f>+K63*F63</f>
        <v>14182400</v>
      </c>
    </row>
    <row r="64" spans="1:12" ht="12.75" customHeight="1" x14ac:dyDescent="0.3">
      <c r="A64" s="49"/>
      <c r="B64" s="115"/>
      <c r="C64" s="115"/>
      <c r="D64" s="115"/>
      <c r="E64" s="115"/>
      <c r="F64" s="120" t="s">
        <v>32</v>
      </c>
      <c r="G64" s="121" t="str">
        <f>+B58</f>
        <v>1.2</v>
      </c>
      <c r="H64" s="121" t="s">
        <v>227</v>
      </c>
      <c r="I64" s="48">
        <f>SUM(H62:H63)</f>
        <v>16000</v>
      </c>
    </row>
    <row r="65" spans="1:12" ht="12.75" customHeight="1" x14ac:dyDescent="0.3">
      <c r="A65" s="47" t="s">
        <v>34</v>
      </c>
      <c r="B65" s="3"/>
      <c r="C65" s="115"/>
      <c r="D65" s="115"/>
      <c r="E65" s="115"/>
      <c r="F65" s="115"/>
      <c r="G65" s="115"/>
      <c r="H65" s="115"/>
      <c r="I65" s="50"/>
    </row>
    <row r="66" spans="1:12" ht="12.75" customHeight="1" x14ac:dyDescent="0.3">
      <c r="A66" s="879" t="s">
        <v>35</v>
      </c>
      <c r="B66" s="868"/>
      <c r="C66" s="868"/>
      <c r="D66" s="868"/>
      <c r="E66" s="116" t="s">
        <v>12</v>
      </c>
      <c r="F66" s="116" t="s">
        <v>36</v>
      </c>
      <c r="G66" s="116" t="s">
        <v>37</v>
      </c>
      <c r="H66" s="116" t="s">
        <v>38</v>
      </c>
      <c r="I66" s="884"/>
    </row>
    <row r="67" spans="1:12" ht="12.75" customHeight="1" x14ac:dyDescent="0.3">
      <c r="A67" s="92" t="s">
        <v>0</v>
      </c>
      <c r="B67" s="117"/>
      <c r="C67" s="878"/>
      <c r="D67" s="878"/>
      <c r="E67" s="123"/>
      <c r="F67" s="123"/>
      <c r="G67" s="115"/>
      <c r="H67" s="118">
        <f>G67*F67</f>
        <v>0</v>
      </c>
      <c r="I67" s="884"/>
    </row>
    <row r="68" spans="1:12" ht="12.75" customHeight="1" x14ac:dyDescent="0.3">
      <c r="A68" s="49"/>
      <c r="B68" s="115"/>
      <c r="C68" s="115"/>
      <c r="D68" s="115"/>
      <c r="E68" s="115"/>
      <c r="F68" s="120" t="s">
        <v>32</v>
      </c>
      <c r="G68" s="121" t="str">
        <f>+B58</f>
        <v>1.2</v>
      </c>
      <c r="H68" s="121" t="s">
        <v>228</v>
      </c>
      <c r="I68" s="50">
        <f>SUM(H67:H67)</f>
        <v>0</v>
      </c>
    </row>
    <row r="69" spans="1:12" ht="12.75" customHeight="1" x14ac:dyDescent="0.3">
      <c r="A69" s="47" t="s">
        <v>15</v>
      </c>
      <c r="B69" s="3"/>
      <c r="C69" s="115"/>
      <c r="D69" s="115"/>
      <c r="E69" s="115"/>
      <c r="F69" s="115"/>
      <c r="G69" s="115"/>
      <c r="H69" s="115"/>
      <c r="I69" s="50"/>
    </row>
    <row r="70" spans="1:12" ht="20.399999999999999" customHeight="1" x14ac:dyDescent="0.3">
      <c r="A70" s="879" t="s">
        <v>35</v>
      </c>
      <c r="B70" s="868"/>
      <c r="C70" s="868"/>
      <c r="D70" s="116" t="s">
        <v>43</v>
      </c>
      <c r="E70" s="116" t="s">
        <v>44</v>
      </c>
      <c r="F70" s="123" t="s">
        <v>45</v>
      </c>
      <c r="G70" s="116" t="s">
        <v>17</v>
      </c>
      <c r="H70" s="116" t="s">
        <v>30</v>
      </c>
      <c r="I70" s="884"/>
    </row>
    <row r="71" spans="1:12" ht="12.75" customHeight="1" x14ac:dyDescent="0.3">
      <c r="A71" s="51" t="s">
        <v>3</v>
      </c>
      <c r="B71" s="122" t="s">
        <v>167</v>
      </c>
      <c r="C71" s="133" t="str">
        <f>IF($A71="EQUI",VLOOKUP($B71,[6]EQUI!B$16:G$46,2,FALSE),IF($A71="TRAN",VLOOKUP($B71,[6]TRAN!$B$16:$G$26,2,FALSE),IF($A71="MAT",VLOOKUP($B71,[6]MAT!$B$16:$G$83,2,FALSE),IF($A71="MDEO",VLOOKUP($B71,[6]MDEO!$B$16:$I$21,2,FALSE)))))</f>
        <v>TRANS MAT SOBRANTE 0-5KM</v>
      </c>
      <c r="D71" s="116">
        <v>0.1</v>
      </c>
      <c r="E71" s="115">
        <v>5</v>
      </c>
      <c r="F71" s="115">
        <f>+E71*D71</f>
        <v>0.5</v>
      </c>
      <c r="G71" s="115">
        <f>IF($A71="EQUI",VLOOKUP($B71,EQUI!B$16:G$37,4,FALSE),IF($A71="TRAN",VLOOKUP($B71,TRAN!$B$16:$G$26,4,FALSE),IF($A71="MAT",VLOOKUP($B71,'MAT1'!$B$16:$G$43,4,FALSE),IF($A71="MDEO",VLOOKUP($B71,MDEO!$B$16:$P$27,4,FALSE)))))</f>
        <v>2000</v>
      </c>
      <c r="H71" s="115">
        <f>+G71*F71</f>
        <v>1000</v>
      </c>
      <c r="I71" s="884"/>
      <c r="K71" s="191">
        <f>+F71*G59</f>
        <v>2216</v>
      </c>
      <c r="L71" s="89">
        <f>+K71*H71</f>
        <v>2216000</v>
      </c>
    </row>
    <row r="72" spans="1:12" ht="12.75" customHeight="1" x14ac:dyDescent="0.3">
      <c r="A72" s="49"/>
      <c r="B72" s="115"/>
      <c r="C72" s="115"/>
      <c r="D72" s="115"/>
      <c r="E72" s="115"/>
      <c r="F72" s="120" t="s">
        <v>32</v>
      </c>
      <c r="G72" s="121" t="str">
        <f>+B58</f>
        <v>1.2</v>
      </c>
      <c r="H72" s="121" t="s">
        <v>229</v>
      </c>
      <c r="I72" s="50">
        <f>SUM(H71:H71)</f>
        <v>1000</v>
      </c>
    </row>
    <row r="73" spans="1:12" ht="12.75" customHeight="1" x14ac:dyDescent="0.3">
      <c r="A73" s="47"/>
      <c r="B73" s="3"/>
      <c r="C73" s="115"/>
      <c r="D73" s="115"/>
      <c r="E73" s="115"/>
      <c r="F73" s="115"/>
      <c r="G73" s="115"/>
      <c r="H73" s="115"/>
      <c r="I73" s="50"/>
    </row>
    <row r="74" spans="1:12" s="125" customFormat="1" ht="12.75" customHeight="1" x14ac:dyDescent="0.3">
      <c r="A74" s="895" t="s">
        <v>18</v>
      </c>
      <c r="B74" s="874"/>
      <c r="C74" s="874"/>
      <c r="D74" s="123" t="s">
        <v>48</v>
      </c>
      <c r="E74" s="123" t="s">
        <v>109</v>
      </c>
      <c r="F74" s="124" t="s">
        <v>49</v>
      </c>
      <c r="G74" s="124" t="s">
        <v>29</v>
      </c>
      <c r="H74" s="123" t="s">
        <v>30</v>
      </c>
      <c r="I74" s="52"/>
      <c r="L74" s="200"/>
    </row>
    <row r="75" spans="1:12" ht="12.75" customHeight="1" x14ac:dyDescent="0.3">
      <c r="A75" s="51" t="s">
        <v>4</v>
      </c>
      <c r="B75" s="131" t="s">
        <v>175</v>
      </c>
      <c r="C75" s="126" t="str">
        <f>IF($A75="EQUI",VLOOKUP($B75,EQUI!B$16:G$37,2,FALSE),IF($A75="TRAN",VLOOKUP($B75,TRAN!$B$16:$G$26,2,FALSE),IF($A75="MAT",VLOOKUP($B75,'MAT1'!$B$16:$G$43,2,FALSE),IF($A75="MDEO",VLOOKUP($B75,MDEO!$B$16:$P$27,2,FALSE)))))</f>
        <v xml:space="preserve">oficial </v>
      </c>
      <c r="D75" s="31">
        <f>IF($A75="EQUI",VLOOKUP($B75,EQUI!B$16:G$35,3,FALSE),IF($A75="TRAN",VLOOKUP($B75,TRAN!$B$16:$G$26,3,FALSE),IF($A75="MAT",VLOOKUP($B75,'MAT1'!$B$16:$G$43,3,FALSE),IF($A75="MDEO",VLOOKUP($B75,MDEO!$B$16:$P$27,3,FALSE)))))</f>
        <v>4833.333333333333</v>
      </c>
      <c r="E75" s="127"/>
      <c r="F75" s="32">
        <f>+D75+D75*E75</f>
        <v>4833.333333333333</v>
      </c>
      <c r="G75" s="130">
        <v>0.16</v>
      </c>
      <c r="H75" s="128">
        <f>G75*F75</f>
        <v>773.33333333333326</v>
      </c>
      <c r="I75" s="50"/>
      <c r="K75">
        <f>+G75*$G$59</f>
        <v>709.12</v>
      </c>
    </row>
    <row r="76" spans="1:12" ht="12.75" customHeight="1" x14ac:dyDescent="0.3">
      <c r="A76" s="51" t="s">
        <v>4</v>
      </c>
      <c r="B76" s="131" t="s">
        <v>176</v>
      </c>
      <c r="C76" s="126" t="str">
        <f>IF($A76="EQUI",VLOOKUP($B76,EQUI!B$16:G$37,2,FALSE),IF($A76="TRAN",VLOOKUP($B76,TRAN!$B$16:$G$26,2,FALSE),IF($A76="MAT",VLOOKUP($B76,'MAT1'!$B$16:$G$43,2,FALSE),IF($A76="MDEO",VLOOKUP($B76,MDEO!$B$16:$P$27,2,FALSE)))))</f>
        <v xml:space="preserve">ayudante entendido </v>
      </c>
      <c r="D76" s="31">
        <f>IF($A76="EQUI",VLOOKUP($B76,EQUI!B$16:G$35,3,FALSE),IF($A76="TRAN",VLOOKUP($B76,TRAN!$B$16:$G$26,3,FALSE),IF($A76="MAT",VLOOKUP($B76,'MAT1'!$B$16:$G$43,3,FALSE),IF($A76="MDEO",VLOOKUP($B76,MDEO!$B$16:$P$27,3,FALSE)))))</f>
        <v>4833.333333333333</v>
      </c>
      <c r="E76" s="127"/>
      <c r="F76" s="32">
        <f>+D76+D76*E76</f>
        <v>4833.333333333333</v>
      </c>
      <c r="G76" s="130">
        <v>0</v>
      </c>
      <c r="H76" s="128">
        <f>G76*F76</f>
        <v>0</v>
      </c>
      <c r="I76" s="50"/>
      <c r="K76">
        <f>+G76*$G$59</f>
        <v>0</v>
      </c>
    </row>
    <row r="77" spans="1:12" ht="12.75" customHeight="1" x14ac:dyDescent="0.3">
      <c r="A77" s="51" t="s">
        <v>4</v>
      </c>
      <c r="B77" s="131" t="s">
        <v>177</v>
      </c>
      <c r="C77" s="126" t="str">
        <f>IF($A77="EQUI",VLOOKUP($B77,EQUI!B$16:G$37,2,FALSE),IF($A77="TRAN",VLOOKUP($B77,TRAN!$B$16:$G$26,2,FALSE),IF($A77="MAT",VLOOKUP($B77,'MAT1'!$B$16:$G$43,2,FALSE),IF($A77="MDEO",VLOOKUP($B77,MDEO!$B$16:$P$27,2,FALSE)))))</f>
        <v xml:space="preserve">ayudante </v>
      </c>
      <c r="D77" s="31">
        <f>IF($A77="EQUI",VLOOKUP($B77,EQUI!B$16:G$35,3,FALSE),IF($A77="TRAN",VLOOKUP($B77,TRAN!$B$16:$G$26,3,FALSE),IF($A77="MAT",VLOOKUP($B77,'MAT1'!$B$16:$G$43,3,FALSE),IF($A77="MDEO",VLOOKUP($B77,MDEO!$B$16:$P$27,3,FALSE)))))</f>
        <v>4833.333333333333</v>
      </c>
      <c r="E77" s="127"/>
      <c r="F77" s="32">
        <f>+D77+D77*E77</f>
        <v>4833.333333333333</v>
      </c>
      <c r="G77" s="130">
        <v>0.32</v>
      </c>
      <c r="H77" s="128">
        <f>G77*F77</f>
        <v>1546.6666666666665</v>
      </c>
      <c r="I77" s="50"/>
      <c r="K77">
        <f>+G77*$G$59</f>
        <v>1418.24</v>
      </c>
    </row>
    <row r="78" spans="1:12" ht="12.75" customHeight="1" x14ac:dyDescent="0.3">
      <c r="A78" s="51" t="s">
        <v>4</v>
      </c>
      <c r="B78" s="131" t="s">
        <v>178</v>
      </c>
      <c r="C78" s="126" t="str">
        <f>IF($A78="EQUI",VLOOKUP($B78,EQUI!B$16:G$37,2,FALSE),IF($A78="TRAN",VLOOKUP($B78,TRAN!$B$16:$G$26,2,FALSE),IF($A78="MAT",VLOOKUP($B78,'MAT1'!$B$16:$G$43,2,FALSE),IF($A78="MDEO",VLOOKUP($B78,MDEO!$B$16:$P$33,2,FALSE)))))</f>
        <v>contra maestro</v>
      </c>
      <c r="D78" s="31">
        <f>IF($A78="EQUI",VLOOKUP($B78,EQUI!B$16:G$35,3,FALSE),IF($A78="TRAN",VLOOKUP($B78,TRAN!$B$16:$G$26,3,FALSE),IF($A78="MAT",VLOOKUP($B78,'MAT1'!$B$16:$G$43,3,FALSE),IF($A78="MDEO",VLOOKUP($B78,MDEO!$B$16:$P$33,3,FALSE)))))</f>
        <v>5208.333333333333</v>
      </c>
      <c r="E78" s="127"/>
      <c r="F78" s="32">
        <f>+D78+D78*E78</f>
        <v>5208.333333333333</v>
      </c>
      <c r="G78" s="130">
        <f>+G75*0.1</f>
        <v>1.6E-2</v>
      </c>
      <c r="H78" s="128">
        <f>G78*F78</f>
        <v>83.333333333333329</v>
      </c>
      <c r="I78" s="50"/>
      <c r="K78">
        <f>+G78*$G$59</f>
        <v>70.912000000000006</v>
      </c>
    </row>
    <row r="79" spans="1:12" ht="12.75" customHeight="1" x14ac:dyDescent="0.3">
      <c r="A79" s="49"/>
      <c r="B79" s="115"/>
      <c r="C79" s="115"/>
      <c r="D79" s="115"/>
      <c r="E79" s="115"/>
      <c r="F79" s="120" t="s">
        <v>32</v>
      </c>
      <c r="G79" s="121" t="str">
        <f>+B58</f>
        <v>1.2</v>
      </c>
      <c r="H79" s="120" t="s">
        <v>230</v>
      </c>
      <c r="I79" s="48">
        <f>SUM(H75:H78)</f>
        <v>2403.3333333333335</v>
      </c>
    </row>
    <row r="80" spans="1:12" ht="12.75" customHeight="1" x14ac:dyDescent="0.3">
      <c r="A80" s="49" t="s">
        <v>54</v>
      </c>
      <c r="B80" s="115"/>
      <c r="C80" s="115"/>
      <c r="D80" s="115"/>
      <c r="E80" s="115"/>
      <c r="F80" s="115"/>
      <c r="G80" s="115"/>
      <c r="H80" s="116"/>
      <c r="I80" s="48">
        <f>I79*0.05</f>
        <v>120.16666666666669</v>
      </c>
    </row>
    <row r="81" spans="1:9" ht="12.75" customHeight="1" x14ac:dyDescent="0.3">
      <c r="A81" s="49"/>
      <c r="B81" s="115"/>
      <c r="C81" s="115"/>
      <c r="D81" s="115"/>
      <c r="E81" s="115"/>
      <c r="F81" s="120" t="s">
        <v>55</v>
      </c>
      <c r="G81" s="116"/>
      <c r="H81" s="116"/>
      <c r="I81" s="48">
        <f>ROUND(I79+I80+I68+I64+I72,0)</f>
        <v>19524</v>
      </c>
    </row>
    <row r="82" spans="1:9" ht="12.75" customHeight="1" x14ac:dyDescent="0.3">
      <c r="A82" s="879" t="s">
        <v>56</v>
      </c>
      <c r="B82" s="868"/>
      <c r="C82" s="868"/>
      <c r="D82" s="868"/>
      <c r="E82" s="868" t="s">
        <v>57</v>
      </c>
      <c r="F82" s="868"/>
      <c r="G82" s="875" t="s">
        <v>58</v>
      </c>
      <c r="H82" s="875"/>
      <c r="I82" s="48"/>
    </row>
    <row r="83" spans="1:9" ht="12.75" customHeight="1" x14ac:dyDescent="0.3">
      <c r="A83" s="879" t="s">
        <v>208</v>
      </c>
      <c r="B83" s="868"/>
      <c r="C83" s="868"/>
      <c r="D83" s="868"/>
      <c r="E83" s="876">
        <v>0.02</v>
      </c>
      <c r="F83" s="876"/>
      <c r="G83" s="875">
        <f>+I81*E83</f>
        <v>390.48</v>
      </c>
      <c r="H83" s="875"/>
      <c r="I83" s="48"/>
    </row>
    <row r="84" spans="1:9" ht="12.75" customHeight="1" x14ac:dyDescent="0.3">
      <c r="A84" s="879" t="s">
        <v>5</v>
      </c>
      <c r="B84" s="868"/>
      <c r="C84" s="868"/>
      <c r="D84" s="868"/>
      <c r="E84" s="876">
        <v>0.23</v>
      </c>
      <c r="F84" s="876"/>
      <c r="G84" s="875">
        <f>+E84*I81</f>
        <v>4490.5200000000004</v>
      </c>
      <c r="H84" s="875"/>
      <c r="I84" s="48"/>
    </row>
    <row r="85" spans="1:9" ht="12.75" customHeight="1" x14ac:dyDescent="0.3">
      <c r="A85" s="879" t="s">
        <v>6</v>
      </c>
      <c r="B85" s="868"/>
      <c r="C85" s="868"/>
      <c r="D85" s="868"/>
      <c r="E85" s="876">
        <v>0.05</v>
      </c>
      <c r="F85" s="876"/>
      <c r="G85" s="875">
        <f>+E85*I81</f>
        <v>976.2</v>
      </c>
      <c r="H85" s="875"/>
      <c r="I85" s="48"/>
    </row>
    <row r="86" spans="1:9" ht="12.75" customHeight="1" x14ac:dyDescent="0.3">
      <c r="A86" s="879" t="s">
        <v>207</v>
      </c>
      <c r="B86" s="868"/>
      <c r="C86" s="868"/>
      <c r="D86" s="868"/>
      <c r="E86" s="876">
        <v>0.02</v>
      </c>
      <c r="F86" s="876"/>
      <c r="G86" s="875">
        <f>+E86*I81</f>
        <v>390.48</v>
      </c>
      <c r="H86" s="875"/>
      <c r="I86" s="48"/>
    </row>
    <row r="87" spans="1:9" ht="12.75" customHeight="1" x14ac:dyDescent="0.3">
      <c r="A87" s="880" t="s">
        <v>397</v>
      </c>
      <c r="B87" s="867"/>
      <c r="C87" s="867"/>
      <c r="D87" s="867"/>
      <c r="E87" s="867"/>
      <c r="F87" s="867"/>
      <c r="G87" s="867"/>
      <c r="H87" s="867"/>
      <c r="I87" s="48">
        <f>+G86+G84+G85+G83</f>
        <v>6247.68</v>
      </c>
    </row>
    <row r="88" spans="1:9" ht="12.75" customHeight="1" x14ac:dyDescent="0.3">
      <c r="A88" s="880" t="s">
        <v>59</v>
      </c>
      <c r="B88" s="867"/>
      <c r="C88" s="867"/>
      <c r="D88" s="867"/>
      <c r="E88" s="867"/>
      <c r="F88" s="867"/>
      <c r="G88" s="867"/>
      <c r="H88" s="867"/>
      <c r="I88" s="48">
        <f>+I87+I81</f>
        <v>25771.68</v>
      </c>
    </row>
    <row r="89" spans="1:9" ht="12.75" customHeight="1" x14ac:dyDescent="0.3">
      <c r="A89" s="93"/>
      <c r="B89" s="65"/>
      <c r="C89" s="65"/>
      <c r="D89" s="65"/>
      <c r="E89" s="65"/>
      <c r="F89" s="65"/>
      <c r="G89" s="65"/>
      <c r="H89" s="65"/>
      <c r="I89" s="48"/>
    </row>
    <row r="90" spans="1:9" ht="12.75" customHeight="1" x14ac:dyDescent="0.3">
      <c r="A90" s="881" t="s">
        <v>114</v>
      </c>
      <c r="B90" s="604"/>
      <c r="C90" s="604"/>
      <c r="D90" s="65"/>
      <c r="E90" s="65"/>
      <c r="F90" s="604" t="s">
        <v>396</v>
      </c>
      <c r="G90" s="604"/>
      <c r="H90" s="604"/>
      <c r="I90" s="894"/>
    </row>
    <row r="91" spans="1:9" ht="12.75" customHeight="1" x14ac:dyDescent="0.3">
      <c r="A91" s="92" t="s">
        <v>111</v>
      </c>
      <c r="B91" s="868"/>
      <c r="C91" s="868"/>
      <c r="D91" s="115"/>
      <c r="E91" s="115"/>
      <c r="F91" s="116" t="s">
        <v>111</v>
      </c>
      <c r="G91" s="868"/>
      <c r="H91" s="868"/>
      <c r="I91" s="884"/>
    </row>
    <row r="92" spans="1:9" ht="12.75" customHeight="1" x14ac:dyDescent="0.3">
      <c r="A92" s="132" t="s">
        <v>115</v>
      </c>
      <c r="B92" s="604" t="str">
        <f>VLOOKUP(A92,[6]INICIO!$E$6:$H$26,2,FALSE)</f>
        <v>LINA MARCELA</v>
      </c>
      <c r="C92" s="604"/>
      <c r="F92" s="86" t="s">
        <v>112</v>
      </c>
      <c r="G92" s="868"/>
      <c r="H92" s="868"/>
      <c r="I92" s="884"/>
    </row>
    <row r="93" spans="1:9" ht="12.75" customHeight="1" x14ac:dyDescent="0.3">
      <c r="A93" s="132" t="s">
        <v>113</v>
      </c>
      <c r="B93" s="604" t="str">
        <f>VLOOKUP(A92,[6]INICIO!$E$6:$H$26,4,FALSE)</f>
        <v>05202-316814 ANT</v>
      </c>
      <c r="C93" s="604"/>
      <c r="F93" s="86" t="s">
        <v>113</v>
      </c>
      <c r="G93" s="868"/>
      <c r="H93" s="868"/>
      <c r="I93" s="884"/>
    </row>
    <row r="94" spans="1:9" ht="12.75" customHeight="1" x14ac:dyDescent="0.3">
      <c r="A94" s="132"/>
      <c r="B94" s="116"/>
      <c r="C94" s="116"/>
      <c r="F94" s="86"/>
      <c r="G94" s="116"/>
      <c r="H94" s="116"/>
      <c r="I94" s="95"/>
    </row>
    <row r="95" spans="1:9" ht="12.75" customHeight="1" x14ac:dyDescent="0.3">
      <c r="A95" s="872" t="s">
        <v>110</v>
      </c>
      <c r="B95" s="869"/>
      <c r="C95" s="869"/>
      <c r="D95" s="869"/>
      <c r="E95" s="869"/>
      <c r="F95" s="869"/>
      <c r="G95" s="869"/>
      <c r="H95" s="869"/>
      <c r="I95" s="873"/>
    </row>
    <row r="96" spans="1:9" ht="12.75" customHeight="1" x14ac:dyDescent="0.3">
      <c r="A96" s="870"/>
      <c r="B96" s="691"/>
      <c r="C96" s="691"/>
      <c r="D96" s="691"/>
      <c r="E96" s="691"/>
      <c r="F96" s="691"/>
      <c r="G96" s="691"/>
      <c r="H96" s="691"/>
      <c r="I96" s="871"/>
    </row>
    <row r="97" spans="1:12" ht="12.75" customHeight="1" x14ac:dyDescent="0.3">
      <c r="A97" s="872"/>
      <c r="B97" s="869"/>
      <c r="C97" s="869"/>
      <c r="D97" s="869"/>
      <c r="E97" s="869"/>
      <c r="F97" s="869"/>
      <c r="G97" s="869"/>
      <c r="H97" s="869"/>
      <c r="I97" s="873"/>
    </row>
    <row r="98" spans="1:12" ht="12.75" customHeight="1" x14ac:dyDescent="0.3">
      <c r="A98" s="891" t="s">
        <v>68</v>
      </c>
      <c r="B98" s="892"/>
      <c r="C98" s="892"/>
      <c r="D98" s="892"/>
      <c r="E98" s="892"/>
      <c r="F98" s="892"/>
      <c r="G98" s="892"/>
      <c r="H98" s="892"/>
      <c r="I98" s="893"/>
    </row>
    <row r="99" spans="1:12" ht="12.75" customHeight="1" x14ac:dyDescent="0.3">
      <c r="A99" s="94" t="s">
        <v>69</v>
      </c>
      <c r="B99" s="112" t="s">
        <v>209</v>
      </c>
      <c r="C99" s="604" t="s">
        <v>70</v>
      </c>
      <c r="D99" s="868" t="str">
        <f>VLOOKUP(B99,PRESUPUESTO!$A$18:$I$21,3,FALSE)</f>
        <v xml:space="preserve">EXCAVACIONES VARIAS EN MATERIAL COMUN </v>
      </c>
      <c r="E99" s="868"/>
      <c r="F99" s="868"/>
      <c r="G99" s="868"/>
      <c r="H99" s="868"/>
      <c r="I99" s="884"/>
    </row>
    <row r="100" spans="1:12" ht="12.75" customHeight="1" x14ac:dyDescent="0.3">
      <c r="A100" s="94" t="s">
        <v>71</v>
      </c>
      <c r="B100" s="112" t="str">
        <f>VLOOKUP(B99,[6]PRESUPUESTO!$A$18:$I$22,2,FALSE)</f>
        <v>600.2.3-13</v>
      </c>
      <c r="C100" s="604"/>
      <c r="D100" s="140" t="s">
        <v>12</v>
      </c>
      <c r="E100" s="113" t="s">
        <v>124</v>
      </c>
      <c r="F100" s="113" t="s">
        <v>13</v>
      </c>
      <c r="G100" s="113">
        <f>VLOOKUP(B100,PRESUPUESTO!$B$15:$I$96,5,FALSE)</f>
        <v>3180</v>
      </c>
      <c r="H100" s="114" t="s">
        <v>27</v>
      </c>
      <c r="I100" s="46">
        <f>+I123</f>
        <v>24857</v>
      </c>
    </row>
    <row r="101" spans="1:12" ht="12.75" customHeight="1" x14ac:dyDescent="0.3">
      <c r="A101" s="47" t="s">
        <v>14</v>
      </c>
      <c r="B101" s="3"/>
      <c r="C101" s="115"/>
      <c r="D101" s="115"/>
      <c r="E101" s="115"/>
      <c r="F101" s="115"/>
      <c r="G101" s="115"/>
      <c r="H101" s="115"/>
      <c r="I101" s="48"/>
    </row>
    <row r="102" spans="1:12" ht="12.75" customHeight="1" x14ac:dyDescent="0.3">
      <c r="A102" s="879" t="s">
        <v>19</v>
      </c>
      <c r="B102" s="868"/>
      <c r="C102" s="868"/>
      <c r="D102" s="868"/>
      <c r="E102" s="868"/>
      <c r="F102" s="116" t="s">
        <v>28</v>
      </c>
      <c r="G102" s="116" t="s">
        <v>29</v>
      </c>
      <c r="H102" s="116" t="s">
        <v>30</v>
      </c>
      <c r="I102" s="50"/>
    </row>
    <row r="103" spans="1:12" ht="12.75" customHeight="1" x14ac:dyDescent="0.3">
      <c r="A103" s="92" t="s">
        <v>1</v>
      </c>
      <c r="B103" s="117" t="s">
        <v>77</v>
      </c>
      <c r="C103" s="878" t="str">
        <f>IF($A103="EQUI",VLOOKUP($B103,EQUI!B$16:G$58,2,FALSE),IF($A103="TRAN",VLOOKUP($B103,TRAN!$B$16:$G$26,2,FALSE),IF($A103="MAT",VLOOKUP($B103,'MAT1'!$B$16:$G$43,2,FALSE),IF($A103="MDEO",VLOOKUP($B103,MDEO!$B$16:$P$27,2,FALSE)))))</f>
        <v>Retrocargador</v>
      </c>
      <c r="D103" s="878"/>
      <c r="E103" s="878"/>
      <c r="F103" s="123">
        <f>IF($A103="EQUI",VLOOKUP($B103,EQUI!B$16:G$46,4,FALSE),IF($A103="TRAN",VLOOKUP($B103,TRAN!$B$16:$G$26,4,FALSE),IF($A103="MAT",VLOOKUP($B103,[7]MAT!$B$16:$G$83,4,FALSE),IF($A103="MDEO",VLOOKUP($B103,MDEO!$B$16:$P$27,4,FALSE)))))</f>
        <v>120000</v>
      </c>
      <c r="G103" s="118">
        <v>0.18</v>
      </c>
      <c r="H103" s="118">
        <f>+F103*G103</f>
        <v>21600</v>
      </c>
      <c r="I103" s="50"/>
      <c r="K103">
        <f>+G103*$G$100</f>
        <v>572.4</v>
      </c>
      <c r="L103" s="89">
        <f>+H103</f>
        <v>21600</v>
      </c>
    </row>
    <row r="104" spans="1:12" ht="12.75" customHeight="1" x14ac:dyDescent="0.3">
      <c r="A104" s="92" t="s">
        <v>1</v>
      </c>
      <c r="B104" s="117" t="s">
        <v>102</v>
      </c>
      <c r="C104" s="878" t="str">
        <f>IF($A104="EQUI",VLOOKUP($B104,EQUI!B$16:G$58,2,FALSE),IF($A104="TRAN",VLOOKUP($B104,TRAN!$B$16:$G$26,2,FALSE),IF($A104="MAT",VLOOKUP($B104,'MAT1'!$B$16:$G$43,2,FALSE),IF($A104="MDEO",VLOOKUP($B104,MDEO!$B$16:$P$27,2,FALSE)))))</f>
        <v>motobomba</v>
      </c>
      <c r="D104" s="878"/>
      <c r="E104" s="878"/>
      <c r="F104" s="123">
        <f>IF($A104="EQUI",VLOOKUP($B104,EQUI!B$16:G$46,4,FALSE),IF($A104="TRAN",VLOOKUP($B104,TRAN!$B$16:$G$26,4,FALSE),IF($A104="MAT",VLOOKUP($B104,[7]MAT!$B$16:$G$83,4,FALSE),IF($A104="MDEO",VLOOKUP($B104,MDEO!$B$16:$P$27,4,FALSE)))))</f>
        <v>7400</v>
      </c>
      <c r="G104" s="118">
        <v>0.18</v>
      </c>
      <c r="H104" s="118">
        <f>+F104*G104</f>
        <v>1332</v>
      </c>
      <c r="I104" s="50"/>
      <c r="K104">
        <f>+G104*$G$100</f>
        <v>572.4</v>
      </c>
    </row>
    <row r="105" spans="1:12" ht="12.75" customHeight="1" x14ac:dyDescent="0.3">
      <c r="A105" s="49"/>
      <c r="B105" s="115"/>
      <c r="C105" s="115"/>
      <c r="D105" s="115"/>
      <c r="E105" s="115"/>
      <c r="F105" s="120" t="s">
        <v>32</v>
      </c>
      <c r="G105" s="121" t="str">
        <f>+B99</f>
        <v>2.1</v>
      </c>
      <c r="H105" s="121" t="s">
        <v>231</v>
      </c>
      <c r="I105" s="48">
        <f>SUM(H103:H104)</f>
        <v>22932</v>
      </c>
      <c r="L105" s="89">
        <f>+K103/8</f>
        <v>71.55</v>
      </c>
    </row>
    <row r="106" spans="1:12" ht="12.75" customHeight="1" x14ac:dyDescent="0.3">
      <c r="A106" s="47" t="s">
        <v>34</v>
      </c>
      <c r="B106" s="3"/>
      <c r="C106" s="115"/>
      <c r="D106" s="115"/>
      <c r="E106" s="115"/>
      <c r="F106" s="115"/>
      <c r="G106" s="115"/>
      <c r="H106" s="115"/>
      <c r="I106" s="50"/>
    </row>
    <row r="107" spans="1:12" ht="12.75" customHeight="1" x14ac:dyDescent="0.3">
      <c r="A107" s="879" t="s">
        <v>35</v>
      </c>
      <c r="B107" s="868"/>
      <c r="C107" s="868"/>
      <c r="D107" s="868"/>
      <c r="E107" s="116" t="s">
        <v>12</v>
      </c>
      <c r="F107" s="116" t="s">
        <v>36</v>
      </c>
      <c r="G107" s="116" t="s">
        <v>37</v>
      </c>
      <c r="H107" s="116" t="s">
        <v>38</v>
      </c>
      <c r="I107" s="50"/>
    </row>
    <row r="108" spans="1:12" ht="12.75" customHeight="1" x14ac:dyDescent="0.3">
      <c r="A108" s="92" t="s">
        <v>0</v>
      </c>
      <c r="B108" s="117"/>
      <c r="C108" s="878"/>
      <c r="D108" s="878"/>
      <c r="E108" s="123"/>
      <c r="F108" s="123"/>
      <c r="G108" s="115"/>
      <c r="H108" s="118">
        <f>G108*F108</f>
        <v>0</v>
      </c>
      <c r="I108" s="50"/>
    </row>
    <row r="109" spans="1:12" ht="12.75" customHeight="1" x14ac:dyDescent="0.3">
      <c r="A109" s="49"/>
      <c r="B109" s="115"/>
      <c r="C109" s="115"/>
      <c r="D109" s="115"/>
      <c r="E109" s="115"/>
      <c r="F109" s="120" t="s">
        <v>32</v>
      </c>
      <c r="G109" s="121" t="str">
        <f>+B99</f>
        <v>2.1</v>
      </c>
      <c r="H109" s="121" t="s">
        <v>232</v>
      </c>
      <c r="I109" s="50">
        <f>SUM(H108:H108)</f>
        <v>0</v>
      </c>
    </row>
    <row r="110" spans="1:12" ht="12.75" customHeight="1" x14ac:dyDescent="0.3">
      <c r="A110" s="47" t="s">
        <v>15</v>
      </c>
      <c r="B110" s="3"/>
      <c r="C110" s="115"/>
      <c r="D110" s="115"/>
      <c r="E110" s="115"/>
      <c r="F110" s="115"/>
      <c r="G110" s="115"/>
      <c r="H110" s="115"/>
      <c r="I110" s="50"/>
    </row>
    <row r="111" spans="1:12" ht="12.75" customHeight="1" x14ac:dyDescent="0.3">
      <c r="A111" s="879" t="s">
        <v>19</v>
      </c>
      <c r="B111" s="868"/>
      <c r="C111" s="868"/>
      <c r="D111" s="116" t="s">
        <v>43</v>
      </c>
      <c r="E111" s="116" t="s">
        <v>44</v>
      </c>
      <c r="F111" s="123" t="s">
        <v>45</v>
      </c>
      <c r="G111" s="116" t="s">
        <v>17</v>
      </c>
      <c r="H111" s="116" t="s">
        <v>30</v>
      </c>
      <c r="I111" s="50"/>
    </row>
    <row r="112" spans="1:12" ht="12.75" customHeight="1" x14ac:dyDescent="0.3">
      <c r="A112" s="51" t="s">
        <v>3</v>
      </c>
      <c r="B112" s="122"/>
      <c r="C112" s="115"/>
      <c r="D112" s="115"/>
      <c r="E112" s="115"/>
      <c r="F112" s="115"/>
      <c r="G112" s="115"/>
      <c r="H112" s="115"/>
      <c r="I112" s="50"/>
    </row>
    <row r="113" spans="1:12" ht="12.75" customHeight="1" x14ac:dyDescent="0.3">
      <c r="A113" s="49"/>
      <c r="B113" s="115"/>
      <c r="C113" s="115"/>
      <c r="D113" s="115"/>
      <c r="E113" s="115"/>
      <c r="F113" s="120" t="s">
        <v>32</v>
      </c>
      <c r="G113" s="121" t="str">
        <f>+B99</f>
        <v>2.1</v>
      </c>
      <c r="H113" s="121" t="s">
        <v>233</v>
      </c>
      <c r="I113" s="50">
        <f>SUM(H112:H112)</f>
        <v>0</v>
      </c>
    </row>
    <row r="114" spans="1:12" ht="12.75" customHeight="1" x14ac:dyDescent="0.3">
      <c r="A114" s="47"/>
      <c r="B114" s="3"/>
      <c r="C114" s="115"/>
      <c r="D114" s="115"/>
      <c r="E114" s="115"/>
      <c r="F114" s="115"/>
      <c r="G114" s="115"/>
      <c r="H114" s="115"/>
      <c r="I114" s="50"/>
    </row>
    <row r="115" spans="1:12" s="125" customFormat="1" ht="12.75" customHeight="1" x14ac:dyDescent="0.3">
      <c r="A115" s="895" t="s">
        <v>47</v>
      </c>
      <c r="B115" s="874"/>
      <c r="C115" s="874"/>
      <c r="D115" s="123" t="s">
        <v>48</v>
      </c>
      <c r="E115" s="123" t="s">
        <v>109</v>
      </c>
      <c r="F115" s="124" t="s">
        <v>49</v>
      </c>
      <c r="G115" s="124" t="s">
        <v>29</v>
      </c>
      <c r="H115" s="123" t="s">
        <v>30</v>
      </c>
      <c r="I115" s="52"/>
      <c r="L115" s="200"/>
    </row>
    <row r="116" spans="1:12" ht="12.75" customHeight="1" x14ac:dyDescent="0.3">
      <c r="A116" s="51" t="s">
        <v>4</v>
      </c>
      <c r="B116" s="131" t="s">
        <v>175</v>
      </c>
      <c r="C116" s="126" t="str">
        <f>IF($A116="EQUI",VLOOKUP($B116,EQUI!B$16:G$37,2,FALSE),IF($A116="TRAN",VLOOKUP($B116,TRAN!$B$16:$G$26,2,FALSE),IF($A116="MAT",VLOOKUP($B116,'MAT1'!$B$16:$G$43,2,FALSE),IF($A116="MDEO",VLOOKUP($B116,MDEO!$B$16:$P$27,2,FALSE)))))</f>
        <v xml:space="preserve">oficial </v>
      </c>
      <c r="D116" s="31">
        <f>IF($A116="EQUI",VLOOKUP($B116,EQUI!B$16:G$35,3,FALSE),IF($A116="TRAN",VLOOKUP($B116,TRAN!$B$16:$G$26,3,FALSE),IF($A116="MAT",VLOOKUP($B116,'MAT1'!$B$16:$G$43,3,FALSE),IF($A116="MDEO",VLOOKUP($B116,MDEO!$B$16:$P$27,3,FALSE)))))</f>
        <v>4833.333333333333</v>
      </c>
      <c r="E116" s="127"/>
      <c r="F116" s="32">
        <f>+D116+D116*E116</f>
        <v>4833.333333333333</v>
      </c>
      <c r="G116" s="130">
        <v>0.18</v>
      </c>
      <c r="H116" s="128">
        <f>G116*F116</f>
        <v>869.99999999999989</v>
      </c>
      <c r="I116" s="50"/>
      <c r="K116">
        <f>+G116*$G$100</f>
        <v>572.4</v>
      </c>
    </row>
    <row r="117" spans="1:12" ht="12.75" customHeight="1" x14ac:dyDescent="0.3">
      <c r="A117" s="51" t="s">
        <v>4</v>
      </c>
      <c r="B117" s="131" t="s">
        <v>176</v>
      </c>
      <c r="C117" s="126" t="str">
        <f>IF($A117="EQUI",VLOOKUP($B117,EQUI!B$16:G$37,2,FALSE),IF($A117="TRAN",VLOOKUP($B117,TRAN!$B$16:$G$26,2,FALSE),IF($A117="MAT",VLOOKUP($B117,'MAT1'!$B$16:$G$43,2,FALSE),IF($A117="MDEO",VLOOKUP($B117,MDEO!$B$16:$P$27,2,FALSE)))))</f>
        <v xml:space="preserve">ayudante entendido </v>
      </c>
      <c r="D117" s="31">
        <f>IF($A117="EQUI",VLOOKUP($B117,EQUI!B$16:G$35,3,FALSE),IF($A117="TRAN",VLOOKUP($B117,TRAN!$B$16:$G$26,3,FALSE),IF($A117="MAT",VLOOKUP($B117,'MAT1'!$B$16:$G$43,3,FALSE),IF($A117="MDEO",VLOOKUP($B117,MDEO!$B$16:$P$27,3,FALSE)))))</f>
        <v>4833.333333333333</v>
      </c>
      <c r="E117" s="127"/>
      <c r="F117" s="32">
        <f>+D117+D117*E117</f>
        <v>4833.333333333333</v>
      </c>
      <c r="G117" s="130">
        <v>0</v>
      </c>
      <c r="H117" s="128">
        <f>G117*F117</f>
        <v>0</v>
      </c>
      <c r="I117" s="50"/>
      <c r="K117">
        <f>+G117*$G$100</f>
        <v>0</v>
      </c>
    </row>
    <row r="118" spans="1:12" ht="12.75" customHeight="1" x14ac:dyDescent="0.3">
      <c r="A118" s="51" t="s">
        <v>4</v>
      </c>
      <c r="B118" s="131" t="s">
        <v>177</v>
      </c>
      <c r="C118" s="126" t="str">
        <f>IF($A118="EQUI",VLOOKUP($B118,EQUI!B$16:G$37,2,FALSE),IF($A118="TRAN",VLOOKUP($B118,TRAN!$B$16:$G$26,2,FALSE),IF($A118="MAT",VLOOKUP($B118,'MAT1'!$B$16:$G$43,2,FALSE),IF($A118="MDEO",VLOOKUP($B118,MDEO!$B$16:$P$27,2,FALSE)))))</f>
        <v xml:space="preserve">ayudante </v>
      </c>
      <c r="D118" s="31">
        <f>IF($A118="EQUI",VLOOKUP($B118,EQUI!B$16:G$35,3,FALSE),IF($A118="TRAN",VLOOKUP($B118,TRAN!$B$16:$G$26,3,FALSE),IF($A118="MAT",VLOOKUP($B118,'MAT1'!$B$16:$G$43,3,FALSE),IF($A118="MDEO",VLOOKUP($B118,MDEO!$B$16:$P$27,3,FALSE)))))</f>
        <v>4833.333333333333</v>
      </c>
      <c r="E118" s="127"/>
      <c r="F118" s="32">
        <f>+D118+D118*E118</f>
        <v>4833.333333333333</v>
      </c>
      <c r="G118" s="130">
        <v>0.18</v>
      </c>
      <c r="H118" s="128">
        <f>G118*F118</f>
        <v>869.99999999999989</v>
      </c>
      <c r="I118" s="50"/>
      <c r="K118">
        <f>+G118*$G$100</f>
        <v>572.4</v>
      </c>
    </row>
    <row r="119" spans="1:12" ht="12.75" customHeight="1" x14ac:dyDescent="0.3">
      <c r="A119" s="51" t="s">
        <v>4</v>
      </c>
      <c r="B119" s="131" t="s">
        <v>178</v>
      </c>
      <c r="C119" s="126" t="str">
        <f>IF($A119="EQUI",VLOOKUP($B119,EQUI!B$16:G$37,2,FALSE),IF($A119="TRAN",VLOOKUP($B119,TRAN!$B$16:$G$26,2,FALSE),IF($A119="MAT",VLOOKUP($B119,'MAT1'!$B$16:$G$43,2,FALSE),IF($A119="MDEO",VLOOKUP($B119,MDEO!$B$16:$P$33,2,FALSE)))))</f>
        <v>contra maestro</v>
      </c>
      <c r="D119" s="31">
        <f>IF($A119="EQUI",VLOOKUP($B119,EQUI!B$16:G$35,3,FALSE),IF($A119="TRAN",VLOOKUP($B119,TRAN!$B$16:$G$26,3,FALSE),IF($A119="MAT",VLOOKUP($B119,'MAT1'!$B$16:$G$43,3,FALSE),IF($A119="MDEO",VLOOKUP($B119,MDEO!$B$16:$P$33,3,FALSE)))))</f>
        <v>5208.333333333333</v>
      </c>
      <c r="E119" s="127"/>
      <c r="F119" s="32">
        <f>+D119+D119*E119</f>
        <v>5208.333333333333</v>
      </c>
      <c r="G119" s="130">
        <f>+G116*0.1</f>
        <v>1.7999999999999999E-2</v>
      </c>
      <c r="H119" s="128">
        <f>G119*F119</f>
        <v>93.749999999999986</v>
      </c>
      <c r="I119" s="50"/>
      <c r="K119">
        <f>+G119*$G$100</f>
        <v>57.239999999999995</v>
      </c>
    </row>
    <row r="120" spans="1:12" ht="12.75" customHeight="1" x14ac:dyDescent="0.3">
      <c r="A120" s="879"/>
      <c r="B120" s="868"/>
      <c r="C120" s="115"/>
      <c r="D120" s="115"/>
      <c r="E120" s="115"/>
      <c r="F120" s="115"/>
      <c r="G120" s="115"/>
      <c r="H120" s="115"/>
      <c r="I120" s="50"/>
    </row>
    <row r="121" spans="1:12" ht="12.75" customHeight="1" x14ac:dyDescent="0.3">
      <c r="A121" s="49"/>
      <c r="B121" s="115"/>
      <c r="C121" s="115"/>
      <c r="D121" s="115"/>
      <c r="E121" s="115"/>
      <c r="F121" s="120" t="s">
        <v>32</v>
      </c>
      <c r="G121" s="121" t="str">
        <f>+B99</f>
        <v>2.1</v>
      </c>
      <c r="H121" s="120" t="s">
        <v>234</v>
      </c>
      <c r="I121" s="48">
        <f>SUM(H116:H120)</f>
        <v>1833.7499999999998</v>
      </c>
    </row>
    <row r="122" spans="1:12" ht="12.75" customHeight="1" x14ac:dyDescent="0.3">
      <c r="A122" s="49" t="s">
        <v>54</v>
      </c>
      <c r="B122" s="115"/>
      <c r="C122" s="115"/>
      <c r="D122" s="115"/>
      <c r="E122" s="115"/>
      <c r="F122" s="115"/>
      <c r="G122" s="115"/>
      <c r="H122" s="116"/>
      <c r="I122" s="48">
        <f>I121*0.05</f>
        <v>91.6875</v>
      </c>
    </row>
    <row r="123" spans="1:12" ht="12.75" customHeight="1" x14ac:dyDescent="0.3">
      <c r="A123" s="49"/>
      <c r="B123" s="115"/>
      <c r="C123" s="115"/>
      <c r="D123" s="115"/>
      <c r="E123" s="115"/>
      <c r="F123" s="120" t="s">
        <v>55</v>
      </c>
      <c r="G123" s="116"/>
      <c r="H123" s="116"/>
      <c r="I123" s="48">
        <f>ROUND(I121+I122+I109+I105+I113,0)</f>
        <v>24857</v>
      </c>
    </row>
    <row r="124" spans="1:12" ht="12.75" customHeight="1" x14ac:dyDescent="0.3">
      <c r="A124" s="879" t="s">
        <v>56</v>
      </c>
      <c r="B124" s="868"/>
      <c r="C124" s="868"/>
      <c r="D124" s="868"/>
      <c r="E124" s="868" t="s">
        <v>57</v>
      </c>
      <c r="F124" s="868"/>
      <c r="G124" s="875" t="s">
        <v>58</v>
      </c>
      <c r="H124" s="875"/>
      <c r="I124" s="48"/>
    </row>
    <row r="125" spans="1:12" ht="12.75" customHeight="1" x14ac:dyDescent="0.3">
      <c r="A125" s="879" t="s">
        <v>208</v>
      </c>
      <c r="B125" s="868"/>
      <c r="C125" s="868"/>
      <c r="D125" s="868"/>
      <c r="E125" s="876">
        <v>0.02</v>
      </c>
      <c r="F125" s="876"/>
      <c r="G125" s="875">
        <f>+I123*E125</f>
        <v>497.14</v>
      </c>
      <c r="H125" s="875"/>
      <c r="I125" s="48"/>
    </row>
    <row r="126" spans="1:12" ht="12.75" customHeight="1" x14ac:dyDescent="0.3">
      <c r="A126" s="879" t="s">
        <v>5</v>
      </c>
      <c r="B126" s="868"/>
      <c r="C126" s="868"/>
      <c r="D126" s="868"/>
      <c r="E126" s="876">
        <v>0.23</v>
      </c>
      <c r="F126" s="876"/>
      <c r="G126" s="875">
        <f>+E126*I123</f>
        <v>5717.1100000000006</v>
      </c>
      <c r="H126" s="875"/>
      <c r="I126" s="48"/>
    </row>
    <row r="127" spans="1:12" ht="12.75" customHeight="1" x14ac:dyDescent="0.3">
      <c r="A127" s="879" t="s">
        <v>6</v>
      </c>
      <c r="B127" s="868"/>
      <c r="C127" s="868"/>
      <c r="D127" s="868"/>
      <c r="E127" s="876">
        <v>0.05</v>
      </c>
      <c r="F127" s="876"/>
      <c r="G127" s="875">
        <f>+E127*I123</f>
        <v>1242.8500000000001</v>
      </c>
      <c r="H127" s="875"/>
      <c r="I127" s="48"/>
    </row>
    <row r="128" spans="1:12" ht="12.75" customHeight="1" x14ac:dyDescent="0.3">
      <c r="A128" s="879" t="s">
        <v>207</v>
      </c>
      <c r="B128" s="868"/>
      <c r="C128" s="868"/>
      <c r="D128" s="868"/>
      <c r="E128" s="876">
        <v>0.02</v>
      </c>
      <c r="F128" s="876"/>
      <c r="G128" s="875">
        <f>+E128*I123</f>
        <v>497.14</v>
      </c>
      <c r="H128" s="875"/>
      <c r="I128" s="48"/>
    </row>
    <row r="129" spans="1:9" ht="12.75" customHeight="1" x14ac:dyDescent="0.3">
      <c r="A129" s="880" t="s">
        <v>397</v>
      </c>
      <c r="B129" s="867"/>
      <c r="C129" s="867"/>
      <c r="D129" s="867"/>
      <c r="E129" s="867"/>
      <c r="F129" s="867"/>
      <c r="G129" s="867"/>
      <c r="H129" s="867"/>
      <c r="I129" s="48">
        <f>+G128+G126+G127+G125</f>
        <v>7954.2400000000016</v>
      </c>
    </row>
    <row r="130" spans="1:9" ht="12.75" customHeight="1" x14ac:dyDescent="0.3">
      <c r="A130" s="880" t="s">
        <v>59</v>
      </c>
      <c r="B130" s="867"/>
      <c r="C130" s="867"/>
      <c r="D130" s="867"/>
      <c r="E130" s="867"/>
      <c r="F130" s="867"/>
      <c r="G130" s="867"/>
      <c r="H130" s="867"/>
      <c r="I130" s="48">
        <f>+I129+I123</f>
        <v>32811.240000000005</v>
      </c>
    </row>
    <row r="131" spans="1:9" ht="12.75" customHeight="1" x14ac:dyDescent="0.3">
      <c r="A131" s="93"/>
      <c r="B131" s="65"/>
      <c r="C131" s="65"/>
      <c r="D131" s="65"/>
      <c r="E131" s="65"/>
      <c r="F131" s="65"/>
      <c r="G131" s="65"/>
      <c r="H131" s="65"/>
      <c r="I131" s="48"/>
    </row>
    <row r="132" spans="1:9" ht="12.75" customHeight="1" x14ac:dyDescent="0.3">
      <c r="A132" s="881" t="s">
        <v>114</v>
      </c>
      <c r="B132" s="604"/>
      <c r="C132" s="604"/>
      <c r="D132" s="65"/>
      <c r="E132" s="65"/>
      <c r="F132" s="604" t="s">
        <v>396</v>
      </c>
      <c r="G132" s="604"/>
      <c r="H132" s="604"/>
      <c r="I132" s="894"/>
    </row>
    <row r="133" spans="1:9" ht="12.75" customHeight="1" x14ac:dyDescent="0.3">
      <c r="A133" s="92" t="s">
        <v>111</v>
      </c>
      <c r="B133" s="868"/>
      <c r="C133" s="868"/>
      <c r="D133" s="115"/>
      <c r="E133" s="115"/>
      <c r="F133" s="116" t="s">
        <v>111</v>
      </c>
      <c r="G133" s="868"/>
      <c r="H133" s="868"/>
      <c r="I133" s="884"/>
    </row>
    <row r="134" spans="1:9" ht="12.75" customHeight="1" x14ac:dyDescent="0.3">
      <c r="A134" s="132" t="s">
        <v>115</v>
      </c>
      <c r="B134" s="868" t="str">
        <f>VLOOKUP(A134,[6]INICIO!$E$6:$H$26,2,FALSE)</f>
        <v>LINA MARCELA</v>
      </c>
      <c r="C134" s="868"/>
      <c r="F134" s="86" t="s">
        <v>112</v>
      </c>
      <c r="G134" s="868"/>
      <c r="H134" s="868"/>
      <c r="I134" s="884"/>
    </row>
    <row r="135" spans="1:9" ht="12.75" customHeight="1" x14ac:dyDescent="0.3">
      <c r="A135" s="132" t="s">
        <v>113</v>
      </c>
      <c r="B135" s="868" t="str">
        <f>VLOOKUP(A134,[6]INICIO!$E$6:$H$26,4,FALSE)</f>
        <v>05202-316814 ANT</v>
      </c>
      <c r="C135" s="868"/>
      <c r="F135" s="86" t="s">
        <v>113</v>
      </c>
      <c r="G135" s="868"/>
      <c r="H135" s="868"/>
      <c r="I135" s="884"/>
    </row>
    <row r="136" spans="1:9" ht="12.75" customHeight="1" x14ac:dyDescent="0.3">
      <c r="A136" s="132"/>
      <c r="B136" s="116"/>
      <c r="C136" s="116"/>
      <c r="F136" s="86"/>
      <c r="G136" s="116"/>
      <c r="H136" s="116"/>
      <c r="I136" s="95"/>
    </row>
    <row r="137" spans="1:9" ht="12.75" customHeight="1" x14ac:dyDescent="0.3">
      <c r="A137" s="872" t="s">
        <v>110</v>
      </c>
      <c r="B137" s="869"/>
      <c r="C137" s="869"/>
      <c r="D137" s="869"/>
      <c r="E137" s="869"/>
      <c r="F137" s="869"/>
      <c r="G137" s="869"/>
      <c r="H137" s="869"/>
      <c r="I137" s="873"/>
    </row>
    <row r="138" spans="1:9" ht="16.2" customHeight="1" x14ac:dyDescent="0.3">
      <c r="A138" s="870"/>
      <c r="B138" s="691"/>
      <c r="C138" s="691"/>
      <c r="D138" s="691"/>
      <c r="E138" s="691"/>
      <c r="F138" s="691"/>
      <c r="G138" s="691"/>
      <c r="H138" s="691"/>
      <c r="I138" s="871"/>
    </row>
    <row r="139" spans="1:9" ht="12.75" customHeight="1" x14ac:dyDescent="0.3">
      <c r="A139" s="872"/>
      <c r="B139" s="869"/>
      <c r="C139" s="869"/>
      <c r="D139" s="869"/>
      <c r="E139" s="869"/>
      <c r="F139" s="869"/>
      <c r="G139" s="869"/>
      <c r="H139" s="869"/>
      <c r="I139" s="873"/>
    </row>
    <row r="140" spans="1:9" ht="12.75" customHeight="1" x14ac:dyDescent="0.3">
      <c r="A140" s="83"/>
      <c r="I140" s="134"/>
    </row>
    <row r="141" spans="1:9" ht="12.75" customHeight="1" x14ac:dyDescent="0.3">
      <c r="A141" s="881" t="s">
        <v>68</v>
      </c>
      <c r="B141" s="604"/>
      <c r="C141" s="604"/>
      <c r="D141" s="604"/>
      <c r="E141" s="604"/>
      <c r="F141" s="604"/>
      <c r="G141" s="604"/>
      <c r="H141" s="604"/>
      <c r="I141" s="894"/>
    </row>
    <row r="142" spans="1:9" ht="12.75" customHeight="1" x14ac:dyDescent="0.3">
      <c r="A142" s="94" t="s">
        <v>69</v>
      </c>
      <c r="B142" s="112" t="s">
        <v>211</v>
      </c>
      <c r="C142" s="604" t="s">
        <v>70</v>
      </c>
      <c r="D142" s="868" t="str">
        <f>VLOOKUP(B142,[6]PRESUPUESTO!$A$18:$I$22,3,FALSE)</f>
        <v>TRANSPORTE DE MATERIAL PROVENIENTE DE EXCAVACION HASTA 10 KM</v>
      </c>
      <c r="E142" s="868"/>
      <c r="F142" s="868"/>
      <c r="G142" s="868"/>
      <c r="H142" s="868"/>
      <c r="I142" s="884"/>
    </row>
    <row r="143" spans="1:9" ht="12.75" customHeight="1" x14ac:dyDescent="0.3">
      <c r="A143" s="94" t="s">
        <v>71</v>
      </c>
      <c r="B143" s="112" t="str">
        <f>VLOOKUP(B142,[6]PRESUPUESTO!$A$18:$I$22,2,FALSE)</f>
        <v>900.2-13</v>
      </c>
      <c r="C143" s="604"/>
      <c r="D143" s="140" t="s">
        <v>12</v>
      </c>
      <c r="E143" s="113" t="s">
        <v>181</v>
      </c>
      <c r="F143" s="113" t="s">
        <v>13</v>
      </c>
      <c r="G143" s="113">
        <f>VLOOKUP(B143,PRESUPUESTO!$B$15:$I$96,5,FALSE)</f>
        <v>5385</v>
      </c>
      <c r="H143" s="114" t="s">
        <v>27</v>
      </c>
      <c r="I143" s="46">
        <f>+I165</f>
        <v>13084</v>
      </c>
    </row>
    <row r="144" spans="1:9" ht="12.75" customHeight="1" x14ac:dyDescent="0.3">
      <c r="A144" s="47" t="s">
        <v>14</v>
      </c>
      <c r="B144" s="3"/>
      <c r="C144" s="115"/>
      <c r="D144" s="115"/>
      <c r="E144" s="115"/>
      <c r="F144" s="115"/>
      <c r="G144" s="115"/>
      <c r="H144" s="115"/>
      <c r="I144" s="48"/>
    </row>
    <row r="145" spans="1:12" ht="12.75" customHeight="1" x14ac:dyDescent="0.3">
      <c r="A145" s="879" t="s">
        <v>19</v>
      </c>
      <c r="B145" s="868"/>
      <c r="C145" s="868"/>
      <c r="D145" s="868"/>
      <c r="E145" s="868"/>
      <c r="F145" s="116" t="s">
        <v>28</v>
      </c>
      <c r="G145" s="116" t="s">
        <v>29</v>
      </c>
      <c r="H145" s="116" t="s">
        <v>30</v>
      </c>
      <c r="I145" s="50"/>
    </row>
    <row r="146" spans="1:12" ht="12.75" customHeight="1" x14ac:dyDescent="0.3">
      <c r="A146" s="92" t="s">
        <v>1</v>
      </c>
      <c r="B146" s="117"/>
      <c r="C146" s="878"/>
      <c r="D146" s="878"/>
      <c r="E146" s="878"/>
      <c r="F146" s="123"/>
      <c r="G146" s="115"/>
      <c r="H146" s="118"/>
      <c r="I146" s="50"/>
    </row>
    <row r="147" spans="1:12" ht="12.75" customHeight="1" x14ac:dyDescent="0.3">
      <c r="A147" s="49"/>
      <c r="B147" s="115"/>
      <c r="C147" s="115"/>
      <c r="D147" s="115"/>
      <c r="E147" s="115"/>
      <c r="F147" s="120" t="s">
        <v>32</v>
      </c>
      <c r="G147" s="121" t="str">
        <f>+B142</f>
        <v>2.2</v>
      </c>
      <c r="H147" s="121" t="s">
        <v>235</v>
      </c>
      <c r="I147" s="48">
        <f>SUM(H146:H146)</f>
        <v>0</v>
      </c>
    </row>
    <row r="148" spans="1:12" ht="12.75" customHeight="1" x14ac:dyDescent="0.3">
      <c r="A148" s="47" t="s">
        <v>34</v>
      </c>
      <c r="B148" s="3"/>
      <c r="C148" s="115"/>
      <c r="D148" s="115"/>
      <c r="E148" s="115"/>
      <c r="F148" s="115"/>
      <c r="G148" s="115"/>
      <c r="H148" s="115"/>
      <c r="I148" s="50"/>
    </row>
    <row r="149" spans="1:12" ht="12.75" customHeight="1" x14ac:dyDescent="0.3">
      <c r="A149" s="879" t="s">
        <v>35</v>
      </c>
      <c r="B149" s="868"/>
      <c r="C149" s="868"/>
      <c r="D149" s="868"/>
      <c r="E149" s="116" t="s">
        <v>12</v>
      </c>
      <c r="F149" s="116" t="s">
        <v>36</v>
      </c>
      <c r="G149" s="116" t="s">
        <v>37</v>
      </c>
      <c r="H149" s="116" t="s">
        <v>38</v>
      </c>
      <c r="I149" s="50"/>
    </row>
    <row r="150" spans="1:12" ht="12.75" customHeight="1" x14ac:dyDescent="0.3">
      <c r="A150" s="92" t="s">
        <v>0</v>
      </c>
      <c r="B150" s="117"/>
      <c r="C150" s="878"/>
      <c r="D150" s="878"/>
      <c r="E150" s="123"/>
      <c r="F150" s="123"/>
      <c r="G150" s="115"/>
      <c r="H150" s="118">
        <f>G150*F150</f>
        <v>0</v>
      </c>
      <c r="I150" s="50"/>
    </row>
    <row r="151" spans="1:12" ht="12.75" customHeight="1" x14ac:dyDescent="0.3">
      <c r="A151" s="49"/>
      <c r="B151" s="115"/>
      <c r="C151" s="115"/>
      <c r="D151" s="115"/>
      <c r="E151" s="115"/>
      <c r="F151" s="120" t="s">
        <v>32</v>
      </c>
      <c r="G151" s="121" t="str">
        <f>+B142</f>
        <v>2.2</v>
      </c>
      <c r="H151" s="121" t="s">
        <v>236</v>
      </c>
      <c r="I151" s="50">
        <f>SUM(H150:H150)</f>
        <v>0</v>
      </c>
    </row>
    <row r="152" spans="1:12" ht="9" customHeight="1" x14ac:dyDescent="0.3">
      <c r="A152" s="47" t="s">
        <v>15</v>
      </c>
      <c r="B152" s="3"/>
      <c r="C152" s="115"/>
      <c r="D152" s="115"/>
      <c r="E152" s="115"/>
      <c r="F152" s="115"/>
      <c r="G152" s="115"/>
      <c r="H152" s="115"/>
      <c r="I152" s="50"/>
    </row>
    <row r="153" spans="1:12" ht="18.600000000000001" customHeight="1" x14ac:dyDescent="0.3">
      <c r="A153" s="879" t="s">
        <v>19</v>
      </c>
      <c r="B153" s="868"/>
      <c r="C153" s="868"/>
      <c r="D153" s="116" t="s">
        <v>43</v>
      </c>
      <c r="E153" s="116" t="s">
        <v>44</v>
      </c>
      <c r="F153" s="123" t="s">
        <v>45</v>
      </c>
      <c r="G153" s="116" t="s">
        <v>17</v>
      </c>
      <c r="H153" s="116" t="s">
        <v>30</v>
      </c>
      <c r="I153" s="50"/>
    </row>
    <row r="154" spans="1:12" ht="12.75" customHeight="1" x14ac:dyDescent="0.3">
      <c r="A154" s="51" t="s">
        <v>3</v>
      </c>
      <c r="B154" s="122" t="s">
        <v>167</v>
      </c>
      <c r="C154" s="135" t="str">
        <f>IF($A154="EQUI",VLOOKUP($B154,EQUI!B$16:G$37,2,FALSE),IF($A154="TRAN",VLOOKUP($B154,TRAN!$B$16:$G$26,2,FALSE),IF($A154="MAT",VLOOKUP($B154,'MAT1'!$B$16:$G$43,2,FALSE),IF($A154="MDEO",VLOOKUP($B154,MDEO!$B$16:$P$27,2,FALSE)))))</f>
        <v>trans mat sobrante 0-5km</v>
      </c>
      <c r="D154" s="116">
        <v>1.3</v>
      </c>
      <c r="E154" s="115">
        <v>5</v>
      </c>
      <c r="F154" s="115">
        <f>+E154*D154</f>
        <v>6.5</v>
      </c>
      <c r="G154" s="115">
        <f>IF($A154="EQUI",VLOOKUP($B154,EQUI!B$16:G$37,2,FALSE),IF($A154="TRAN",VLOOKUP($B154,TRAN!$B$16:$G$26,4,FALSE),IF($A154="MAT",VLOOKUP($B154,'MAT1'!$B$16:$G$43,2,FALSE),IF($A154="MDEO",VLOOKUP($B154,MDEO!$B$16:$P$27,2,FALSE)))))</f>
        <v>2000</v>
      </c>
      <c r="H154" s="115">
        <f>+G154*F154</f>
        <v>13000</v>
      </c>
      <c r="I154" s="50"/>
      <c r="K154">
        <f>+$G$143*F154</f>
        <v>35002.5</v>
      </c>
    </row>
    <row r="155" spans="1:12" ht="12.75" customHeight="1" x14ac:dyDescent="0.3">
      <c r="A155" s="49"/>
      <c r="B155" s="115"/>
      <c r="C155" s="115"/>
      <c r="D155" s="115"/>
      <c r="E155" s="115"/>
      <c r="F155" s="120" t="s">
        <v>32</v>
      </c>
      <c r="G155" s="121" t="str">
        <f>+B142</f>
        <v>2.2</v>
      </c>
      <c r="H155" s="121" t="s">
        <v>237</v>
      </c>
      <c r="I155" s="50">
        <f>SUM(H154:H154)</f>
        <v>13000</v>
      </c>
    </row>
    <row r="156" spans="1:12" ht="12.75" customHeight="1" x14ac:dyDescent="0.3">
      <c r="A156" s="47"/>
      <c r="B156" s="3"/>
      <c r="C156" s="115"/>
      <c r="D156" s="115"/>
      <c r="E156" s="115"/>
      <c r="F156" s="115"/>
      <c r="G156" s="115"/>
      <c r="H156" s="115"/>
      <c r="I156" s="50"/>
    </row>
    <row r="157" spans="1:12" s="125" customFormat="1" ht="12.75" customHeight="1" x14ac:dyDescent="0.3">
      <c r="A157" s="895" t="s">
        <v>47</v>
      </c>
      <c r="B157" s="874"/>
      <c r="C157" s="874"/>
      <c r="D157" s="123" t="s">
        <v>48</v>
      </c>
      <c r="E157" s="123" t="s">
        <v>109</v>
      </c>
      <c r="F157" s="124" t="s">
        <v>49</v>
      </c>
      <c r="G157" s="124" t="s">
        <v>29</v>
      </c>
      <c r="H157" s="123" t="s">
        <v>30</v>
      </c>
      <c r="I157" s="52"/>
      <c r="L157" s="200"/>
    </row>
    <row r="158" spans="1:12" ht="12.75" customHeight="1" x14ac:dyDescent="0.3">
      <c r="A158" s="51" t="s">
        <v>4</v>
      </c>
      <c r="B158" s="131" t="s">
        <v>175</v>
      </c>
      <c r="C158" s="126" t="str">
        <f>IF($A158="EQUI",VLOOKUP($B158,EQUI!B$16:G$37,2,FALSE),IF($A158="TRAN",VLOOKUP($B158,TRAN!$B$16:$G$26,2,FALSE),IF($A158="MAT",VLOOKUP($B158,'MAT1'!$B$16:$G$43,2,FALSE),IF($A158="MDEO",VLOOKUP($B158,MDEO!$B$16:$P$27,2,FALSE)))))</f>
        <v xml:space="preserve">oficial </v>
      </c>
      <c r="D158" s="31">
        <f>IF($A158="EQUI",VLOOKUP($B158,EQUI!B$16:G$35,3,FALSE),IF($A158="TRAN",VLOOKUP($B158,TRAN!$B$16:$G$26,3,FALSE),IF($A158="MAT",VLOOKUP($B158,'MAT1'!$B$16:$G$43,3,FALSE),IF($A158="MDEO",VLOOKUP($B158,MDEO!$B$16:$P$27,3,FALSE)))))</f>
        <v>4833.333333333333</v>
      </c>
      <c r="E158" s="127"/>
      <c r="F158" s="32">
        <f>+D158+D158*E158</f>
        <v>4833.333333333333</v>
      </c>
      <c r="G158" s="130">
        <v>0</v>
      </c>
      <c r="H158" s="128">
        <f>G158*F158</f>
        <v>0</v>
      </c>
      <c r="I158" s="50"/>
      <c r="K158" s="119">
        <f>+G158*$G$143</f>
        <v>0</v>
      </c>
    </row>
    <row r="159" spans="1:12" ht="12.75" customHeight="1" x14ac:dyDescent="0.3">
      <c r="A159" s="51" t="s">
        <v>4</v>
      </c>
      <c r="B159" s="131" t="s">
        <v>176</v>
      </c>
      <c r="C159" s="126" t="str">
        <f>IF($A159="EQUI",VLOOKUP($B159,EQUI!B$16:G$37,2,FALSE),IF($A159="TRAN",VLOOKUP($B159,TRAN!$B$16:$G$26,2,FALSE),IF($A159="MAT",VLOOKUP($B159,'MAT1'!$B$16:$G$43,2,FALSE),IF($A159="MDEO",VLOOKUP($B159,MDEO!$B$16:$P$27,2,FALSE)))))</f>
        <v xml:space="preserve">ayudante entendido </v>
      </c>
      <c r="D159" s="31">
        <f>IF($A159="EQUI",VLOOKUP($B159,EQUI!B$16:G$35,3,FALSE),IF($A159="TRAN",VLOOKUP($B159,TRAN!$B$16:$G$26,3,FALSE),IF($A159="MAT",VLOOKUP($B159,'MAT1'!$B$16:$G$43,3,FALSE),IF($A159="MDEO",VLOOKUP($B159,MDEO!$B$16:$P$27,3,FALSE)))))</f>
        <v>4833.333333333333</v>
      </c>
      <c r="E159" s="127"/>
      <c r="F159" s="32">
        <f>+D159+D159*E159</f>
        <v>4833.333333333333</v>
      </c>
      <c r="G159" s="130">
        <v>0</v>
      </c>
      <c r="H159" s="128">
        <f>G159*F159</f>
        <v>0</v>
      </c>
      <c r="I159" s="50"/>
      <c r="K159" s="119">
        <f>+G159*$G$143</f>
        <v>0</v>
      </c>
    </row>
    <row r="160" spans="1:12" ht="12.75" customHeight="1" x14ac:dyDescent="0.3">
      <c r="A160" s="51" t="s">
        <v>4</v>
      </c>
      <c r="B160" s="131" t="s">
        <v>177</v>
      </c>
      <c r="C160" s="126" t="str">
        <f>IF($A160="EQUI",VLOOKUP($B160,EQUI!B$16:G$37,2,FALSE),IF($A160="TRAN",VLOOKUP($B160,TRAN!$B$16:$G$26,2,FALSE),IF($A160="MAT",VLOOKUP($B160,'MAT1'!$B$16:$G$43,2,FALSE),IF($A160="MDEO",VLOOKUP($B160,MDEO!$B$16:$P$27,2,FALSE)))))</f>
        <v xml:space="preserve">ayudante </v>
      </c>
      <c r="D160" s="31">
        <f>IF($A160="EQUI",VLOOKUP($B160,EQUI!B$16:G$35,3,FALSE),IF($A160="TRAN",VLOOKUP($B160,TRAN!$B$16:$G$26,3,FALSE),IF($A160="MAT",VLOOKUP($B160,'MAT1'!$B$16:$G$43,3,FALSE),IF($A160="MDEO",VLOOKUP($B160,MDEO!$B$16:$P$27,3,FALSE)))))</f>
        <v>4833.333333333333</v>
      </c>
      <c r="E160" s="127"/>
      <c r="F160" s="32">
        <f>+D160+D160*E160</f>
        <v>4833.333333333333</v>
      </c>
      <c r="G160" s="130">
        <v>1.4999999999999999E-2</v>
      </c>
      <c r="H160" s="128">
        <f>G160*F160</f>
        <v>72.499999999999986</v>
      </c>
      <c r="I160" s="50"/>
      <c r="K160" s="119">
        <f>+G160*$G$143</f>
        <v>80.774999999999991</v>
      </c>
    </row>
    <row r="161" spans="1:11" ht="12.75" customHeight="1" x14ac:dyDescent="0.3">
      <c r="A161" s="51" t="s">
        <v>4</v>
      </c>
      <c r="B161" s="131" t="s">
        <v>178</v>
      </c>
      <c r="C161" s="126" t="str">
        <f>IF($A161="EQUI",VLOOKUP($B161,EQUI!B$16:G$37,2,FALSE),IF($A161="TRAN",VLOOKUP($B161,TRAN!$B$16:$G$26,2,FALSE),IF($A161="MAT",VLOOKUP($B161,'MAT1'!$B$16:$G$43,2,FALSE),IF($A161="MDEO",VLOOKUP($B161,MDEO!$B$16:$P$33,2,FALSE)))))</f>
        <v>contra maestro</v>
      </c>
      <c r="D161" s="31">
        <f>IF($A161="EQUI",VLOOKUP($B161,EQUI!B$16:G$35,3,FALSE),IF($A161="TRAN",VLOOKUP($B161,TRAN!$B$16:$G$26,3,FALSE),IF($A161="MAT",VLOOKUP($B161,'MAT1'!$B$16:$G$43,3,FALSE),IF($A161="MDEO",VLOOKUP($B161,MDEO!$B$16:$P$33,3,FALSE)))))</f>
        <v>5208.333333333333</v>
      </c>
      <c r="E161" s="127"/>
      <c r="F161" s="32">
        <f>+D161+D161*E161</f>
        <v>5208.333333333333</v>
      </c>
      <c r="G161" s="130">
        <f>+G160*0.1</f>
        <v>1.5E-3</v>
      </c>
      <c r="H161" s="128">
        <f>G161*F161</f>
        <v>7.8125</v>
      </c>
      <c r="I161" s="50"/>
      <c r="K161" s="119">
        <f>+G161*$G$143</f>
        <v>8.0775000000000006</v>
      </c>
    </row>
    <row r="162" spans="1:11" ht="12.75" customHeight="1" x14ac:dyDescent="0.3">
      <c r="A162" s="879"/>
      <c r="B162" s="868"/>
      <c r="C162" s="115"/>
      <c r="D162" s="115"/>
      <c r="E162" s="115"/>
      <c r="F162" s="115"/>
      <c r="G162" s="115"/>
      <c r="H162" s="115"/>
      <c r="I162" s="50"/>
    </row>
    <row r="163" spans="1:11" ht="12.75" customHeight="1" x14ac:dyDescent="0.3">
      <c r="A163" s="49"/>
      <c r="B163" s="115"/>
      <c r="C163" s="115"/>
      <c r="D163" s="115"/>
      <c r="E163" s="115"/>
      <c r="F163" s="120" t="s">
        <v>32</v>
      </c>
      <c r="G163" s="121" t="str">
        <f>+B142</f>
        <v>2.2</v>
      </c>
      <c r="H163" s="120" t="s">
        <v>238</v>
      </c>
      <c r="I163" s="48">
        <f>SUM(H158:H162)</f>
        <v>80.312499999999986</v>
      </c>
    </row>
    <row r="164" spans="1:11" ht="12.75" customHeight="1" x14ac:dyDescent="0.3">
      <c r="A164" s="49" t="s">
        <v>54</v>
      </c>
      <c r="B164" s="115"/>
      <c r="C164" s="115"/>
      <c r="D164" s="115"/>
      <c r="E164" s="115"/>
      <c r="F164" s="115"/>
      <c r="G164" s="115"/>
      <c r="H164" s="116"/>
      <c r="I164" s="48">
        <f>I163*0.05</f>
        <v>4.0156249999999991</v>
      </c>
    </row>
    <row r="165" spans="1:11" ht="12.75" customHeight="1" x14ac:dyDescent="0.3">
      <c r="A165" s="49"/>
      <c r="B165" s="115"/>
      <c r="C165" s="115"/>
      <c r="D165" s="115"/>
      <c r="E165" s="115"/>
      <c r="F165" s="120" t="s">
        <v>55</v>
      </c>
      <c r="G165" s="116"/>
      <c r="H165" s="116"/>
      <c r="I165" s="48">
        <f>ROUND(I163+I164+I151+I147+I155,0)</f>
        <v>13084</v>
      </c>
    </row>
    <row r="166" spans="1:11" ht="12.75" customHeight="1" x14ac:dyDescent="0.3">
      <c r="A166" s="879" t="s">
        <v>56</v>
      </c>
      <c r="B166" s="868"/>
      <c r="C166" s="868"/>
      <c r="D166" s="868"/>
      <c r="E166" s="868" t="s">
        <v>57</v>
      </c>
      <c r="F166" s="868"/>
      <c r="G166" s="875" t="s">
        <v>58</v>
      </c>
      <c r="H166" s="875"/>
      <c r="I166" s="48"/>
    </row>
    <row r="167" spans="1:11" ht="12.75" customHeight="1" x14ac:dyDescent="0.3">
      <c r="A167" s="879" t="s">
        <v>208</v>
      </c>
      <c r="B167" s="868"/>
      <c r="C167" s="868"/>
      <c r="D167" s="868"/>
      <c r="E167" s="876">
        <v>0.02</v>
      </c>
      <c r="F167" s="876"/>
      <c r="G167" s="875">
        <f>+I165*E167</f>
        <v>261.68</v>
      </c>
      <c r="H167" s="875"/>
      <c r="I167" s="48"/>
    </row>
    <row r="168" spans="1:11" ht="12.75" customHeight="1" x14ac:dyDescent="0.3">
      <c r="A168" s="879" t="s">
        <v>5</v>
      </c>
      <c r="B168" s="868"/>
      <c r="C168" s="868"/>
      <c r="D168" s="868"/>
      <c r="E168" s="876">
        <v>0.23</v>
      </c>
      <c r="F168" s="876"/>
      <c r="G168" s="875">
        <f>+E168*I165</f>
        <v>3009.32</v>
      </c>
      <c r="H168" s="875"/>
      <c r="I168" s="48"/>
    </row>
    <row r="169" spans="1:11" ht="12.75" customHeight="1" x14ac:dyDescent="0.3">
      <c r="A169" s="879" t="s">
        <v>6</v>
      </c>
      <c r="B169" s="868"/>
      <c r="C169" s="868"/>
      <c r="D169" s="868"/>
      <c r="E169" s="876">
        <v>0.05</v>
      </c>
      <c r="F169" s="876"/>
      <c r="G169" s="875">
        <f>+E169*I165</f>
        <v>654.20000000000005</v>
      </c>
      <c r="H169" s="875"/>
      <c r="I169" s="48"/>
    </row>
    <row r="170" spans="1:11" ht="12.75" customHeight="1" x14ac:dyDescent="0.3">
      <c r="A170" s="879" t="s">
        <v>207</v>
      </c>
      <c r="B170" s="868"/>
      <c r="C170" s="868"/>
      <c r="D170" s="868"/>
      <c r="E170" s="876">
        <v>0.02</v>
      </c>
      <c r="F170" s="876"/>
      <c r="G170" s="875">
        <f>+E170*I165</f>
        <v>261.68</v>
      </c>
      <c r="H170" s="875"/>
      <c r="I170" s="48"/>
    </row>
    <row r="171" spans="1:11" ht="12.75" customHeight="1" x14ac:dyDescent="0.3">
      <c r="A171" s="880" t="s">
        <v>397</v>
      </c>
      <c r="B171" s="867"/>
      <c r="C171" s="867"/>
      <c r="D171" s="867"/>
      <c r="E171" s="867"/>
      <c r="F171" s="867"/>
      <c r="G171" s="867"/>
      <c r="H171" s="867"/>
      <c r="I171" s="48">
        <f>+G170+G168+G169+G167</f>
        <v>4186.88</v>
      </c>
    </row>
    <row r="172" spans="1:11" ht="12.75" customHeight="1" x14ac:dyDescent="0.3">
      <c r="A172" s="880" t="s">
        <v>59</v>
      </c>
      <c r="B172" s="867"/>
      <c r="C172" s="867"/>
      <c r="D172" s="867"/>
      <c r="E172" s="867"/>
      <c r="F172" s="867"/>
      <c r="G172" s="867"/>
      <c r="H172" s="867"/>
      <c r="I172" s="48">
        <f>+I171+I165</f>
        <v>17270.88</v>
      </c>
    </row>
    <row r="173" spans="1:11" ht="12.75" customHeight="1" x14ac:dyDescent="0.3">
      <c r="A173" s="93"/>
      <c r="B173" s="65"/>
      <c r="C173" s="65"/>
      <c r="D173" s="65"/>
      <c r="E173" s="65"/>
      <c r="F173" s="65"/>
      <c r="G173" s="65"/>
      <c r="H173" s="65"/>
      <c r="I173" s="48"/>
    </row>
    <row r="174" spans="1:11" ht="12.75" customHeight="1" x14ac:dyDescent="0.3">
      <c r="A174" s="881" t="s">
        <v>114</v>
      </c>
      <c r="B174" s="604"/>
      <c r="C174" s="604"/>
      <c r="D174" s="65"/>
      <c r="E174" s="65"/>
      <c r="F174" s="604" t="s">
        <v>396</v>
      </c>
      <c r="G174" s="604"/>
      <c r="H174" s="604"/>
      <c r="I174" s="894"/>
    </row>
    <row r="175" spans="1:11" ht="12.75" customHeight="1" x14ac:dyDescent="0.3">
      <c r="A175" s="92" t="s">
        <v>111</v>
      </c>
      <c r="B175" s="868"/>
      <c r="C175" s="868"/>
      <c r="D175" s="115"/>
      <c r="E175" s="115"/>
      <c r="F175" s="116" t="s">
        <v>111</v>
      </c>
      <c r="G175" s="868"/>
      <c r="H175" s="868"/>
      <c r="I175" s="884"/>
    </row>
    <row r="176" spans="1:11" ht="12.75" customHeight="1" x14ac:dyDescent="0.3">
      <c r="A176" s="132" t="s">
        <v>115</v>
      </c>
      <c r="B176" s="868" t="str">
        <f>VLOOKUP(A176,[6]INICIO!$E$6:$H$26,2,FALSE)</f>
        <v>LINA MARCELA</v>
      </c>
      <c r="C176" s="868"/>
      <c r="F176" s="86" t="s">
        <v>112</v>
      </c>
      <c r="G176" s="868"/>
      <c r="H176" s="868"/>
      <c r="I176" s="884"/>
    </row>
    <row r="177" spans="1:9" ht="12.75" customHeight="1" x14ac:dyDescent="0.3">
      <c r="A177" s="132" t="s">
        <v>113</v>
      </c>
      <c r="B177" s="868" t="str">
        <f>VLOOKUP(A176,[6]INICIO!$E$6:$H$26,4,FALSE)</f>
        <v>05202-316814 ANT</v>
      </c>
      <c r="C177" s="868"/>
      <c r="F177" s="86" t="s">
        <v>113</v>
      </c>
      <c r="G177" s="868"/>
      <c r="H177" s="868"/>
      <c r="I177" s="884"/>
    </row>
    <row r="178" spans="1:9" ht="12.75" customHeight="1" x14ac:dyDescent="0.3">
      <c r="A178" s="132"/>
      <c r="B178" s="116"/>
      <c r="C178" s="116"/>
      <c r="F178" s="86"/>
      <c r="G178" s="116"/>
      <c r="H178" s="116"/>
      <c r="I178" s="95"/>
    </row>
    <row r="179" spans="1:9" ht="12.75" customHeight="1" x14ac:dyDescent="0.3">
      <c r="A179" s="872" t="s">
        <v>110</v>
      </c>
      <c r="B179" s="869"/>
      <c r="C179" s="869"/>
      <c r="D179" s="869"/>
      <c r="E179" s="869"/>
      <c r="F179" s="869"/>
      <c r="G179" s="869"/>
      <c r="H179" s="869"/>
      <c r="I179" s="873"/>
    </row>
    <row r="180" spans="1:9" ht="12.75" customHeight="1" x14ac:dyDescent="0.3">
      <c r="A180" s="870"/>
      <c r="B180" s="691"/>
      <c r="C180" s="691"/>
      <c r="D180" s="691"/>
      <c r="E180" s="691"/>
      <c r="F180" s="691"/>
      <c r="G180" s="691"/>
      <c r="H180" s="691"/>
      <c r="I180" s="871"/>
    </row>
    <row r="181" spans="1:9" ht="12.75" customHeight="1" x14ac:dyDescent="0.3">
      <c r="A181" s="872"/>
      <c r="B181" s="869"/>
      <c r="C181" s="869"/>
      <c r="D181" s="869"/>
      <c r="E181" s="869"/>
      <c r="F181" s="869"/>
      <c r="G181" s="869"/>
      <c r="H181" s="869"/>
      <c r="I181" s="873"/>
    </row>
    <row r="182" spans="1:9" ht="12.75" customHeight="1" x14ac:dyDescent="0.3">
      <c r="A182" s="891" t="s">
        <v>68</v>
      </c>
      <c r="B182" s="892"/>
      <c r="C182" s="892"/>
      <c r="D182" s="892"/>
      <c r="E182" s="892"/>
      <c r="F182" s="892"/>
      <c r="G182" s="892"/>
      <c r="H182" s="892"/>
      <c r="I182" s="893"/>
    </row>
    <row r="183" spans="1:9" ht="12.75" customHeight="1" x14ac:dyDescent="0.3">
      <c r="A183" s="94" t="s">
        <v>69</v>
      </c>
      <c r="B183" s="112" t="s">
        <v>214</v>
      </c>
      <c r="C183" s="604" t="s">
        <v>70</v>
      </c>
      <c r="D183" s="868" t="str">
        <f>VLOOKUP(B183,[6]PRESUPUESTO!$A$18:$I$90,3,FALSE)</f>
        <v>REALCE DE VALVULA DE ACUEDUCTO</v>
      </c>
      <c r="E183" s="868"/>
      <c r="F183" s="868"/>
      <c r="G183" s="868"/>
      <c r="H183" s="868"/>
      <c r="I183" s="884"/>
    </row>
    <row r="184" spans="1:9" ht="12.75" customHeight="1" x14ac:dyDescent="0.3">
      <c r="A184" s="94" t="s">
        <v>71</v>
      </c>
      <c r="B184" s="112" t="str">
        <f>VLOOKUP(B183,[6]PRESUPUESTO!$A$18:$I$90,2,FALSE)</f>
        <v>PAR_03</v>
      </c>
      <c r="C184" s="604"/>
      <c r="D184" s="140" t="s">
        <v>12</v>
      </c>
      <c r="E184" s="113" t="s">
        <v>12</v>
      </c>
      <c r="F184" s="113" t="s">
        <v>13</v>
      </c>
      <c r="G184" s="113">
        <f>VLOOKUP(B184,[6]PRESUPUESTO!$B$15:$I$119,5,FALSE)</f>
        <v>4</v>
      </c>
      <c r="H184" s="114" t="s">
        <v>27</v>
      </c>
      <c r="I184" s="46">
        <f>+I208</f>
        <v>101748</v>
      </c>
    </row>
    <row r="185" spans="1:9" ht="12.75" customHeight="1" x14ac:dyDescent="0.3">
      <c r="A185" s="47" t="s">
        <v>14</v>
      </c>
      <c r="B185" s="3"/>
      <c r="C185" s="115"/>
      <c r="D185" s="115"/>
      <c r="E185" s="115"/>
      <c r="F185" s="115"/>
      <c r="G185" s="115"/>
      <c r="H185" s="115"/>
      <c r="I185" s="48"/>
    </row>
    <row r="186" spans="1:9" ht="12.75" customHeight="1" x14ac:dyDescent="0.3">
      <c r="A186" s="879" t="s">
        <v>19</v>
      </c>
      <c r="B186" s="868"/>
      <c r="C186" s="868"/>
      <c r="D186" s="868"/>
      <c r="E186" s="868"/>
      <c r="F186" s="116" t="s">
        <v>28</v>
      </c>
      <c r="G186" s="116" t="s">
        <v>29</v>
      </c>
      <c r="H186" s="116" t="s">
        <v>30</v>
      </c>
      <c r="I186" s="50"/>
    </row>
    <row r="187" spans="1:9" ht="12.75" customHeight="1" x14ac:dyDescent="0.3">
      <c r="A187" s="92" t="s">
        <v>1</v>
      </c>
      <c r="B187" s="117"/>
      <c r="C187" s="878"/>
      <c r="D187" s="878"/>
      <c r="E187" s="878"/>
      <c r="F187" s="123"/>
      <c r="G187" s="115"/>
      <c r="H187" s="118">
        <f>+F187*G187</f>
        <v>0</v>
      </c>
      <c r="I187" s="50"/>
    </row>
    <row r="188" spans="1:9" ht="12.75" customHeight="1" x14ac:dyDescent="0.3">
      <c r="A188" s="49"/>
      <c r="B188" s="115"/>
      <c r="C188" s="115"/>
      <c r="D188" s="115"/>
      <c r="E188" s="115"/>
      <c r="F188" s="120" t="s">
        <v>32</v>
      </c>
      <c r="G188" s="121" t="str">
        <f>+B183</f>
        <v>2.3</v>
      </c>
      <c r="H188" s="121" t="s">
        <v>239</v>
      </c>
      <c r="I188" s="48">
        <f>SUM(H187:H187)</f>
        <v>0</v>
      </c>
    </row>
    <row r="189" spans="1:9" ht="12.75" customHeight="1" x14ac:dyDescent="0.3">
      <c r="A189" s="47" t="s">
        <v>34</v>
      </c>
      <c r="B189" s="3"/>
      <c r="C189" s="115"/>
      <c r="D189" s="115"/>
      <c r="E189" s="115"/>
      <c r="F189" s="115"/>
      <c r="G189" s="115"/>
      <c r="H189" s="115"/>
      <c r="I189" s="50"/>
    </row>
    <row r="190" spans="1:9" ht="12.75" customHeight="1" x14ac:dyDescent="0.3">
      <c r="A190" s="879" t="s">
        <v>35</v>
      </c>
      <c r="B190" s="868"/>
      <c r="C190" s="868"/>
      <c r="D190" s="868"/>
      <c r="E190" s="116" t="s">
        <v>12</v>
      </c>
      <c r="F190" s="116" t="s">
        <v>36</v>
      </c>
      <c r="G190" s="116" t="s">
        <v>37</v>
      </c>
      <c r="H190" s="116" t="s">
        <v>38</v>
      </c>
      <c r="I190" s="50"/>
    </row>
    <row r="191" spans="1:9" ht="12.75" customHeight="1" x14ac:dyDescent="0.3">
      <c r="A191" s="92" t="s">
        <v>522</v>
      </c>
      <c r="B191" s="117" t="s">
        <v>148</v>
      </c>
      <c r="C191" s="878" t="str">
        <f>IF($A191="EQUI",VLOOKUP($B191,EQUI!B$16:G$35,2,FALSE),IF($A191="TRAN",VLOOKUP($B191,TRAN!$B$16:$G$26,2,FALSE),IF($A191="MAT1",VLOOKUP($B191,'MAT1'!$B$16:$G$43,2,FALSE),IF($A191="MAT2",VLOOKUP($B191,'MAT2'!$B$16:$G$35,2,FALSE),IF($A191="MDEO",VLOOKUP($B191,MDEO!$B$16:$P$27,2,FALSE))))))</f>
        <v>niple 6"</v>
      </c>
      <c r="D191" s="878"/>
      <c r="E191" s="123" t="str">
        <f>IF($A191="EQUI",VLOOKUP($B191,EQUI!B$16:G$35,3,FALSE),IF($A191="TRAN",VLOOKUP($B191,TRAN!$B$16:$G$26,3,FALSE),IF($A191="MAT1",VLOOKUP($B191,'MAT1'!$B$16:$G$43,3,FALSE),IF($A191="MAT2",VLOOKUP($B191,'MAT1'!$B$16:$G$43,3,FALSE),IF($A191="MDEO",VLOOKUP($B191,MDEO!$B$16:$P$27,3,FALSE))))))</f>
        <v>Unidad</v>
      </c>
      <c r="F191" s="123">
        <f>IF($A191="EQUI",VLOOKUP($B191,EQUI!B$16:G$35,4,FALSE),IF($A191="TRAN",VLOOKUP($B191,TRAN!$B$16:$G$26,4,FALSE),IF($A191="MAT1",VLOOKUP($B191,'MAT1'!$B$16:$G$43,4,FALSE),IF($A191="MAT2",VLOOKUP($B191,'MAT2'!$B$16:$G$34,4,FALSE),IF($A191="MDEO",VLOOKUP($B191,MDEO!$B$16:$P$27,4,FALSE))))))</f>
        <v>85000</v>
      </c>
      <c r="G191" s="115">
        <v>1</v>
      </c>
      <c r="H191" s="118">
        <f>G191*F191</f>
        <v>85000</v>
      </c>
      <c r="I191" s="50"/>
    </row>
    <row r="192" spans="1:9" ht="12.75" customHeight="1" x14ac:dyDescent="0.3">
      <c r="A192" s="49"/>
      <c r="B192" s="115"/>
      <c r="C192" s="115"/>
      <c r="D192" s="115"/>
      <c r="E192" s="115"/>
      <c r="F192" s="120" t="s">
        <v>32</v>
      </c>
      <c r="G192" s="121" t="str">
        <f>+B183</f>
        <v>2.3</v>
      </c>
      <c r="H192" s="121" t="s">
        <v>240</v>
      </c>
      <c r="I192" s="50">
        <f>SUM(H191:H191)</f>
        <v>85000</v>
      </c>
    </row>
    <row r="193" spans="1:12" ht="12.75" customHeight="1" x14ac:dyDescent="0.3">
      <c r="A193" s="47" t="s">
        <v>15</v>
      </c>
      <c r="B193" s="3"/>
      <c r="C193" s="115"/>
      <c r="D193" s="115"/>
      <c r="E193" s="115"/>
      <c r="F193" s="115"/>
      <c r="G193" s="115"/>
      <c r="H193" s="115"/>
      <c r="I193" s="50"/>
    </row>
    <row r="194" spans="1:12" ht="12.75" customHeight="1" x14ac:dyDescent="0.3">
      <c r="A194" s="879" t="s">
        <v>19</v>
      </c>
      <c r="B194" s="868"/>
      <c r="C194" s="868"/>
      <c r="D194" s="116" t="s">
        <v>43</v>
      </c>
      <c r="E194" s="116" t="s">
        <v>44</v>
      </c>
      <c r="F194" s="123" t="s">
        <v>45</v>
      </c>
      <c r="G194" s="116" t="s">
        <v>17</v>
      </c>
      <c r="H194" s="116" t="s">
        <v>30</v>
      </c>
      <c r="I194" s="50"/>
    </row>
    <row r="195" spans="1:12" ht="12.75" customHeight="1" x14ac:dyDescent="0.3">
      <c r="A195" s="51" t="s">
        <v>3</v>
      </c>
      <c r="B195" s="122"/>
      <c r="C195" s="135"/>
      <c r="D195" s="116"/>
      <c r="E195" s="115"/>
      <c r="F195" s="115"/>
      <c r="G195" s="115"/>
      <c r="H195" s="115">
        <f>+G195*F195</f>
        <v>0</v>
      </c>
      <c r="I195" s="50"/>
    </row>
    <row r="196" spans="1:12" ht="12.75" customHeight="1" x14ac:dyDescent="0.3">
      <c r="A196" s="51" t="s">
        <v>3</v>
      </c>
      <c r="B196" s="122"/>
      <c r="C196" s="115"/>
      <c r="D196" s="115"/>
      <c r="E196" s="115"/>
      <c r="F196" s="115"/>
      <c r="G196" s="115"/>
      <c r="H196" s="115"/>
      <c r="I196" s="50"/>
    </row>
    <row r="197" spans="1:12" ht="12.75" customHeight="1" x14ac:dyDescent="0.3">
      <c r="A197" s="51" t="s">
        <v>3</v>
      </c>
      <c r="B197" s="122"/>
      <c r="C197" s="115"/>
      <c r="D197" s="115"/>
      <c r="E197" s="115"/>
      <c r="F197" s="115"/>
      <c r="G197" s="115"/>
      <c r="H197" s="115"/>
      <c r="I197" s="50"/>
    </row>
    <row r="198" spans="1:12" ht="12.75" customHeight="1" x14ac:dyDescent="0.3">
      <c r="A198" s="49"/>
      <c r="B198" s="115"/>
      <c r="C198" s="115"/>
      <c r="D198" s="115"/>
      <c r="E198" s="115"/>
      <c r="F198" s="120" t="s">
        <v>32</v>
      </c>
      <c r="G198" s="121" t="str">
        <f>+B183</f>
        <v>2.3</v>
      </c>
      <c r="H198" s="121" t="s">
        <v>241</v>
      </c>
      <c r="I198" s="50">
        <f>SUM(H195:H197)</f>
        <v>0</v>
      </c>
    </row>
    <row r="199" spans="1:12" ht="12.75" customHeight="1" x14ac:dyDescent="0.3">
      <c r="A199" s="47"/>
      <c r="B199" s="3"/>
      <c r="C199" s="115"/>
      <c r="D199" s="115"/>
      <c r="E199" s="115"/>
      <c r="F199" s="115"/>
      <c r="G199" s="115"/>
      <c r="H199" s="115"/>
      <c r="I199" s="50"/>
    </row>
    <row r="200" spans="1:12" s="125" customFormat="1" ht="12.75" customHeight="1" x14ac:dyDescent="0.3">
      <c r="A200" s="895" t="s">
        <v>47</v>
      </c>
      <c r="B200" s="874"/>
      <c r="C200" s="874"/>
      <c r="D200" s="123" t="s">
        <v>48</v>
      </c>
      <c r="E200" s="123" t="s">
        <v>109</v>
      </c>
      <c r="F200" s="124" t="s">
        <v>49</v>
      </c>
      <c r="G200" s="124" t="s">
        <v>29</v>
      </c>
      <c r="H200" s="123" t="s">
        <v>30</v>
      </c>
      <c r="I200" s="52"/>
      <c r="L200" s="200"/>
    </row>
    <row r="201" spans="1:12" ht="12.75" customHeight="1" x14ac:dyDescent="0.3">
      <c r="A201" s="51" t="s">
        <v>4</v>
      </c>
      <c r="B201" s="131" t="s">
        <v>175</v>
      </c>
      <c r="C201" s="126" t="str">
        <f>IF($A201="EQUI",VLOOKUP($B201,EQUI!B$16:G$37,2,FALSE),IF($A201="TRAN",VLOOKUP($B201,TRAN!$B$16:$G$26,2,FALSE),IF($A201="MAT",VLOOKUP($B201,'MAT1'!$B$16:$G$43,2,FALSE),IF($A201="MDEO",VLOOKUP($B201,MDEO!$B$16:$P$27,2,FALSE)))))</f>
        <v xml:space="preserve">oficial </v>
      </c>
      <c r="D201" s="31">
        <f>IF($A201="EQUI",VLOOKUP($B201,EQUI!B$16:G$35,3,FALSE),IF($A201="TRAN",VLOOKUP($B201,TRAN!$B$16:$G$26,3,FALSE),IF($A201="MAT",VLOOKUP($B201,'MAT1'!$B$16:$G$43,3,FALSE),IF($A201="MDEO",VLOOKUP($B201,MDEO!$B$16:$P$27,3,FALSE)))))</f>
        <v>4833.333333333333</v>
      </c>
      <c r="E201" s="127"/>
      <c r="F201" s="32">
        <f>+D201+D201*E201</f>
        <v>4833.333333333333</v>
      </c>
      <c r="G201" s="130">
        <v>1.1000000000000001</v>
      </c>
      <c r="H201" s="128">
        <f>G201*F201</f>
        <v>5316.666666666667</v>
      </c>
      <c r="I201" s="50"/>
    </row>
    <row r="202" spans="1:12" ht="12.75" customHeight="1" x14ac:dyDescent="0.3">
      <c r="A202" s="51" t="s">
        <v>4</v>
      </c>
      <c r="B202" s="131" t="s">
        <v>176</v>
      </c>
      <c r="C202" s="126" t="str">
        <f>IF($A202="EQUI",VLOOKUP($B202,EQUI!B$16:G$37,2,FALSE),IF($A202="TRAN",VLOOKUP($B202,TRAN!$B$16:$G$26,2,FALSE),IF($A202="MAT",VLOOKUP($B202,'MAT1'!$B$16:$G$43,2,FALSE),IF($A202="MDEO",VLOOKUP($B202,MDEO!$B$16:$P$27,2,FALSE)))))</f>
        <v xml:space="preserve">ayudante entendido </v>
      </c>
      <c r="D202" s="31">
        <f>IF($A202="EQUI",VLOOKUP($B202,EQUI!B$16:G$35,3,FALSE),IF($A202="TRAN",VLOOKUP($B202,TRAN!$B$16:$G$26,3,FALSE),IF($A202="MAT",VLOOKUP($B202,'MAT1'!$B$16:$G$43,3,FALSE),IF($A202="MDEO",VLOOKUP($B202,MDEO!$B$16:$P$27,3,FALSE)))))</f>
        <v>4833.333333333333</v>
      </c>
      <c r="E202" s="127"/>
      <c r="F202" s="32">
        <f>+D202+D202*E202</f>
        <v>4833.333333333333</v>
      </c>
      <c r="G202" s="130">
        <v>1.1000000000000001</v>
      </c>
      <c r="H202" s="128">
        <f>G202*F202</f>
        <v>5316.666666666667</v>
      </c>
      <c r="I202" s="50"/>
    </row>
    <row r="203" spans="1:12" ht="12.75" customHeight="1" x14ac:dyDescent="0.3">
      <c r="A203" s="51" t="s">
        <v>4</v>
      </c>
      <c r="B203" s="131" t="s">
        <v>177</v>
      </c>
      <c r="C203" s="126" t="str">
        <f>IF($A203="EQUI",VLOOKUP($B203,EQUI!B$16:G$37,2,FALSE),IF($A203="TRAN",VLOOKUP($B203,TRAN!$B$16:$G$26,2,FALSE),IF($A203="MAT",VLOOKUP($B203,'MAT1'!$B$16:$G$43,2,FALSE),IF($A203="MDEO",VLOOKUP($B203,MDEO!$B$16:$P$27,2,FALSE)))))</f>
        <v xml:space="preserve">ayudante </v>
      </c>
      <c r="D203" s="31">
        <f>IF($A203="EQUI",VLOOKUP($B203,EQUI!B$16:G$35,3,FALSE),IF($A203="TRAN",VLOOKUP($B203,TRAN!$B$16:$G$26,3,FALSE),IF($A203="MAT",VLOOKUP($B203,'MAT1'!$B$16:$G$43,3,FALSE),IF($A203="MDEO",VLOOKUP($B203,MDEO!$B$16:$P$27,3,FALSE)))))</f>
        <v>4833.333333333333</v>
      </c>
      <c r="E203" s="127"/>
      <c r="F203" s="32">
        <f>+D203+D203*E203</f>
        <v>4833.333333333333</v>
      </c>
      <c r="G203" s="130">
        <v>1.1000000000000001</v>
      </c>
      <c r="H203" s="128">
        <f>G203*F203</f>
        <v>5316.666666666667</v>
      </c>
      <c r="I203" s="50"/>
    </row>
    <row r="204" spans="1:12" ht="12.75" customHeight="1" x14ac:dyDescent="0.3">
      <c r="A204" s="51" t="s">
        <v>4</v>
      </c>
      <c r="B204" s="131" t="s">
        <v>178</v>
      </c>
      <c r="C204" s="126" t="str">
        <f>IF($A204="EQUI",VLOOKUP($B204,EQUI!B$16:G$37,2,FALSE),IF($A204="TRAN",VLOOKUP($B204,TRAN!$B$16:$G$26,2,FALSE),IF($A204="MAT",VLOOKUP($B204,'MAT1'!$B$16:$G$43,2,FALSE),IF($A204="MDEO",VLOOKUP($B204,MDEO!$B$16:$P$33,2,FALSE)))))</f>
        <v>contra maestro</v>
      </c>
      <c r="D204" s="31">
        <f>IF($A204="EQUI",VLOOKUP($B204,EQUI!B$16:G$35,3,FALSE),IF($A204="TRAN",VLOOKUP($B204,TRAN!$B$16:$G$26,3,FALSE),IF($A204="MAT",VLOOKUP($B204,'MAT1'!$B$16:$G$43,3,FALSE),IF($A204="MDEO",VLOOKUP($B204,MDEO!$B$16:$P$33,3,FALSE)))))</f>
        <v>5208.333333333333</v>
      </c>
      <c r="E204" s="127"/>
      <c r="F204" s="129"/>
      <c r="G204" s="130"/>
      <c r="H204" s="128"/>
      <c r="I204" s="50"/>
    </row>
    <row r="205" spans="1:12" ht="12.75" customHeight="1" x14ac:dyDescent="0.3">
      <c r="A205" s="879"/>
      <c r="B205" s="868"/>
      <c r="C205" s="115"/>
      <c r="D205" s="115"/>
      <c r="E205" s="115"/>
      <c r="F205" s="115"/>
      <c r="G205" s="115"/>
      <c r="H205" s="115"/>
      <c r="I205" s="50"/>
    </row>
    <row r="206" spans="1:12" ht="12.75" customHeight="1" x14ac:dyDescent="0.3">
      <c r="A206" s="49"/>
      <c r="B206" s="115"/>
      <c r="C206" s="115"/>
      <c r="D206" s="115"/>
      <c r="E206" s="115"/>
      <c r="F206" s="120" t="s">
        <v>32</v>
      </c>
      <c r="G206" s="121" t="str">
        <f>+B183</f>
        <v>2.3</v>
      </c>
      <c r="H206" s="120" t="s">
        <v>242</v>
      </c>
      <c r="I206" s="48">
        <f>SUM(H201:H205)</f>
        <v>15950</v>
      </c>
    </row>
    <row r="207" spans="1:12" ht="12.75" customHeight="1" x14ac:dyDescent="0.3">
      <c r="A207" s="49" t="s">
        <v>54</v>
      </c>
      <c r="B207" s="115"/>
      <c r="C207" s="115"/>
      <c r="D207" s="115"/>
      <c r="E207" s="115"/>
      <c r="F207" s="115"/>
      <c r="G207" s="115"/>
      <c r="H207" s="116"/>
      <c r="I207" s="48">
        <f>I206*0.05</f>
        <v>797.5</v>
      </c>
    </row>
    <row r="208" spans="1:12" ht="12.75" customHeight="1" x14ac:dyDescent="0.3">
      <c r="A208" s="49"/>
      <c r="B208" s="115"/>
      <c r="C208" s="115"/>
      <c r="D208" s="115"/>
      <c r="E208" s="115"/>
      <c r="F208" s="120" t="s">
        <v>55</v>
      </c>
      <c r="G208" s="116"/>
      <c r="H208" s="116"/>
      <c r="I208" s="48">
        <f>ROUND(I206+I207+I192+I188+I198,0)</f>
        <v>101748</v>
      </c>
    </row>
    <row r="209" spans="1:9" ht="12.75" customHeight="1" x14ac:dyDescent="0.3">
      <c r="A209" s="879" t="s">
        <v>56</v>
      </c>
      <c r="B209" s="868"/>
      <c r="C209" s="868"/>
      <c r="D209" s="868"/>
      <c r="E209" s="868" t="s">
        <v>57</v>
      </c>
      <c r="F209" s="868"/>
      <c r="G209" s="875" t="s">
        <v>58</v>
      </c>
      <c r="H209" s="875"/>
      <c r="I209" s="48"/>
    </row>
    <row r="210" spans="1:9" ht="12.75" customHeight="1" x14ac:dyDescent="0.3">
      <c r="A210" s="879" t="s">
        <v>208</v>
      </c>
      <c r="B210" s="868"/>
      <c r="C210" s="868"/>
      <c r="D210" s="868"/>
      <c r="E210" s="876">
        <v>0.02</v>
      </c>
      <c r="F210" s="876"/>
      <c r="G210" s="875">
        <f>+I208*E210</f>
        <v>2034.96</v>
      </c>
      <c r="H210" s="875"/>
      <c r="I210" s="48"/>
    </row>
    <row r="211" spans="1:9" ht="12.75" customHeight="1" x14ac:dyDescent="0.3">
      <c r="A211" s="879" t="s">
        <v>5</v>
      </c>
      <c r="B211" s="868"/>
      <c r="C211" s="868"/>
      <c r="D211" s="868"/>
      <c r="E211" s="876">
        <v>0.23</v>
      </c>
      <c r="F211" s="876"/>
      <c r="G211" s="875">
        <f>+E211*I208</f>
        <v>23402.04</v>
      </c>
      <c r="H211" s="875"/>
      <c r="I211" s="48"/>
    </row>
    <row r="212" spans="1:9" ht="12.75" customHeight="1" x14ac:dyDescent="0.3">
      <c r="A212" s="879" t="s">
        <v>6</v>
      </c>
      <c r="B212" s="868"/>
      <c r="C212" s="868"/>
      <c r="D212" s="868"/>
      <c r="E212" s="876">
        <v>0.05</v>
      </c>
      <c r="F212" s="876"/>
      <c r="G212" s="875">
        <f>+E212*I208</f>
        <v>5087.4000000000005</v>
      </c>
      <c r="H212" s="875"/>
      <c r="I212" s="48"/>
    </row>
    <row r="213" spans="1:9" ht="12.75" customHeight="1" x14ac:dyDescent="0.3">
      <c r="A213" s="879" t="s">
        <v>207</v>
      </c>
      <c r="B213" s="868"/>
      <c r="C213" s="868"/>
      <c r="D213" s="868"/>
      <c r="E213" s="876">
        <v>0.02</v>
      </c>
      <c r="F213" s="876"/>
      <c r="G213" s="875">
        <f>+E213*I208</f>
        <v>2034.96</v>
      </c>
      <c r="H213" s="875"/>
      <c r="I213" s="48"/>
    </row>
    <row r="214" spans="1:9" ht="12.75" customHeight="1" x14ac:dyDescent="0.3">
      <c r="A214" s="880" t="s">
        <v>397</v>
      </c>
      <c r="B214" s="867"/>
      <c r="C214" s="867"/>
      <c r="D214" s="867"/>
      <c r="E214" s="867"/>
      <c r="F214" s="867"/>
      <c r="G214" s="867"/>
      <c r="H214" s="867"/>
      <c r="I214" s="48">
        <f>+G213+G211+G212+G210</f>
        <v>32559.360000000001</v>
      </c>
    </row>
    <row r="215" spans="1:9" ht="12.75" customHeight="1" x14ac:dyDescent="0.3">
      <c r="A215" s="880" t="s">
        <v>59</v>
      </c>
      <c r="B215" s="867"/>
      <c r="C215" s="867"/>
      <c r="D215" s="867"/>
      <c r="E215" s="867"/>
      <c r="F215" s="867"/>
      <c r="G215" s="867"/>
      <c r="H215" s="867"/>
      <c r="I215" s="48">
        <f>+I214+I208</f>
        <v>134307.35999999999</v>
      </c>
    </row>
    <row r="216" spans="1:9" ht="12.75" customHeight="1" x14ac:dyDescent="0.3">
      <c r="A216" s="93"/>
      <c r="B216" s="65"/>
      <c r="C216" s="65"/>
      <c r="D216" s="65"/>
      <c r="E216" s="65"/>
      <c r="F216" s="65"/>
      <c r="G216" s="65"/>
      <c r="H216" s="65"/>
      <c r="I216" s="48"/>
    </row>
    <row r="217" spans="1:9" ht="12.75" customHeight="1" x14ac:dyDescent="0.3">
      <c r="A217" s="881" t="s">
        <v>114</v>
      </c>
      <c r="B217" s="604"/>
      <c r="C217" s="604"/>
      <c r="D217" s="65"/>
      <c r="E217" s="65"/>
      <c r="F217" s="604" t="s">
        <v>396</v>
      </c>
      <c r="G217" s="604"/>
      <c r="H217" s="604"/>
      <c r="I217" s="894"/>
    </row>
    <row r="218" spans="1:9" ht="12.75" customHeight="1" x14ac:dyDescent="0.3">
      <c r="A218" s="92" t="s">
        <v>111</v>
      </c>
      <c r="B218" s="868"/>
      <c r="C218" s="868"/>
      <c r="D218" s="115"/>
      <c r="E218" s="115"/>
      <c r="F218" s="116" t="s">
        <v>111</v>
      </c>
      <c r="G218" s="868"/>
      <c r="H218" s="868"/>
      <c r="I218" s="884"/>
    </row>
    <row r="219" spans="1:9" ht="12.75" customHeight="1" x14ac:dyDescent="0.3">
      <c r="A219" s="132" t="s">
        <v>115</v>
      </c>
      <c r="B219" s="868" t="str">
        <f>VLOOKUP(A219,[6]INICIO!$E$6:$H$26,2,FALSE)</f>
        <v>LINA MARCELA</v>
      </c>
      <c r="C219" s="868"/>
      <c r="F219" s="86" t="s">
        <v>112</v>
      </c>
      <c r="G219" s="868"/>
      <c r="H219" s="868"/>
      <c r="I219" s="884"/>
    </row>
    <row r="220" spans="1:9" ht="12.75" customHeight="1" x14ac:dyDescent="0.3">
      <c r="A220" s="132" t="s">
        <v>113</v>
      </c>
      <c r="B220" s="868" t="str">
        <f>VLOOKUP(A219,[6]INICIO!$E$6:$H$26,4,FALSE)</f>
        <v>05202-316814 ANT</v>
      </c>
      <c r="C220" s="868"/>
      <c r="F220" s="86" t="s">
        <v>113</v>
      </c>
      <c r="G220" s="868"/>
      <c r="H220" s="868"/>
      <c r="I220" s="884"/>
    </row>
    <row r="221" spans="1:9" ht="12.75" customHeight="1" x14ac:dyDescent="0.3">
      <c r="A221" s="132"/>
      <c r="B221" s="116"/>
      <c r="C221" s="116"/>
      <c r="F221" s="86"/>
      <c r="G221" s="116"/>
      <c r="H221" s="116"/>
      <c r="I221" s="95"/>
    </row>
    <row r="222" spans="1:9" ht="12.75" customHeight="1" x14ac:dyDescent="0.3">
      <c r="A222" s="872" t="s">
        <v>110</v>
      </c>
      <c r="B222" s="869"/>
      <c r="C222" s="869"/>
      <c r="D222" s="869"/>
      <c r="E222" s="869"/>
      <c r="F222" s="869"/>
      <c r="G222" s="869"/>
      <c r="H222" s="869"/>
      <c r="I222" s="873"/>
    </row>
    <row r="223" spans="1:9" ht="12.75" customHeight="1" x14ac:dyDescent="0.3">
      <c r="A223" s="870"/>
      <c r="B223" s="691"/>
      <c r="C223" s="691"/>
      <c r="D223" s="691"/>
      <c r="E223" s="691"/>
      <c r="F223" s="691"/>
      <c r="G223" s="691"/>
      <c r="H223" s="691"/>
      <c r="I223" s="871"/>
    </row>
    <row r="224" spans="1:9" ht="12.75" customHeight="1" x14ac:dyDescent="0.3">
      <c r="A224" s="872"/>
      <c r="B224" s="869"/>
      <c r="C224" s="869"/>
      <c r="D224" s="869"/>
      <c r="E224" s="869"/>
      <c r="F224" s="869"/>
      <c r="G224" s="869"/>
      <c r="H224" s="869"/>
      <c r="I224" s="873"/>
    </row>
    <row r="225" spans="1:9" ht="12.75" customHeight="1" x14ac:dyDescent="0.3">
      <c r="A225" s="891" t="s">
        <v>68</v>
      </c>
      <c r="B225" s="892"/>
      <c r="C225" s="892"/>
      <c r="D225" s="892"/>
      <c r="E225" s="892"/>
      <c r="F225" s="892"/>
      <c r="G225" s="892"/>
      <c r="H225" s="892"/>
      <c r="I225" s="893"/>
    </row>
    <row r="226" spans="1:9" ht="12.75" customHeight="1" x14ac:dyDescent="0.3">
      <c r="A226" s="94" t="s">
        <v>69</v>
      </c>
      <c r="B226" s="112" t="s">
        <v>215</v>
      </c>
      <c r="C226" s="604" t="s">
        <v>70</v>
      </c>
      <c r="D226" s="868" t="str">
        <f>VLOOKUP(B226,[6]PRESUPUESTO!$A$18:$I$90,3,FALSE)</f>
        <v>REALCE DE CAJA INSPECCION CIRCULAR</v>
      </c>
      <c r="E226" s="868"/>
      <c r="F226" s="868"/>
      <c r="G226" s="868"/>
      <c r="H226" s="868"/>
      <c r="I226" s="884"/>
    </row>
    <row r="227" spans="1:9" ht="12.75" customHeight="1" x14ac:dyDescent="0.3">
      <c r="A227" s="94" t="s">
        <v>71</v>
      </c>
      <c r="B227" s="112" t="str">
        <f>VLOOKUP(B226,[6]PRESUPUESTO!$A$18:$I$90,2,FALSE)</f>
        <v>PAR_04</v>
      </c>
      <c r="C227" s="604"/>
      <c r="D227" s="140" t="s">
        <v>12</v>
      </c>
      <c r="E227" s="113" t="s">
        <v>12</v>
      </c>
      <c r="F227" s="113" t="s">
        <v>13</v>
      </c>
      <c r="G227" s="113">
        <f>VLOOKUP(B227,[6]PRESUPUESTO!$B$15:$I$119,5,FALSE)</f>
        <v>9</v>
      </c>
      <c r="H227" s="114" t="s">
        <v>27</v>
      </c>
      <c r="I227" s="46">
        <f>+I249</f>
        <v>381544</v>
      </c>
    </row>
    <row r="228" spans="1:9" ht="12.75" customHeight="1" x14ac:dyDescent="0.3">
      <c r="A228" s="47" t="s">
        <v>14</v>
      </c>
      <c r="B228" s="3"/>
      <c r="C228" s="115"/>
      <c r="D228" s="115"/>
      <c r="E228" s="115"/>
      <c r="F228" s="115"/>
      <c r="G228" s="115"/>
      <c r="H228" s="115"/>
      <c r="I228" s="48"/>
    </row>
    <row r="229" spans="1:9" ht="12.75" customHeight="1" x14ac:dyDescent="0.3">
      <c r="A229" s="879" t="s">
        <v>19</v>
      </c>
      <c r="B229" s="868"/>
      <c r="C229" s="868"/>
      <c r="D229" s="868"/>
      <c r="E229" s="868"/>
      <c r="F229" s="116" t="s">
        <v>28</v>
      </c>
      <c r="G229" s="116" t="s">
        <v>29</v>
      </c>
      <c r="H229" s="116" t="s">
        <v>30</v>
      </c>
      <c r="I229" s="50"/>
    </row>
    <row r="230" spans="1:9" ht="12.75" customHeight="1" x14ac:dyDescent="0.3">
      <c r="A230" s="92" t="s">
        <v>1</v>
      </c>
      <c r="B230" s="117"/>
      <c r="C230" s="878"/>
      <c r="D230" s="878"/>
      <c r="E230" s="878"/>
      <c r="F230" s="123"/>
      <c r="G230" s="115"/>
      <c r="H230" s="118">
        <f>+F230*G230</f>
        <v>0</v>
      </c>
      <c r="I230" s="50"/>
    </row>
    <row r="231" spans="1:9" ht="12.75" customHeight="1" x14ac:dyDescent="0.3">
      <c r="A231" s="49"/>
      <c r="B231" s="115"/>
      <c r="C231" s="115"/>
      <c r="D231" s="115"/>
      <c r="E231" s="115"/>
      <c r="F231" s="120" t="s">
        <v>32</v>
      </c>
      <c r="G231" s="121" t="str">
        <f>+B226</f>
        <v>2.4</v>
      </c>
      <c r="H231" s="121" t="s">
        <v>295</v>
      </c>
      <c r="I231" s="48">
        <f>SUM(H230:H230)</f>
        <v>0</v>
      </c>
    </row>
    <row r="232" spans="1:9" ht="12.75" customHeight="1" x14ac:dyDescent="0.3">
      <c r="A232" s="47" t="s">
        <v>34</v>
      </c>
      <c r="B232" s="3"/>
      <c r="C232" s="115"/>
      <c r="D232" s="115"/>
      <c r="E232" s="115"/>
      <c r="F232" s="115"/>
      <c r="G232" s="115"/>
      <c r="H232" s="115"/>
      <c r="I232" s="50"/>
    </row>
    <row r="233" spans="1:9" ht="12.75" customHeight="1" x14ac:dyDescent="0.3">
      <c r="A233" s="879" t="s">
        <v>35</v>
      </c>
      <c r="B233" s="868"/>
      <c r="C233" s="868"/>
      <c r="D233" s="868"/>
      <c r="E233" s="116" t="s">
        <v>12</v>
      </c>
      <c r="F233" s="116" t="s">
        <v>36</v>
      </c>
      <c r="G233" s="116" t="s">
        <v>37</v>
      </c>
      <c r="H233" s="116" t="s">
        <v>38</v>
      </c>
      <c r="I233" s="50"/>
    </row>
    <row r="234" spans="1:9" ht="12.75" customHeight="1" x14ac:dyDescent="0.3">
      <c r="A234" s="92" t="s">
        <v>522</v>
      </c>
      <c r="B234" s="117" t="s">
        <v>526</v>
      </c>
      <c r="C234" s="878" t="str">
        <f>IF($A234="EQUI",VLOOKUP($B234,EQUI!B$16:G$35,2,FALSE),IF($A234="TRAN",VLOOKUP($B234,TRAN!$B$16:$G$26,2,FALSE),IF($A234="MAT1",VLOOKUP($B234,'MAT1'!$B$16:$G$43,2,FALSE),IF($A234="MAT2",VLOOKUP($B234,'MAT2'!$B$16:$G$35,2,FALSE),IF($A234="MDEO",VLOOKUP($B234,MDEO!$B$16:$P$27,2,FALSE))))))</f>
        <v>herraje para cámara de inspección tipo MH</v>
      </c>
      <c r="D234" s="878"/>
      <c r="E234" s="123" t="str">
        <f>IF($A234="EQUI",VLOOKUP($B234,EQUI!B$16:G$35,3,FALSE),IF($A234="TRAN",VLOOKUP($B234,TRAN!$B$16:$G$26,3,FALSE),IF($A234="MAT1",VLOOKUP($B234,'MAT1'!$B$16:$G$43,3,FALSE),IF($A234="MAT2",VLOOKUP($B234,'MAT2'!$B$16:$G$45,3,FALSE),IF($A234="MDEO",VLOOKUP($B234,MDEO!$B$16:$P$27,3,FALSE))))))</f>
        <v>Unidad</v>
      </c>
      <c r="F234" s="123">
        <f>IF($A234="EQUI",VLOOKUP($B234,EQUI!B$16:G$35,4,FALSE),IF($A234="TRAN",VLOOKUP($B234,TRAN!$B$16:$G$26,4,FALSE),IF($A234="MAT1",VLOOKUP($B234,'MAT1'!$B$16:$G$43,4,FALSE),IF($A234="MAT2",VLOOKUP($B234,'MAT2'!$B$16:$G$34,4,FALSE),IF($A234="MDEO",VLOOKUP($B234,MDEO!$B$16:$P$27,4,FALSE))))))</f>
        <v>350000</v>
      </c>
      <c r="G234" s="115">
        <v>1</v>
      </c>
      <c r="H234" s="118">
        <f>G234*F234</f>
        <v>350000</v>
      </c>
      <c r="I234" s="50"/>
    </row>
    <row r="235" spans="1:9" ht="12.75" customHeight="1" x14ac:dyDescent="0.3">
      <c r="A235" s="49"/>
      <c r="B235" s="115"/>
      <c r="C235" s="115"/>
      <c r="D235" s="115"/>
      <c r="E235" s="115"/>
      <c r="F235" s="120" t="s">
        <v>32</v>
      </c>
      <c r="G235" s="121" t="str">
        <f>+B226</f>
        <v>2.4</v>
      </c>
      <c r="H235" s="121" t="s">
        <v>296</v>
      </c>
      <c r="I235" s="50">
        <f>SUM(H234:H234)</f>
        <v>350000</v>
      </c>
    </row>
    <row r="236" spans="1:9" ht="12.75" customHeight="1" x14ac:dyDescent="0.3">
      <c r="A236" s="47" t="s">
        <v>15</v>
      </c>
      <c r="B236" s="3"/>
      <c r="C236" s="115"/>
      <c r="D236" s="115"/>
      <c r="E236" s="115"/>
      <c r="F236" s="115"/>
      <c r="G236" s="115"/>
      <c r="H236" s="115"/>
      <c r="I236" s="50"/>
    </row>
    <row r="237" spans="1:9" ht="17.399999999999999" customHeight="1" x14ac:dyDescent="0.3">
      <c r="A237" s="879" t="s">
        <v>19</v>
      </c>
      <c r="B237" s="868"/>
      <c r="C237" s="868"/>
      <c r="D237" s="116" t="s">
        <v>43</v>
      </c>
      <c r="E237" s="116" t="s">
        <v>44</v>
      </c>
      <c r="F237" s="123" t="s">
        <v>45</v>
      </c>
      <c r="G237" s="116" t="s">
        <v>17</v>
      </c>
      <c r="H237" s="116" t="s">
        <v>30</v>
      </c>
      <c r="I237" s="50"/>
    </row>
    <row r="238" spans="1:9" ht="12.75" customHeight="1" x14ac:dyDescent="0.3">
      <c r="A238" s="51" t="s">
        <v>3</v>
      </c>
      <c r="B238" s="122"/>
      <c r="C238" s="135"/>
      <c r="D238" s="116"/>
      <c r="E238" s="115"/>
      <c r="F238" s="115"/>
      <c r="G238" s="115"/>
      <c r="H238" s="115">
        <f>+G238*F238</f>
        <v>0</v>
      </c>
      <c r="I238" s="50"/>
    </row>
    <row r="239" spans="1:9" ht="12.75" customHeight="1" x14ac:dyDescent="0.3">
      <c r="A239" s="49"/>
      <c r="B239" s="115"/>
      <c r="C239" s="115"/>
      <c r="D239" s="115"/>
      <c r="E239" s="115"/>
      <c r="F239" s="120" t="s">
        <v>32</v>
      </c>
      <c r="G239" s="121" t="str">
        <f>+B226</f>
        <v>2.4</v>
      </c>
      <c r="H239" s="121" t="s">
        <v>297</v>
      </c>
      <c r="I239" s="50">
        <f>SUM(H238:H238)</f>
        <v>0</v>
      </c>
    </row>
    <row r="240" spans="1:9" ht="12.75" customHeight="1" x14ac:dyDescent="0.3">
      <c r="A240" s="47"/>
      <c r="B240" s="3"/>
      <c r="C240" s="115"/>
      <c r="D240" s="115"/>
      <c r="E240" s="115"/>
      <c r="F240" s="115"/>
      <c r="G240" s="115"/>
      <c r="H240" s="115"/>
      <c r="I240" s="50"/>
    </row>
    <row r="241" spans="1:12" s="125" customFormat="1" ht="12.75" customHeight="1" x14ac:dyDescent="0.3">
      <c r="A241" s="895" t="s">
        <v>47</v>
      </c>
      <c r="B241" s="874"/>
      <c r="C241" s="874"/>
      <c r="D241" s="123" t="s">
        <v>48</v>
      </c>
      <c r="E241" s="123" t="s">
        <v>109</v>
      </c>
      <c r="F241" s="124" t="s">
        <v>49</v>
      </c>
      <c r="G241" s="124" t="s">
        <v>29</v>
      </c>
      <c r="H241" s="123" t="s">
        <v>30</v>
      </c>
      <c r="I241" s="52"/>
      <c r="L241" s="200"/>
    </row>
    <row r="242" spans="1:12" ht="12.75" customHeight="1" x14ac:dyDescent="0.3">
      <c r="A242" s="51" t="s">
        <v>4</v>
      </c>
      <c r="B242" s="131" t="s">
        <v>175</v>
      </c>
      <c r="C242" s="126" t="str">
        <f>IF($A242="EQUI",VLOOKUP($B242,EQUI!B$16:G$37,2,FALSE),IF($A242="TRAN",VLOOKUP($B242,TRAN!$B$16:$G$26,2,FALSE),IF($A242="MAT",VLOOKUP($B242,'MAT1'!$B$16:$G$43,2,FALSE),IF($A242="MDEO",VLOOKUP($B242,MDEO!$B$16:$P$27,2,FALSE)))))</f>
        <v xml:space="preserve">oficial </v>
      </c>
      <c r="D242" s="31">
        <f>IF($A242="EQUI",VLOOKUP($B242,EQUI!B$16:G$35,3,FALSE),IF($A242="TRAN",VLOOKUP($B242,TRAN!$B$16:$G$26,3,FALSE),IF($A242="MAT",VLOOKUP($B242,'MAT1'!$B$16:$G$43,3,FALSE),IF($A242="MDEO",VLOOKUP($B242,MDEO!$B$16:$P$27,3,FALSE)))))</f>
        <v>4833.333333333333</v>
      </c>
      <c r="E242" s="127"/>
      <c r="F242" s="32">
        <f>+D242+D242*E242</f>
        <v>4833.333333333333</v>
      </c>
      <c r="G242" s="130">
        <v>2</v>
      </c>
      <c r="H242" s="128">
        <f>G242*F242</f>
        <v>9666.6666666666661</v>
      </c>
      <c r="I242" s="50"/>
    </row>
    <row r="243" spans="1:12" ht="12.75" customHeight="1" x14ac:dyDescent="0.3">
      <c r="A243" s="51" t="s">
        <v>4</v>
      </c>
      <c r="B243" s="131" t="s">
        <v>176</v>
      </c>
      <c r="C243" s="126" t="str">
        <f>IF($A243="EQUI",VLOOKUP($B243,EQUI!B$16:G$37,2,FALSE),IF($A243="TRAN",VLOOKUP($B243,TRAN!$B$16:$G$26,2,FALSE),IF($A243="MAT",VLOOKUP($B243,'MAT1'!$B$16:$G$43,2,FALSE),IF($A243="MDEO",VLOOKUP($B243,MDEO!$B$16:$P$27,2,FALSE)))))</f>
        <v xml:space="preserve">ayudante entendido </v>
      </c>
      <c r="D243" s="31">
        <f>IF($A243="EQUI",VLOOKUP($B243,EQUI!B$16:G$35,3,FALSE),IF($A243="TRAN",VLOOKUP($B243,TRAN!$B$16:$G$26,3,FALSE),IF($A243="MAT",VLOOKUP($B243,'MAT1'!$B$16:$G$43,3,FALSE),IF($A243="MDEO",VLOOKUP($B243,MDEO!$B$16:$P$27,3,FALSE)))))</f>
        <v>4833.333333333333</v>
      </c>
      <c r="E243" s="127"/>
      <c r="F243" s="32">
        <f>+D243+D243*E243</f>
        <v>4833.333333333333</v>
      </c>
      <c r="G243" s="130">
        <v>2</v>
      </c>
      <c r="H243" s="128">
        <f>G243*F243</f>
        <v>9666.6666666666661</v>
      </c>
      <c r="I243" s="50"/>
    </row>
    <row r="244" spans="1:12" ht="12.75" customHeight="1" x14ac:dyDescent="0.3">
      <c r="A244" s="51" t="s">
        <v>4</v>
      </c>
      <c r="B244" s="131" t="s">
        <v>177</v>
      </c>
      <c r="C244" s="126" t="str">
        <f>IF($A244="EQUI",VLOOKUP($B244,EQUI!B$16:G$37,2,FALSE),IF($A244="TRAN",VLOOKUP($B244,TRAN!$B$16:$G$26,2,FALSE),IF($A244="MAT",VLOOKUP($B244,'MAT1'!$B$16:$G$43,2,FALSE),IF($A244="MDEO",VLOOKUP($B244,MDEO!$B$16:$P$27,2,FALSE)))))</f>
        <v xml:space="preserve">ayudante </v>
      </c>
      <c r="D244" s="31">
        <f>IF($A244="EQUI",VLOOKUP($B244,EQUI!B$16:G$35,3,FALSE),IF($A244="TRAN",VLOOKUP($B244,TRAN!$B$16:$G$26,3,FALSE),IF($A244="MAT",VLOOKUP($B244,'MAT1'!$B$16:$G$43,3,FALSE),IF($A244="MDEO",VLOOKUP($B244,MDEO!$B$16:$P$27,3,FALSE)))))</f>
        <v>4833.333333333333</v>
      </c>
      <c r="E244" s="127"/>
      <c r="F244" s="32">
        <f>+D244+D244*E244</f>
        <v>4833.333333333333</v>
      </c>
      <c r="G244" s="130">
        <v>2</v>
      </c>
      <c r="H244" s="128">
        <f>G244*F244</f>
        <v>9666.6666666666661</v>
      </c>
      <c r="I244" s="50"/>
    </row>
    <row r="245" spans="1:12" ht="12.75" customHeight="1" x14ac:dyDescent="0.3">
      <c r="A245" s="51" t="s">
        <v>4</v>
      </c>
      <c r="B245" s="131" t="s">
        <v>178</v>
      </c>
      <c r="C245" s="126" t="str">
        <f>IF($A245="EQUI",VLOOKUP($B245,EQUI!B$16:G$37,2,FALSE),IF($A245="TRAN",VLOOKUP($B245,TRAN!$B$16:$G$26,2,FALSE),IF($A245="MAT",VLOOKUP($B245,'MAT1'!$B$16:$G$43,2,FALSE),IF($A245="MDEO",VLOOKUP($B245,MDEO!$B$16:$P$33,2,FALSE)))))</f>
        <v>contra maestro</v>
      </c>
      <c r="D245" s="31">
        <f>IF($A245="EQUI",VLOOKUP($B245,EQUI!B$16:G$35,3,FALSE),IF($A245="TRAN",VLOOKUP($B245,TRAN!$B$16:$G$26,3,FALSE),IF($A245="MAT",VLOOKUP($B245,'MAT1'!$B$16:$G$43,3,FALSE),IF($A245="MDEO",VLOOKUP($B245,MDEO!$B$16:$P$33,3,FALSE)))))</f>
        <v>5208.333333333333</v>
      </c>
      <c r="E245" s="127"/>
      <c r="F245" s="32">
        <f>+D245+D245*E245</f>
        <v>5208.333333333333</v>
      </c>
      <c r="G245" s="130">
        <f>+G242*0.1</f>
        <v>0.2</v>
      </c>
      <c r="H245" s="128">
        <f>G245*F245</f>
        <v>1041.6666666666667</v>
      </c>
      <c r="I245" s="50"/>
    </row>
    <row r="246" spans="1:12" ht="12.75" customHeight="1" x14ac:dyDescent="0.3">
      <c r="A246" s="879"/>
      <c r="B246" s="868"/>
      <c r="C246" s="115"/>
      <c r="D246" s="115"/>
      <c r="E246" s="115"/>
      <c r="F246" s="115"/>
      <c r="G246" s="115"/>
      <c r="H246" s="115"/>
      <c r="I246" s="50"/>
    </row>
    <row r="247" spans="1:12" ht="12.75" customHeight="1" x14ac:dyDescent="0.3">
      <c r="A247" s="49"/>
      <c r="B247" s="115"/>
      <c r="C247" s="115"/>
      <c r="D247" s="115"/>
      <c r="E247" s="115"/>
      <c r="F247" s="120" t="s">
        <v>32</v>
      </c>
      <c r="G247" s="121" t="str">
        <f>+B226</f>
        <v>2.4</v>
      </c>
      <c r="H247" s="120" t="s">
        <v>298</v>
      </c>
      <c r="I247" s="48">
        <f>SUM(H242:H246)</f>
        <v>30041.666666666668</v>
      </c>
    </row>
    <row r="248" spans="1:12" ht="12.75" customHeight="1" x14ac:dyDescent="0.3">
      <c r="A248" s="49" t="s">
        <v>54</v>
      </c>
      <c r="B248" s="115"/>
      <c r="C248" s="115"/>
      <c r="D248" s="115"/>
      <c r="E248" s="115"/>
      <c r="F248" s="115"/>
      <c r="G248" s="115"/>
      <c r="H248" s="116"/>
      <c r="I248" s="48">
        <f>I247*0.05</f>
        <v>1502.0833333333335</v>
      </c>
    </row>
    <row r="249" spans="1:12" ht="12.75" customHeight="1" x14ac:dyDescent="0.3">
      <c r="A249" s="49"/>
      <c r="B249" s="115"/>
      <c r="C249" s="115"/>
      <c r="D249" s="115"/>
      <c r="E249" s="115"/>
      <c r="F249" s="120" t="s">
        <v>55</v>
      </c>
      <c r="G249" s="116"/>
      <c r="H249" s="116"/>
      <c r="I249" s="48">
        <f>ROUND(I247+I248+I235+I231+I239,0)</f>
        <v>381544</v>
      </c>
    </row>
    <row r="250" spans="1:12" ht="12.75" customHeight="1" x14ac:dyDescent="0.3">
      <c r="A250" s="879" t="s">
        <v>56</v>
      </c>
      <c r="B250" s="868"/>
      <c r="C250" s="868"/>
      <c r="D250" s="868"/>
      <c r="E250" s="868" t="s">
        <v>57</v>
      </c>
      <c r="F250" s="868"/>
      <c r="G250" s="875" t="s">
        <v>58</v>
      </c>
      <c r="H250" s="875"/>
      <c r="I250" s="48"/>
    </row>
    <row r="251" spans="1:12" ht="12.75" customHeight="1" x14ac:dyDescent="0.3">
      <c r="A251" s="879" t="s">
        <v>208</v>
      </c>
      <c r="B251" s="868"/>
      <c r="C251" s="868"/>
      <c r="D251" s="868"/>
      <c r="E251" s="876">
        <v>0.02</v>
      </c>
      <c r="F251" s="876"/>
      <c r="G251" s="875">
        <f>+I249*E251</f>
        <v>7630.88</v>
      </c>
      <c r="H251" s="875"/>
      <c r="I251" s="48"/>
    </row>
    <row r="252" spans="1:12" ht="12.75" customHeight="1" x14ac:dyDescent="0.3">
      <c r="A252" s="879" t="s">
        <v>5</v>
      </c>
      <c r="B252" s="868"/>
      <c r="C252" s="868"/>
      <c r="D252" s="868"/>
      <c r="E252" s="876">
        <v>0.23</v>
      </c>
      <c r="F252" s="876"/>
      <c r="G252" s="875">
        <f>+E252*I249</f>
        <v>87755.12000000001</v>
      </c>
      <c r="H252" s="875"/>
      <c r="I252" s="48"/>
    </row>
    <row r="253" spans="1:12" ht="12.75" customHeight="1" x14ac:dyDescent="0.3">
      <c r="A253" s="879" t="s">
        <v>6</v>
      </c>
      <c r="B253" s="868"/>
      <c r="C253" s="868"/>
      <c r="D253" s="868"/>
      <c r="E253" s="876">
        <v>0.05</v>
      </c>
      <c r="F253" s="876"/>
      <c r="G253" s="875">
        <f>+E253*I249</f>
        <v>19077.2</v>
      </c>
      <c r="H253" s="875"/>
      <c r="I253" s="48"/>
    </row>
    <row r="254" spans="1:12" ht="12.75" customHeight="1" x14ac:dyDescent="0.3">
      <c r="A254" s="879" t="s">
        <v>207</v>
      </c>
      <c r="B254" s="868"/>
      <c r="C254" s="868"/>
      <c r="D254" s="868"/>
      <c r="E254" s="876">
        <v>0.02</v>
      </c>
      <c r="F254" s="876"/>
      <c r="G254" s="875">
        <f>+E254*I249</f>
        <v>7630.88</v>
      </c>
      <c r="H254" s="875"/>
      <c r="I254" s="48"/>
    </row>
    <row r="255" spans="1:12" ht="12.75" customHeight="1" x14ac:dyDescent="0.3">
      <c r="A255" s="880" t="s">
        <v>397</v>
      </c>
      <c r="B255" s="867"/>
      <c r="C255" s="867"/>
      <c r="D255" s="867"/>
      <c r="E255" s="867"/>
      <c r="F255" s="867"/>
      <c r="G255" s="867"/>
      <c r="H255" s="867"/>
      <c r="I255" s="48">
        <f>+G254+G252+G253+G251</f>
        <v>122094.08000000002</v>
      </c>
    </row>
    <row r="256" spans="1:12" ht="12.75" customHeight="1" x14ac:dyDescent="0.3">
      <c r="A256" s="880" t="s">
        <v>59</v>
      </c>
      <c r="B256" s="867"/>
      <c r="C256" s="867"/>
      <c r="D256" s="867"/>
      <c r="E256" s="867"/>
      <c r="F256" s="867"/>
      <c r="G256" s="867"/>
      <c r="H256" s="867"/>
      <c r="I256" s="48">
        <f>+I255+I249</f>
        <v>503638.08</v>
      </c>
    </row>
    <row r="257" spans="1:9" ht="12.75" customHeight="1" x14ac:dyDescent="0.3">
      <c r="A257" s="93"/>
      <c r="B257" s="65"/>
      <c r="C257" s="65"/>
      <c r="D257" s="65"/>
      <c r="E257" s="65"/>
      <c r="F257" s="65"/>
      <c r="G257" s="65"/>
      <c r="H257" s="65"/>
      <c r="I257" s="48"/>
    </row>
    <row r="258" spans="1:9" ht="12.75" customHeight="1" x14ac:dyDescent="0.3">
      <c r="A258" s="881" t="s">
        <v>114</v>
      </c>
      <c r="B258" s="604"/>
      <c r="C258" s="604"/>
      <c r="D258" s="65"/>
      <c r="E258" s="65"/>
      <c r="F258" s="604" t="s">
        <v>396</v>
      </c>
      <c r="G258" s="604"/>
      <c r="H258" s="604"/>
      <c r="I258" s="894"/>
    </row>
    <row r="259" spans="1:9" ht="12.75" customHeight="1" x14ac:dyDescent="0.3">
      <c r="A259" s="92" t="s">
        <v>111</v>
      </c>
      <c r="B259" s="868"/>
      <c r="C259" s="868"/>
      <c r="D259" s="115"/>
      <c r="E259" s="115"/>
      <c r="F259" s="116" t="s">
        <v>111</v>
      </c>
      <c r="G259" s="868"/>
      <c r="H259" s="868"/>
      <c r="I259" s="884"/>
    </row>
    <row r="260" spans="1:9" ht="12.75" customHeight="1" x14ac:dyDescent="0.3">
      <c r="A260" s="132" t="s">
        <v>115</v>
      </c>
      <c r="B260" s="868" t="str">
        <f>VLOOKUP(A260,[6]INICIO!$E$6:$H$26,2,FALSE)</f>
        <v>LINA MARCELA</v>
      </c>
      <c r="C260" s="868"/>
      <c r="F260" s="86" t="s">
        <v>112</v>
      </c>
      <c r="G260" s="868"/>
      <c r="H260" s="868"/>
      <c r="I260" s="884"/>
    </row>
    <row r="261" spans="1:9" ht="12.75" customHeight="1" x14ac:dyDescent="0.3">
      <c r="A261" s="132" t="s">
        <v>113</v>
      </c>
      <c r="B261" s="868" t="str">
        <f>VLOOKUP(A260,[6]INICIO!$E$6:$H$26,4,FALSE)</f>
        <v>05202-316814 ANT</v>
      </c>
      <c r="C261" s="868"/>
      <c r="F261" s="86" t="s">
        <v>113</v>
      </c>
      <c r="G261" s="868"/>
      <c r="H261" s="868"/>
      <c r="I261" s="884"/>
    </row>
    <row r="262" spans="1:9" ht="12.75" customHeight="1" x14ac:dyDescent="0.3">
      <c r="A262" s="132"/>
      <c r="B262" s="116"/>
      <c r="C262" s="116"/>
      <c r="F262" s="86"/>
      <c r="G262" s="116"/>
      <c r="H262" s="116"/>
      <c r="I262" s="95"/>
    </row>
    <row r="263" spans="1:9" ht="12.75" customHeight="1" x14ac:dyDescent="0.3">
      <c r="A263" s="872" t="s">
        <v>110</v>
      </c>
      <c r="B263" s="869"/>
      <c r="C263" s="869"/>
      <c r="D263" s="869"/>
      <c r="E263" s="869"/>
      <c r="F263" s="869"/>
      <c r="G263" s="869"/>
      <c r="H263" s="869"/>
      <c r="I263" s="873"/>
    </row>
    <row r="264" spans="1:9" ht="12.75" customHeight="1" x14ac:dyDescent="0.3">
      <c r="A264" s="870"/>
      <c r="B264" s="691"/>
      <c r="C264" s="691"/>
      <c r="D264" s="691"/>
      <c r="E264" s="691"/>
      <c r="F264" s="691"/>
      <c r="G264" s="691"/>
      <c r="H264" s="691"/>
      <c r="I264" s="871"/>
    </row>
    <row r="265" spans="1:9" ht="12.75" customHeight="1" x14ac:dyDescent="0.3">
      <c r="A265" s="872"/>
      <c r="B265" s="869"/>
      <c r="C265" s="869"/>
      <c r="D265" s="869"/>
      <c r="E265" s="869"/>
      <c r="F265" s="869"/>
      <c r="G265" s="869"/>
      <c r="H265" s="869"/>
      <c r="I265" s="873"/>
    </row>
    <row r="266" spans="1:9" ht="12.75" customHeight="1" x14ac:dyDescent="0.3">
      <c r="A266" s="891" t="s">
        <v>68</v>
      </c>
      <c r="B266" s="892"/>
      <c r="C266" s="892"/>
      <c r="D266" s="892"/>
      <c r="E266" s="892"/>
      <c r="F266" s="892"/>
      <c r="G266" s="892"/>
      <c r="H266" s="892"/>
      <c r="I266" s="893"/>
    </row>
    <row r="267" spans="1:9" ht="12.75" customHeight="1" x14ac:dyDescent="0.3">
      <c r="A267" s="94" t="s">
        <v>69</v>
      </c>
      <c r="B267" s="112" t="s">
        <v>217</v>
      </c>
      <c r="C267" s="604" t="s">
        <v>70</v>
      </c>
      <c r="D267" s="868" t="str">
        <f>VLOOKUP(B267,[6]PRESUPUESTO!$A$18:$I$90,3,FALSE)</f>
        <v>REALCE DE CAJAS DOMICILIARIAS</v>
      </c>
      <c r="E267" s="868"/>
      <c r="F267" s="868"/>
      <c r="G267" s="868"/>
      <c r="H267" s="868"/>
      <c r="I267" s="884"/>
    </row>
    <row r="268" spans="1:9" ht="12.75" customHeight="1" x14ac:dyDescent="0.3">
      <c r="A268" s="94" t="s">
        <v>71</v>
      </c>
      <c r="B268" s="112" t="str">
        <f>VLOOKUP(B267,[6]PRESUPUESTO!$A$18:$I$90,2,FALSE)</f>
        <v>PAR_05</v>
      </c>
      <c r="C268" s="604"/>
      <c r="D268" s="140" t="s">
        <v>12</v>
      </c>
      <c r="E268" s="113" t="s">
        <v>12</v>
      </c>
      <c r="F268" s="113" t="s">
        <v>13</v>
      </c>
      <c r="G268" s="113">
        <f>VLOOKUP(B268,PRESUPUESTO!$B$15:$I$98,5,FALSE)</f>
        <v>165</v>
      </c>
      <c r="H268" s="114" t="s">
        <v>27</v>
      </c>
      <c r="I268" s="46">
        <f>+I291</f>
        <v>281104</v>
      </c>
    </row>
    <row r="269" spans="1:9" ht="12.75" customHeight="1" x14ac:dyDescent="0.3">
      <c r="A269" s="47" t="s">
        <v>14</v>
      </c>
      <c r="B269" s="3"/>
      <c r="C269" s="115"/>
      <c r="D269" s="115"/>
      <c r="E269" s="115"/>
      <c r="F269" s="115"/>
      <c r="G269" s="115"/>
      <c r="H269" s="115"/>
      <c r="I269" s="48"/>
    </row>
    <row r="270" spans="1:9" ht="12.75" customHeight="1" x14ac:dyDescent="0.3">
      <c r="A270" s="879" t="s">
        <v>19</v>
      </c>
      <c r="B270" s="868"/>
      <c r="C270" s="868"/>
      <c r="D270" s="868"/>
      <c r="E270" s="868"/>
      <c r="F270" s="116" t="s">
        <v>28</v>
      </c>
      <c r="G270" s="116" t="s">
        <v>29</v>
      </c>
      <c r="H270" s="116" t="s">
        <v>30</v>
      </c>
      <c r="I270" s="50"/>
    </row>
    <row r="271" spans="1:9" ht="12.75" customHeight="1" x14ac:dyDescent="0.3">
      <c r="A271" s="92" t="s">
        <v>1</v>
      </c>
      <c r="B271" s="117"/>
      <c r="C271" s="878"/>
      <c r="D271" s="878"/>
      <c r="E271" s="878"/>
      <c r="F271" s="123"/>
      <c r="G271" s="115"/>
      <c r="H271" s="118">
        <f>+F271*G271</f>
        <v>0</v>
      </c>
      <c r="I271" s="50"/>
    </row>
    <row r="272" spans="1:9" ht="12.75" customHeight="1" x14ac:dyDescent="0.3">
      <c r="A272" s="49"/>
      <c r="B272" s="115"/>
      <c r="C272" s="115"/>
      <c r="D272" s="115"/>
      <c r="E272" s="115"/>
      <c r="F272" s="120" t="s">
        <v>32</v>
      </c>
      <c r="G272" s="121" t="str">
        <f>+B267</f>
        <v>2.5</v>
      </c>
      <c r="H272" s="121" t="s">
        <v>299</v>
      </c>
      <c r="I272" s="48">
        <f>SUM(H271:H271)</f>
        <v>0</v>
      </c>
    </row>
    <row r="273" spans="1:11" ht="12.75" customHeight="1" x14ac:dyDescent="0.3">
      <c r="A273" s="47" t="s">
        <v>34</v>
      </c>
      <c r="B273" s="3"/>
      <c r="C273" s="115"/>
      <c r="D273" s="115"/>
      <c r="E273" s="115"/>
      <c r="F273" s="115"/>
      <c r="G273" s="115"/>
      <c r="H273" s="115"/>
      <c r="I273" s="50"/>
    </row>
    <row r="274" spans="1:11" ht="12.75" customHeight="1" x14ac:dyDescent="0.3">
      <c r="A274" s="879" t="s">
        <v>35</v>
      </c>
      <c r="B274" s="868"/>
      <c r="C274" s="868"/>
      <c r="D274" s="868"/>
      <c r="E274" s="116" t="s">
        <v>12</v>
      </c>
      <c r="F274" s="116" t="s">
        <v>36</v>
      </c>
      <c r="G274" s="116" t="s">
        <v>37</v>
      </c>
      <c r="H274" s="116" t="s">
        <v>38</v>
      </c>
      <c r="I274" s="50"/>
    </row>
    <row r="275" spans="1:11" ht="12.75" customHeight="1" x14ac:dyDescent="0.3">
      <c r="A275" s="92" t="s">
        <v>523</v>
      </c>
      <c r="B275" s="117" t="s">
        <v>138</v>
      </c>
      <c r="C275" s="878" t="str">
        <f>IF($A275="EQUI",VLOOKUP($B275,EQUI!B$16:G$35,2,FALSE),IF($A275="TRAN",VLOOKUP($B275,TRAN!$B$16:$G$26,2,FALSE),IF($A275="MAT1",VLOOKUP($B275,'MAT1'!$B$16:$G$43,2,FALSE),IF($A275="MAT2",VLOOKUP($B275,'MAT2'!$B$16:$G$35,2,FALSE),IF($A275="MDEO",VLOOKUP($B275,MDEO!$B$16:$P$27,2,FALSE))))))</f>
        <v>Concreto 2500 psi en obra</v>
      </c>
      <c r="D275" s="878"/>
      <c r="E275" s="123" t="str">
        <f>IF($A275="EQUI",VLOOKUP($B275,EQUI!B$16:G$35,3,FALSE),IF($A275="TRAN",VLOOKUP($B275,TRAN!$B$16:$G$26,3,FALSE),IF($A275="MAT1",VLOOKUP($B275,'MAT1'!$B$16:$G$43,3,FALSE),IF($A275="MAT2",VLOOKUP($B275,'MAT2'!$B$16:$G$45,3,FALSE),IF($A275="MDEO",VLOOKUP($B275,MDEO!$B$16:$P$27,3,FALSE))))))</f>
        <v>M3</v>
      </c>
      <c r="F275" s="123">
        <f>IF($A275="EQUI",VLOOKUP($B275,EQUI!B$16:G$35,4,FALSE),IF($A275="TRAN",VLOOKUP($B275,TRAN!$B$16:$G$26,4,FALSE),IF($A275="MAT1",VLOOKUP($B275,'MAT1'!$B$16:$G$43,4,FALSE),IF($A275="MAT2",VLOOKUP($B275,'MAT2'!$B$16:$G$34,4,FALSE),IF($A275="MDEO",VLOOKUP($B275,MDEO!$B$16:$P$27,4,FALSE))))))</f>
        <v>439313</v>
      </c>
      <c r="G275" s="115">
        <f>0.1*0.6*0.3*4+0.6*0.6*0.1</f>
        <v>0.10799999999999998</v>
      </c>
      <c r="H275" s="118">
        <f>G275*F275</f>
        <v>47445.803999999996</v>
      </c>
      <c r="I275" s="50"/>
      <c r="K275" s="191">
        <f>+G275*G268</f>
        <v>17.819999999999997</v>
      </c>
    </row>
    <row r="276" spans="1:11" ht="12.75" customHeight="1" x14ac:dyDescent="0.3">
      <c r="A276" s="92" t="s">
        <v>522</v>
      </c>
      <c r="B276" s="117" t="s">
        <v>146</v>
      </c>
      <c r="C276" s="878" t="str">
        <f>IF($A276="EQUI",VLOOKUP($B276,EQUI!B$16:G$35,2,FALSE),IF($A276="TRAN",VLOOKUP($B276,TRAN!$B$16:$G$26,2,FALSE),IF($A276="MAT1",VLOOKUP($B276,'MAT1'!$B$16:$G$43,2,FALSE),IF($A276="MAT2",VLOOKUP($B276,'MAT2'!$B$16:$G$35,2,FALSE),IF($A276="MDEO",VLOOKUP($B276,MDEO!$B$16:$P$27,2,FALSE))))))</f>
        <v>herraje para caja domiciliaria inc. ref.</v>
      </c>
      <c r="D276" s="878"/>
      <c r="E276" s="123" t="str">
        <f>IF($A276="EQUI",VLOOKUP($B276,EQUI!B$16:G$35,3,FALSE),IF($A276="TRAN",VLOOKUP($B276,TRAN!$B$16:$G$26,3,FALSE),IF($A276="MAT1",VLOOKUP($B276,'MAT1'!$B$16:$G$43,3,FALSE),IF($A276="MAT2",VLOOKUP($B276,'MAT2'!$B$16:$G$45,3,FALSE),IF($A276="MDEO",VLOOKUP($B276,MDEO!$B$16:$P$27,3,FALSE))))))</f>
        <v>UN</v>
      </c>
      <c r="F276" s="123">
        <f>IF($A276="EQUI",VLOOKUP($B276,EQUI!B$16:G$35,4,FALSE),IF($A276="TRAN",VLOOKUP($B276,TRAN!$B$16:$G$26,4,FALSE),IF($A276="MAT1",VLOOKUP($B276,'MAT1'!$B$16:$G$43,4,FALSE),IF($A276="MAT2",VLOOKUP($B276,'MAT2'!$B$16:$G$34,4,FALSE),IF($A276="MDEO",VLOOKUP($B276,MDEO!$B$16:$P$27,4,FALSE))))))</f>
        <v>210000</v>
      </c>
      <c r="G276" s="115">
        <v>1</v>
      </c>
      <c r="H276" s="118">
        <f>G276*F276</f>
        <v>210000</v>
      </c>
      <c r="I276" s="50"/>
      <c r="K276">
        <f>+G276*G268</f>
        <v>165</v>
      </c>
    </row>
    <row r="277" spans="1:11" ht="12.75" customHeight="1" x14ac:dyDescent="0.3">
      <c r="A277" s="49"/>
      <c r="B277" s="115"/>
      <c r="C277" s="115"/>
      <c r="D277" s="115"/>
      <c r="E277" s="115"/>
      <c r="F277" s="120" t="s">
        <v>32</v>
      </c>
      <c r="G277" s="121" t="str">
        <f>+B267</f>
        <v>2.5</v>
      </c>
      <c r="H277" s="121" t="s">
        <v>300</v>
      </c>
      <c r="I277" s="50">
        <f>SUM(H275:H276)</f>
        <v>257445.804</v>
      </c>
    </row>
    <row r="278" spans="1:11" ht="12.75" customHeight="1" x14ac:dyDescent="0.3">
      <c r="A278" s="47" t="s">
        <v>15</v>
      </c>
      <c r="B278" s="3"/>
      <c r="C278" s="115"/>
      <c r="D278" s="115"/>
      <c r="E278" s="115"/>
      <c r="F278" s="115"/>
      <c r="G278" s="115"/>
      <c r="H278" s="115"/>
      <c r="I278" s="50"/>
    </row>
    <row r="279" spans="1:11" ht="12.75" customHeight="1" x14ac:dyDescent="0.3">
      <c r="A279" s="879" t="s">
        <v>19</v>
      </c>
      <c r="B279" s="868"/>
      <c r="C279" s="868"/>
      <c r="D279" s="116" t="s">
        <v>43</v>
      </c>
      <c r="E279" s="116" t="s">
        <v>44</v>
      </c>
      <c r="F279" s="123" t="s">
        <v>45</v>
      </c>
      <c r="G279" s="116" t="s">
        <v>17</v>
      </c>
      <c r="H279" s="116" t="s">
        <v>30</v>
      </c>
      <c r="I279" s="50"/>
    </row>
    <row r="280" spans="1:11" ht="12.75" customHeight="1" x14ac:dyDescent="0.3">
      <c r="A280" s="51" t="s">
        <v>3</v>
      </c>
      <c r="B280" s="122"/>
      <c r="C280" s="135"/>
      <c r="D280" s="116"/>
      <c r="E280" s="115"/>
      <c r="F280" s="115"/>
      <c r="G280" s="115"/>
      <c r="H280" s="115">
        <f>+G280*F280</f>
        <v>0</v>
      </c>
      <c r="I280" s="50"/>
    </row>
    <row r="281" spans="1:11" ht="12.75" customHeight="1" x14ac:dyDescent="0.3">
      <c r="A281" s="49"/>
      <c r="B281" s="115"/>
      <c r="C281" s="115"/>
      <c r="D281" s="115"/>
      <c r="E281" s="115"/>
      <c r="F281" s="120" t="s">
        <v>32</v>
      </c>
      <c r="G281" s="121" t="str">
        <f>+B267</f>
        <v>2.5</v>
      </c>
      <c r="H281" s="121" t="s">
        <v>301</v>
      </c>
      <c r="I281" s="50">
        <f>SUM(H280:H280)</f>
        <v>0</v>
      </c>
    </row>
    <row r="282" spans="1:11" ht="12.75" customHeight="1" x14ac:dyDescent="0.3">
      <c r="A282" s="47"/>
      <c r="B282" s="3"/>
      <c r="C282" s="115"/>
      <c r="D282" s="115"/>
      <c r="E282" s="115"/>
      <c r="F282" s="115"/>
      <c r="G282" s="115"/>
      <c r="H282" s="115"/>
      <c r="I282" s="50"/>
    </row>
    <row r="283" spans="1:11" ht="12.75" customHeight="1" x14ac:dyDescent="0.3">
      <c r="A283" s="895" t="s">
        <v>47</v>
      </c>
      <c r="B283" s="874"/>
      <c r="C283" s="874"/>
      <c r="D283" s="123" t="s">
        <v>48</v>
      </c>
      <c r="E283" s="123" t="s">
        <v>109</v>
      </c>
      <c r="F283" s="124" t="s">
        <v>49</v>
      </c>
      <c r="G283" s="124" t="s">
        <v>29</v>
      </c>
      <c r="H283" s="123" t="s">
        <v>30</v>
      </c>
      <c r="I283" s="52"/>
    </row>
    <row r="284" spans="1:11" ht="12.75" customHeight="1" x14ac:dyDescent="0.3">
      <c r="A284" s="51" t="s">
        <v>4</v>
      </c>
      <c r="B284" s="131" t="s">
        <v>175</v>
      </c>
      <c r="C284" s="126" t="str">
        <f>IF($A284="EQUI",VLOOKUP($B284,EQUI!B$16:G$37,2,FALSE),IF($A284="TRAN",VLOOKUP($B284,TRAN!$B$16:$G$26,2,FALSE),IF($A284="MAT",VLOOKUP($B284,'MAT1'!$B$16:$G$43,2,FALSE),IF($A284="MDEO",VLOOKUP($B284,MDEO!$B$16:$P$27,2,FALSE)))))</f>
        <v xml:space="preserve">oficial </v>
      </c>
      <c r="D284" s="31">
        <f>IF($A284="EQUI",VLOOKUP($B284,EQUI!B$16:G$35,3,FALSE),IF($A284="TRAN",VLOOKUP($B284,TRAN!$B$16:$G$26,3,FALSE),IF($A284="MAT",VLOOKUP($B284,'MAT1'!$B$16:$G$43,3,FALSE),IF($A284="MDEO",VLOOKUP($B284,MDEO!$B$16:$P$27,3,FALSE)))))</f>
        <v>4833.333333333333</v>
      </c>
      <c r="E284" s="127"/>
      <c r="F284" s="32">
        <f>+D284+D284*E284</f>
        <v>4833.333333333333</v>
      </c>
      <c r="G284" s="130">
        <v>1.5</v>
      </c>
      <c r="H284" s="128">
        <f>G284*F284</f>
        <v>7250</v>
      </c>
      <c r="I284" s="50"/>
    </row>
    <row r="285" spans="1:11" ht="12.75" customHeight="1" x14ac:dyDescent="0.3">
      <c r="A285" s="51" t="s">
        <v>4</v>
      </c>
      <c r="B285" s="131" t="s">
        <v>176</v>
      </c>
      <c r="C285" s="126" t="str">
        <f>IF($A285="EQUI",VLOOKUP($B285,EQUI!B$16:G$37,2,FALSE),IF($A285="TRAN",VLOOKUP($B285,TRAN!$B$16:$G$26,2,FALSE),IF($A285="MAT",VLOOKUP($B285,'MAT1'!$B$16:$G$43,2,FALSE),IF($A285="MDEO",VLOOKUP($B285,MDEO!$B$16:$P$27,2,FALSE)))))</f>
        <v xml:space="preserve">ayudante entendido </v>
      </c>
      <c r="D285" s="31">
        <f>IF($A285="EQUI",VLOOKUP($B285,EQUI!B$16:G$35,3,FALSE),IF($A285="TRAN",VLOOKUP($B285,TRAN!$B$16:$G$26,3,FALSE),IF($A285="MAT",VLOOKUP($B285,'MAT1'!$B$16:$G$43,3,FALSE),IF($A285="MDEO",VLOOKUP($B285,MDEO!$B$16:$P$27,3,FALSE)))))</f>
        <v>4833.333333333333</v>
      </c>
      <c r="E285" s="127"/>
      <c r="F285" s="32">
        <f>+D285+D285*E285</f>
        <v>4833.333333333333</v>
      </c>
      <c r="G285" s="130">
        <v>1.5</v>
      </c>
      <c r="H285" s="128">
        <f>G285*F285</f>
        <v>7250</v>
      </c>
      <c r="I285" s="50"/>
    </row>
    <row r="286" spans="1:11" ht="12.75" customHeight="1" x14ac:dyDescent="0.3">
      <c r="A286" s="51" t="s">
        <v>4</v>
      </c>
      <c r="B286" s="131" t="s">
        <v>177</v>
      </c>
      <c r="C286" s="126" t="str">
        <f>IF($A286="EQUI",VLOOKUP($B286,EQUI!B$16:G$37,2,FALSE),IF($A286="TRAN",VLOOKUP($B286,TRAN!$B$16:$G$26,2,FALSE),IF($A286="MAT",VLOOKUP($B286,'MAT1'!$B$16:$G$43,2,FALSE),IF($A286="MDEO",VLOOKUP($B286,MDEO!$B$16:$P$27,2,FALSE)))))</f>
        <v xml:space="preserve">ayudante </v>
      </c>
      <c r="D286" s="31">
        <f>IF($A286="EQUI",VLOOKUP($B286,EQUI!B$16:G$35,3,FALSE),IF($A286="TRAN",VLOOKUP($B286,TRAN!$B$16:$G$26,3,FALSE),IF($A286="MAT",VLOOKUP($B286,'MAT1'!$B$16:$G$43,3,FALSE),IF($A286="MDEO",VLOOKUP($B286,MDEO!$B$16:$P$27,3,FALSE)))))</f>
        <v>4833.333333333333</v>
      </c>
      <c r="E286" s="127"/>
      <c r="F286" s="32">
        <f>+D286+D286*E286</f>
        <v>4833.333333333333</v>
      </c>
      <c r="G286" s="130">
        <v>1.5</v>
      </c>
      <c r="H286" s="128">
        <f>G286*F286</f>
        <v>7250</v>
      </c>
      <c r="I286" s="50"/>
    </row>
    <row r="287" spans="1:11" ht="12.75" customHeight="1" x14ac:dyDescent="0.3">
      <c r="A287" s="51" t="s">
        <v>4</v>
      </c>
      <c r="B287" s="131" t="s">
        <v>178</v>
      </c>
      <c r="C287" s="126" t="str">
        <f>IF($A287="EQUI",VLOOKUP($B287,EQUI!B$16:G$37,2,FALSE),IF($A287="TRAN",VLOOKUP($B287,TRAN!$B$16:$G$26,2,FALSE),IF($A287="MAT",VLOOKUP($B287,'MAT1'!$B$16:$G$43,2,FALSE),IF($A287="MDEO",VLOOKUP($B287,MDEO!$B$16:$P$33,2,FALSE)))))</f>
        <v>contra maestro</v>
      </c>
      <c r="D287" s="31">
        <f>IF($A287="EQUI",VLOOKUP($B287,EQUI!B$16:G$35,3,FALSE),IF($A287="TRAN",VLOOKUP($B287,TRAN!$B$16:$G$26,3,FALSE),IF($A287="MAT",VLOOKUP($B287,'MAT1'!$B$16:$G$43,3,FALSE),IF($A287="MDEO",VLOOKUP($B287,MDEO!$B$16:$P$33,3,FALSE)))))</f>
        <v>5208.333333333333</v>
      </c>
      <c r="E287" s="127"/>
      <c r="F287" s="32">
        <f>+D287+D287*E287</f>
        <v>5208.333333333333</v>
      </c>
      <c r="G287" s="130">
        <f>+G284*0.1</f>
        <v>0.15000000000000002</v>
      </c>
      <c r="H287" s="128">
        <f>G287*F287</f>
        <v>781.25000000000011</v>
      </c>
      <c r="I287" s="50"/>
    </row>
    <row r="288" spans="1:11" ht="12.75" customHeight="1" x14ac:dyDescent="0.3">
      <c r="A288" s="879"/>
      <c r="B288" s="868"/>
      <c r="C288" s="115"/>
      <c r="D288" s="115"/>
      <c r="E288" s="115"/>
      <c r="F288" s="115"/>
      <c r="G288" s="115"/>
      <c r="H288" s="115"/>
      <c r="I288" s="50"/>
    </row>
    <row r="289" spans="1:9" ht="12.75" customHeight="1" x14ac:dyDescent="0.3">
      <c r="A289" s="49"/>
      <c r="B289" s="115"/>
      <c r="C289" s="115"/>
      <c r="D289" s="115"/>
      <c r="E289" s="115"/>
      <c r="F289" s="120" t="s">
        <v>32</v>
      </c>
      <c r="G289" s="121" t="str">
        <f>+B267</f>
        <v>2.5</v>
      </c>
      <c r="H289" s="120" t="s">
        <v>302</v>
      </c>
      <c r="I289" s="48">
        <f>SUM(H284:H288)</f>
        <v>22531.25</v>
      </c>
    </row>
    <row r="290" spans="1:9" ht="12.75" customHeight="1" x14ac:dyDescent="0.3">
      <c r="A290" s="49" t="s">
        <v>54</v>
      </c>
      <c r="B290" s="115"/>
      <c r="C290" s="115"/>
      <c r="D290" s="115"/>
      <c r="E290" s="115"/>
      <c r="F290" s="115"/>
      <c r="G290" s="115"/>
      <c r="H290" s="116"/>
      <c r="I290" s="48">
        <f>I289*0.05</f>
        <v>1126.5625</v>
      </c>
    </row>
    <row r="291" spans="1:9" ht="12.75" customHeight="1" x14ac:dyDescent="0.3">
      <c r="A291" s="49"/>
      <c r="B291" s="115"/>
      <c r="C291" s="115"/>
      <c r="D291" s="115"/>
      <c r="E291" s="115"/>
      <c r="F291" s="120" t="s">
        <v>55</v>
      </c>
      <c r="G291" s="116"/>
      <c r="H291" s="116"/>
      <c r="I291" s="48">
        <f>ROUND(I289+I290+I277+I272+I281,0)</f>
        <v>281104</v>
      </c>
    </row>
    <row r="292" spans="1:9" ht="12.75" customHeight="1" x14ac:dyDescent="0.3">
      <c r="A292" s="879" t="s">
        <v>56</v>
      </c>
      <c r="B292" s="868"/>
      <c r="C292" s="868"/>
      <c r="D292" s="868"/>
      <c r="E292" s="868" t="s">
        <v>57</v>
      </c>
      <c r="F292" s="868"/>
      <c r="G292" s="875" t="s">
        <v>58</v>
      </c>
      <c r="H292" s="875"/>
      <c r="I292" s="48"/>
    </row>
    <row r="293" spans="1:9" ht="12.75" customHeight="1" x14ac:dyDescent="0.3">
      <c r="A293" s="879" t="s">
        <v>208</v>
      </c>
      <c r="B293" s="868"/>
      <c r="C293" s="868"/>
      <c r="D293" s="868"/>
      <c r="E293" s="876">
        <v>0.02</v>
      </c>
      <c r="F293" s="876"/>
      <c r="G293" s="875">
        <f>+I291*E293</f>
        <v>5622.08</v>
      </c>
      <c r="H293" s="875"/>
      <c r="I293" s="48"/>
    </row>
    <row r="294" spans="1:9" ht="12.75" customHeight="1" x14ac:dyDescent="0.3">
      <c r="A294" s="879" t="s">
        <v>5</v>
      </c>
      <c r="B294" s="868"/>
      <c r="C294" s="868"/>
      <c r="D294" s="868"/>
      <c r="E294" s="876">
        <v>0.23</v>
      </c>
      <c r="F294" s="876"/>
      <c r="G294" s="875">
        <f>+E294*I291</f>
        <v>64653.920000000006</v>
      </c>
      <c r="H294" s="875"/>
      <c r="I294" s="48"/>
    </row>
    <row r="295" spans="1:9" ht="12.75" customHeight="1" x14ac:dyDescent="0.3">
      <c r="A295" s="879" t="s">
        <v>6</v>
      </c>
      <c r="B295" s="868"/>
      <c r="C295" s="868"/>
      <c r="D295" s="868"/>
      <c r="E295" s="876">
        <v>0.05</v>
      </c>
      <c r="F295" s="876"/>
      <c r="G295" s="875">
        <f>+E295*I291</f>
        <v>14055.2</v>
      </c>
      <c r="H295" s="875"/>
      <c r="I295" s="48"/>
    </row>
    <row r="296" spans="1:9" ht="12.75" customHeight="1" x14ac:dyDescent="0.3">
      <c r="A296" s="879" t="s">
        <v>207</v>
      </c>
      <c r="B296" s="868"/>
      <c r="C296" s="868"/>
      <c r="D296" s="868"/>
      <c r="E296" s="876">
        <v>0.02</v>
      </c>
      <c r="F296" s="876"/>
      <c r="G296" s="875">
        <f>+E296*I291</f>
        <v>5622.08</v>
      </c>
      <c r="H296" s="875"/>
      <c r="I296" s="48"/>
    </row>
    <row r="297" spans="1:9" ht="12.75" customHeight="1" x14ac:dyDescent="0.3">
      <c r="A297" s="880" t="s">
        <v>397</v>
      </c>
      <c r="B297" s="867"/>
      <c r="C297" s="867"/>
      <c r="D297" s="867"/>
      <c r="E297" s="867"/>
      <c r="F297" s="867"/>
      <c r="G297" s="867"/>
      <c r="H297" s="867"/>
      <c r="I297" s="48">
        <f>+G296+G294+G295+G293</f>
        <v>89953.279999999999</v>
      </c>
    </row>
    <row r="298" spans="1:9" ht="12.75" customHeight="1" x14ac:dyDescent="0.3">
      <c r="A298" s="880" t="s">
        <v>59</v>
      </c>
      <c r="B298" s="867"/>
      <c r="C298" s="867"/>
      <c r="D298" s="867"/>
      <c r="E298" s="867"/>
      <c r="F298" s="867"/>
      <c r="G298" s="867"/>
      <c r="H298" s="867"/>
      <c r="I298" s="48">
        <f>+I297+I291</f>
        <v>371057.28</v>
      </c>
    </row>
    <row r="299" spans="1:9" ht="12.75" customHeight="1" x14ac:dyDescent="0.3">
      <c r="A299" s="93"/>
      <c r="B299" s="65"/>
      <c r="C299" s="65"/>
      <c r="D299" s="65"/>
      <c r="E299" s="65"/>
      <c r="F299" s="65"/>
      <c r="G299" s="65"/>
      <c r="H299" s="65"/>
      <c r="I299" s="48"/>
    </row>
    <row r="300" spans="1:9" ht="12.75" customHeight="1" x14ac:dyDescent="0.3">
      <c r="A300" s="881" t="s">
        <v>114</v>
      </c>
      <c r="B300" s="604"/>
      <c r="C300" s="604"/>
      <c r="D300" s="65"/>
      <c r="E300" s="65"/>
      <c r="F300" s="604" t="s">
        <v>396</v>
      </c>
      <c r="G300" s="604"/>
      <c r="H300" s="604"/>
      <c r="I300" s="894"/>
    </row>
    <row r="301" spans="1:9" ht="12.75" customHeight="1" x14ac:dyDescent="0.3">
      <c r="A301" s="92" t="s">
        <v>111</v>
      </c>
      <c r="B301" s="868"/>
      <c r="C301" s="868"/>
      <c r="D301" s="115"/>
      <c r="E301" s="115"/>
      <c r="F301" s="116" t="s">
        <v>111</v>
      </c>
      <c r="G301" s="868"/>
      <c r="H301" s="868"/>
      <c r="I301" s="884"/>
    </row>
    <row r="302" spans="1:9" ht="12.75" customHeight="1" x14ac:dyDescent="0.3">
      <c r="A302" s="132" t="s">
        <v>115</v>
      </c>
      <c r="B302" s="868" t="str">
        <f>VLOOKUP(A302,[6]INICIO!$E$6:$H$26,2,FALSE)</f>
        <v>LINA MARCELA</v>
      </c>
      <c r="C302" s="868"/>
      <c r="F302" s="86" t="s">
        <v>112</v>
      </c>
      <c r="G302" s="868"/>
      <c r="H302" s="868"/>
      <c r="I302" s="884"/>
    </row>
    <row r="303" spans="1:9" ht="12.75" customHeight="1" x14ac:dyDescent="0.3">
      <c r="A303" s="132" t="s">
        <v>113</v>
      </c>
      <c r="B303" s="868" t="str">
        <f>VLOOKUP(A302,[6]INICIO!$E$6:$H$26,4,FALSE)</f>
        <v>05202-316814 ANT</v>
      </c>
      <c r="C303" s="868"/>
      <c r="F303" s="86" t="s">
        <v>113</v>
      </c>
      <c r="G303" s="868"/>
      <c r="H303" s="868"/>
      <c r="I303" s="884"/>
    </row>
    <row r="304" spans="1:9" ht="12.75" customHeight="1" x14ac:dyDescent="0.3">
      <c r="A304" s="132"/>
      <c r="B304" s="116"/>
      <c r="C304" s="116"/>
      <c r="F304" s="86"/>
      <c r="G304" s="116"/>
      <c r="H304" s="116"/>
      <c r="I304" s="95"/>
    </row>
    <row r="305" spans="1:11" ht="12.75" customHeight="1" x14ac:dyDescent="0.3">
      <c r="A305" s="872" t="s">
        <v>110</v>
      </c>
      <c r="B305" s="869"/>
      <c r="C305" s="869"/>
      <c r="D305" s="869"/>
      <c r="E305" s="869"/>
      <c r="F305" s="869"/>
      <c r="G305" s="869"/>
      <c r="H305" s="869"/>
      <c r="I305" s="873"/>
    </row>
    <row r="306" spans="1:11" ht="12.75" customHeight="1" x14ac:dyDescent="0.3">
      <c r="A306" s="870"/>
      <c r="B306" s="691"/>
      <c r="C306" s="691"/>
      <c r="D306" s="691"/>
      <c r="E306" s="691"/>
      <c r="F306" s="691"/>
      <c r="G306" s="691"/>
      <c r="H306" s="691"/>
      <c r="I306" s="871"/>
    </row>
    <row r="307" spans="1:11" ht="12.75" customHeight="1" x14ac:dyDescent="0.3">
      <c r="A307" s="872"/>
      <c r="B307" s="869"/>
      <c r="C307" s="869"/>
      <c r="D307" s="869"/>
      <c r="E307" s="869"/>
      <c r="F307" s="869"/>
      <c r="G307" s="869"/>
      <c r="H307" s="869"/>
      <c r="I307" s="873"/>
    </row>
    <row r="308" spans="1:11" ht="12.75" customHeight="1" x14ac:dyDescent="0.3">
      <c r="A308" s="891" t="s">
        <v>68</v>
      </c>
      <c r="B308" s="892"/>
      <c r="C308" s="892"/>
      <c r="D308" s="892"/>
      <c r="E308" s="892"/>
      <c r="F308" s="892"/>
      <c r="G308" s="892"/>
      <c r="H308" s="892"/>
      <c r="I308" s="893"/>
    </row>
    <row r="309" spans="1:11" ht="12.75" customHeight="1" x14ac:dyDescent="0.3">
      <c r="A309" s="94" t="s">
        <v>69</v>
      </c>
      <c r="B309" s="112" t="s">
        <v>218</v>
      </c>
      <c r="C309" s="604" t="s">
        <v>70</v>
      </c>
      <c r="D309" s="868" t="str">
        <f>VLOOKUP(B309,[6]PRESUPUESTO!$A$18:$I$90,3,FALSE)</f>
        <v>REALCE DE CAJAS DOMICILIARIAS MEDIDOR</v>
      </c>
      <c r="E309" s="868"/>
      <c r="F309" s="868"/>
      <c r="G309" s="868"/>
      <c r="H309" s="868"/>
      <c r="I309" s="884"/>
    </row>
    <row r="310" spans="1:11" ht="12.75" customHeight="1" x14ac:dyDescent="0.3">
      <c r="A310" s="94" t="s">
        <v>71</v>
      </c>
      <c r="B310" s="112" t="str">
        <f>VLOOKUP(B309,[6]PRESUPUESTO!$A$18:$I$90,2,FALSE)</f>
        <v>812-EPM</v>
      </c>
      <c r="C310" s="604"/>
      <c r="D310" s="140" t="s">
        <v>12</v>
      </c>
      <c r="E310" s="113" t="s">
        <v>12</v>
      </c>
      <c r="F310" s="113" t="s">
        <v>13</v>
      </c>
      <c r="G310" s="113">
        <f>VLOOKUP(B309,PRESUPUESTO!$A$15:$I$1652,6,FALSE)</f>
        <v>165</v>
      </c>
      <c r="H310" s="114" t="s">
        <v>27</v>
      </c>
      <c r="I310" s="46">
        <f>+I332</f>
        <v>71104</v>
      </c>
    </row>
    <row r="311" spans="1:11" ht="12.75" customHeight="1" x14ac:dyDescent="0.3">
      <c r="A311" s="47" t="s">
        <v>14</v>
      </c>
      <c r="B311" s="3"/>
      <c r="C311" s="115"/>
      <c r="D311" s="115"/>
      <c r="E311" s="115"/>
      <c r="F311" s="115"/>
      <c r="G311" s="115"/>
      <c r="H311" s="115"/>
      <c r="I311" s="48"/>
    </row>
    <row r="312" spans="1:11" ht="12.75" customHeight="1" x14ac:dyDescent="0.3">
      <c r="A312" s="879" t="s">
        <v>19</v>
      </c>
      <c r="B312" s="868"/>
      <c r="C312" s="868"/>
      <c r="D312" s="868"/>
      <c r="E312" s="868"/>
      <c r="F312" s="116" t="s">
        <v>28</v>
      </c>
      <c r="G312" s="116" t="s">
        <v>29</v>
      </c>
      <c r="H312" s="116" t="s">
        <v>30</v>
      </c>
      <c r="I312" s="50"/>
    </row>
    <row r="313" spans="1:11" ht="12.75" customHeight="1" x14ac:dyDescent="0.3">
      <c r="A313" s="92" t="s">
        <v>1</v>
      </c>
      <c r="B313" s="117"/>
      <c r="C313" s="878"/>
      <c r="D313" s="878"/>
      <c r="E313" s="878"/>
      <c r="F313" s="123"/>
      <c r="G313" s="115"/>
      <c r="H313" s="118">
        <f>+F313*G313</f>
        <v>0</v>
      </c>
      <c r="I313" s="50"/>
    </row>
    <row r="314" spans="1:11" ht="12.75" customHeight="1" x14ac:dyDescent="0.3">
      <c r="A314" s="49"/>
      <c r="B314" s="115"/>
      <c r="C314" s="115"/>
      <c r="D314" s="115"/>
      <c r="E314" s="115"/>
      <c r="F314" s="120" t="s">
        <v>32</v>
      </c>
      <c r="G314" s="121" t="str">
        <f>+B309</f>
        <v>2.6</v>
      </c>
      <c r="H314" s="121" t="s">
        <v>303</v>
      </c>
      <c r="I314" s="48">
        <f>SUM(H313:H313)</f>
        <v>0</v>
      </c>
    </row>
    <row r="315" spans="1:11" ht="12.75" customHeight="1" x14ac:dyDescent="0.3">
      <c r="A315" s="47" t="s">
        <v>34</v>
      </c>
      <c r="B315" s="3"/>
      <c r="C315" s="115"/>
      <c r="D315" s="115"/>
      <c r="E315" s="115"/>
      <c r="F315" s="115"/>
      <c r="G315" s="115"/>
      <c r="H315" s="115"/>
      <c r="I315" s="50"/>
    </row>
    <row r="316" spans="1:11" ht="12.75" customHeight="1" x14ac:dyDescent="0.3">
      <c r="A316" s="879" t="s">
        <v>35</v>
      </c>
      <c r="B316" s="868"/>
      <c r="C316" s="868"/>
      <c r="D316" s="868"/>
      <c r="E316" s="116" t="s">
        <v>12</v>
      </c>
      <c r="F316" s="116" t="s">
        <v>36</v>
      </c>
      <c r="G316" s="116" t="s">
        <v>37</v>
      </c>
      <c r="H316" s="116" t="s">
        <v>38</v>
      </c>
      <c r="I316" s="50"/>
    </row>
    <row r="317" spans="1:11" ht="12.75" customHeight="1" x14ac:dyDescent="0.3">
      <c r="A317" s="92" t="s">
        <v>523</v>
      </c>
      <c r="B317" s="117" t="s">
        <v>138</v>
      </c>
      <c r="C317" s="878" t="str">
        <f>IF($A317="EQUI",VLOOKUP($B317,EQUI!B$16:G$35,2,FALSE),IF($A317="TRAN",VLOOKUP($B317,TRAN!$B$16:$G$26,2,FALSE),IF($A317="MAT1",VLOOKUP($B317,'MAT1'!$B$16:$G$43,2,FALSE),IF($A317="MAT2",VLOOKUP($B317,'MAT2'!$B$16:$G$35,2,FALSE),IF($A317="MDEO",VLOOKUP($B317,MDEO!$B$16:$P$27,2,FALSE))))))</f>
        <v>Concreto 2500 psi en obra</v>
      </c>
      <c r="D317" s="878"/>
      <c r="E317" s="123" t="str">
        <f>IF($A317="EQUI",VLOOKUP($B317,EQUI!B$16:G$35,3,FALSE),IF($A317="TRAN",VLOOKUP($B317,TRAN!$B$16:$G$26,3,FALSE),IF($A317="MAT1",VLOOKUP($B317,'MAT1'!$B$16:$G$43,3,FALSE),IF($A317="MAT2",VLOOKUP($B317,'MAT2'!$B$16:$G$45,3,FALSE),IF($A317="MDEO",VLOOKUP($B317,MDEO!$B$16:$P$27,3,FALSE))))))</f>
        <v>M3</v>
      </c>
      <c r="F317" s="123">
        <f>IF($A317="EQUI",VLOOKUP($B317,EQUI!B$16:G$35,4,FALSE),IF($A317="TRAN",VLOOKUP($B317,TRAN!$B$16:$G$26,4,FALSE),IF($A317="MAT1",VLOOKUP($B317,'MAT1'!$B$16:$G$43,4,FALSE),IF($A317="MAT2",VLOOKUP($B317,'MAT2'!$B$16:$G$34,4,FALSE),IF($A317="MDEO",VLOOKUP($B317,MDEO!$B$16:$P$27,4,FALSE))))))</f>
        <v>439313</v>
      </c>
      <c r="G317" s="115">
        <f>0.1*0.6*0.3*4+0.6*0.6*0.1</f>
        <v>0.10799999999999998</v>
      </c>
      <c r="H317" s="118">
        <f>G317*F317</f>
        <v>47445.803999999996</v>
      </c>
      <c r="I317" s="50"/>
      <c r="K317">
        <f>+G317*G310</f>
        <v>17.819999999999997</v>
      </c>
    </row>
    <row r="318" spans="1:11" ht="12.75" customHeight="1" x14ac:dyDescent="0.3">
      <c r="A318" s="49"/>
      <c r="B318" s="115"/>
      <c r="C318" s="115"/>
      <c r="D318" s="115"/>
      <c r="E318" s="115"/>
      <c r="F318" s="120" t="s">
        <v>32</v>
      </c>
      <c r="G318" s="121" t="str">
        <f>+B309</f>
        <v>2.6</v>
      </c>
      <c r="H318" s="121" t="s">
        <v>304</v>
      </c>
      <c r="I318" s="50">
        <f>SUM(H317:H317)</f>
        <v>47445.803999999996</v>
      </c>
    </row>
    <row r="319" spans="1:11" ht="12.75" customHeight="1" x14ac:dyDescent="0.3">
      <c r="A319" s="47" t="s">
        <v>15</v>
      </c>
      <c r="B319" s="3"/>
      <c r="C319" s="115"/>
      <c r="D319" s="115"/>
      <c r="E319" s="115"/>
      <c r="F319" s="115"/>
      <c r="G319" s="115"/>
      <c r="H319" s="115"/>
      <c r="I319" s="50"/>
    </row>
    <row r="320" spans="1:11" ht="12.75" customHeight="1" x14ac:dyDescent="0.3">
      <c r="A320" s="879" t="s">
        <v>19</v>
      </c>
      <c r="B320" s="868"/>
      <c r="C320" s="868"/>
      <c r="D320" s="116" t="s">
        <v>43</v>
      </c>
      <c r="E320" s="116" t="s">
        <v>44</v>
      </c>
      <c r="F320" s="123" t="s">
        <v>45</v>
      </c>
      <c r="G320" s="116" t="s">
        <v>17</v>
      </c>
      <c r="H320" s="116" t="s">
        <v>30</v>
      </c>
      <c r="I320" s="50"/>
    </row>
    <row r="321" spans="1:9" ht="12.75" customHeight="1" x14ac:dyDescent="0.3">
      <c r="A321" s="51" t="s">
        <v>3</v>
      </c>
      <c r="B321" s="122"/>
      <c r="C321" s="135"/>
      <c r="D321" s="116"/>
      <c r="E321" s="115"/>
      <c r="F321" s="115"/>
      <c r="G321" s="115"/>
      <c r="H321" s="115">
        <f>+G321*F321</f>
        <v>0</v>
      </c>
      <c r="I321" s="50"/>
    </row>
    <row r="322" spans="1:9" ht="12.75" customHeight="1" x14ac:dyDescent="0.3">
      <c r="A322" s="49"/>
      <c r="B322" s="115"/>
      <c r="C322" s="115"/>
      <c r="D322" s="115"/>
      <c r="E322" s="115"/>
      <c r="F322" s="120" t="s">
        <v>32</v>
      </c>
      <c r="G322" s="121" t="str">
        <f>+B309</f>
        <v>2.6</v>
      </c>
      <c r="H322" s="121" t="s">
        <v>305</v>
      </c>
      <c r="I322" s="50">
        <f>SUM(H321:H321)</f>
        <v>0</v>
      </c>
    </row>
    <row r="323" spans="1:9" ht="12.75" customHeight="1" x14ac:dyDescent="0.3">
      <c r="A323" s="47"/>
      <c r="B323" s="3"/>
      <c r="C323" s="115"/>
      <c r="D323" s="115"/>
      <c r="E323" s="115"/>
      <c r="F323" s="115"/>
      <c r="G323" s="115"/>
      <c r="H323" s="115"/>
      <c r="I323" s="50"/>
    </row>
    <row r="324" spans="1:9" ht="12.75" customHeight="1" x14ac:dyDescent="0.3">
      <c r="A324" s="895" t="s">
        <v>47</v>
      </c>
      <c r="B324" s="874"/>
      <c r="C324" s="874"/>
      <c r="D324" s="123" t="s">
        <v>48</v>
      </c>
      <c r="E324" s="123" t="s">
        <v>109</v>
      </c>
      <c r="F324" s="124" t="s">
        <v>49</v>
      </c>
      <c r="G324" s="124" t="s">
        <v>29</v>
      </c>
      <c r="H324" s="123" t="s">
        <v>30</v>
      </c>
      <c r="I324" s="52"/>
    </row>
    <row r="325" spans="1:9" ht="12.75" customHeight="1" x14ac:dyDescent="0.3">
      <c r="A325" s="51" t="s">
        <v>4</v>
      </c>
      <c r="B325" s="131" t="s">
        <v>175</v>
      </c>
      <c r="C325" s="126" t="str">
        <f>IF($A325="EQUI",VLOOKUP($B325,EQUI!B$16:G$37,2,FALSE),IF($A325="TRAN",VLOOKUP($B325,TRAN!$B$16:$G$26,2,FALSE),IF($A325="MAT",VLOOKUP($B325,'MAT1'!$B$16:$G$43,2,FALSE),IF($A325="MDEO",VLOOKUP($B325,MDEO!$B$16:$P$27,2,FALSE)))))</f>
        <v xml:space="preserve">oficial </v>
      </c>
      <c r="D325" s="31">
        <f>IF($A325="EQUI",VLOOKUP($B325,EQUI!B$16:G$35,3,FALSE),IF($A325="TRAN",VLOOKUP($B325,TRAN!$B$16:$G$26,3,FALSE),IF($A325="MAT",VLOOKUP($B325,'MAT1'!$B$16:$G$43,3,FALSE),IF($A325="MDEO",VLOOKUP($B325,MDEO!$B$16:$P$27,3,FALSE)))))</f>
        <v>4833.333333333333</v>
      </c>
      <c r="E325" s="127"/>
      <c r="F325" s="32">
        <f>+D325+D325*E325</f>
        <v>4833.333333333333</v>
      </c>
      <c r="G325" s="130">
        <v>1.5</v>
      </c>
      <c r="H325" s="128">
        <f>G325*F325</f>
        <v>7250</v>
      </c>
      <c r="I325" s="50"/>
    </row>
    <row r="326" spans="1:9" ht="12.75" customHeight="1" x14ac:dyDescent="0.3">
      <c r="A326" s="51" t="s">
        <v>4</v>
      </c>
      <c r="B326" s="131" t="s">
        <v>176</v>
      </c>
      <c r="C326" s="126" t="str">
        <f>IF($A326="EQUI",VLOOKUP($B326,EQUI!B$16:G$37,2,FALSE),IF($A326="TRAN",VLOOKUP($B326,TRAN!$B$16:$G$26,2,FALSE),IF($A326="MAT",VLOOKUP($B326,'MAT1'!$B$16:$G$43,2,FALSE),IF($A326="MDEO",VLOOKUP($B326,MDEO!$B$16:$P$27,2,FALSE)))))</f>
        <v xml:space="preserve">ayudante entendido </v>
      </c>
      <c r="D326" s="31">
        <f>IF($A326="EQUI",VLOOKUP($B326,EQUI!B$16:G$35,3,FALSE),IF($A326="TRAN",VLOOKUP($B326,TRAN!$B$16:$G$26,3,FALSE),IF($A326="MAT",VLOOKUP($B326,'MAT1'!$B$16:$G$43,3,FALSE),IF($A326="MDEO",VLOOKUP($B326,MDEO!$B$16:$P$27,3,FALSE)))))</f>
        <v>4833.333333333333</v>
      </c>
      <c r="E326" s="127"/>
      <c r="F326" s="32">
        <f>+D326+D326*E326</f>
        <v>4833.333333333333</v>
      </c>
      <c r="G326" s="130">
        <v>1.5</v>
      </c>
      <c r="H326" s="128">
        <f>G326*F326</f>
        <v>7250</v>
      </c>
      <c r="I326" s="50"/>
    </row>
    <row r="327" spans="1:9" ht="12.75" customHeight="1" x14ac:dyDescent="0.3">
      <c r="A327" s="51" t="s">
        <v>4</v>
      </c>
      <c r="B327" s="131" t="s">
        <v>177</v>
      </c>
      <c r="C327" s="126" t="str">
        <f>IF($A327="EQUI",VLOOKUP($B327,EQUI!B$16:G$37,2,FALSE),IF($A327="TRAN",VLOOKUP($B327,TRAN!$B$16:$G$26,2,FALSE),IF($A327="MAT",VLOOKUP($B327,'MAT1'!$B$16:$G$43,2,FALSE),IF($A327="MDEO",VLOOKUP($B327,MDEO!$B$16:$P$27,2,FALSE)))))</f>
        <v xml:space="preserve">ayudante </v>
      </c>
      <c r="D327" s="31">
        <f>IF($A327="EQUI",VLOOKUP($B327,EQUI!B$16:G$35,3,FALSE),IF($A327="TRAN",VLOOKUP($B327,TRAN!$B$16:$G$26,3,FALSE),IF($A327="MAT",VLOOKUP($B327,'MAT1'!$B$16:$G$43,3,FALSE),IF($A327="MDEO",VLOOKUP($B327,MDEO!$B$16:$P$27,3,FALSE)))))</f>
        <v>4833.333333333333</v>
      </c>
      <c r="E327" s="127"/>
      <c r="F327" s="32">
        <f>+D327+D327*E327</f>
        <v>4833.333333333333</v>
      </c>
      <c r="G327" s="130">
        <v>1.5</v>
      </c>
      <c r="H327" s="128">
        <f>G327*F327</f>
        <v>7250</v>
      </c>
      <c r="I327" s="50"/>
    </row>
    <row r="328" spans="1:9" ht="12.75" customHeight="1" x14ac:dyDescent="0.3">
      <c r="A328" s="51" t="s">
        <v>4</v>
      </c>
      <c r="B328" s="131" t="s">
        <v>178</v>
      </c>
      <c r="C328" s="126" t="str">
        <f>IF($A328="EQUI",VLOOKUP($B328,EQUI!B$16:G$37,2,FALSE),IF($A328="TRAN",VLOOKUP($B328,TRAN!$B$16:$G$26,2,FALSE),IF($A328="MAT",VLOOKUP($B328,'MAT1'!$B$16:$G$43,2,FALSE),IF($A328="MDEO",VLOOKUP($B328,MDEO!$B$16:$P$33,2,FALSE)))))</f>
        <v>contra maestro</v>
      </c>
      <c r="D328" s="31">
        <f>IF($A328="EQUI",VLOOKUP($B328,EQUI!B$16:G$35,3,FALSE),IF($A328="TRAN",VLOOKUP($B328,TRAN!$B$16:$G$26,3,FALSE),IF($A328="MAT",VLOOKUP($B328,'MAT1'!$B$16:$G$43,3,FALSE),IF($A328="MDEO",VLOOKUP($B328,MDEO!$B$16:$P$33,3,FALSE)))))</f>
        <v>5208.333333333333</v>
      </c>
      <c r="E328" s="127"/>
      <c r="F328" s="32">
        <f>+D328+D328*E328</f>
        <v>5208.333333333333</v>
      </c>
      <c r="G328" s="130">
        <f>+G325*0.1</f>
        <v>0.15000000000000002</v>
      </c>
      <c r="H328" s="128">
        <f>G328*F328</f>
        <v>781.25000000000011</v>
      </c>
      <c r="I328" s="50"/>
    </row>
    <row r="329" spans="1:9" ht="12.75" customHeight="1" x14ac:dyDescent="0.3">
      <c r="A329" s="879"/>
      <c r="B329" s="868"/>
      <c r="C329" s="115"/>
      <c r="D329" s="115"/>
      <c r="E329" s="115"/>
      <c r="F329" s="115"/>
      <c r="G329" s="115"/>
      <c r="H329" s="115"/>
      <c r="I329" s="50"/>
    </row>
    <row r="330" spans="1:9" ht="12.75" customHeight="1" x14ac:dyDescent="0.3">
      <c r="A330" s="49"/>
      <c r="B330" s="115"/>
      <c r="C330" s="115"/>
      <c r="D330" s="115"/>
      <c r="E330" s="115"/>
      <c r="F330" s="120" t="s">
        <v>32</v>
      </c>
      <c r="G330" s="121" t="str">
        <f>+B309</f>
        <v>2.6</v>
      </c>
      <c r="H330" s="120" t="s">
        <v>306</v>
      </c>
      <c r="I330" s="48">
        <f>SUM(H325:H329)</f>
        <v>22531.25</v>
      </c>
    </row>
    <row r="331" spans="1:9" ht="12.75" customHeight="1" x14ac:dyDescent="0.3">
      <c r="A331" s="49" t="s">
        <v>54</v>
      </c>
      <c r="B331" s="115"/>
      <c r="C331" s="115"/>
      <c r="D331" s="115"/>
      <c r="E331" s="115"/>
      <c r="F331" s="115"/>
      <c r="G331" s="115"/>
      <c r="H331" s="116"/>
      <c r="I331" s="48">
        <f>I330*0.05</f>
        <v>1126.5625</v>
      </c>
    </row>
    <row r="332" spans="1:9" ht="12.75" customHeight="1" x14ac:dyDescent="0.3">
      <c r="A332" s="49"/>
      <c r="B332" s="115"/>
      <c r="C332" s="115"/>
      <c r="D332" s="115"/>
      <c r="E332" s="115"/>
      <c r="F332" s="120" t="s">
        <v>55</v>
      </c>
      <c r="G332" s="116"/>
      <c r="H332" s="116"/>
      <c r="I332" s="48">
        <f>ROUND(I330+I331+I318+I314+I322,0)</f>
        <v>71104</v>
      </c>
    </row>
    <row r="333" spans="1:9" ht="12.75" customHeight="1" x14ac:dyDescent="0.3">
      <c r="A333" s="879" t="s">
        <v>56</v>
      </c>
      <c r="B333" s="868"/>
      <c r="C333" s="868"/>
      <c r="D333" s="868"/>
      <c r="E333" s="868" t="s">
        <v>57</v>
      </c>
      <c r="F333" s="868"/>
      <c r="G333" s="875" t="s">
        <v>58</v>
      </c>
      <c r="H333" s="875"/>
      <c r="I333" s="48"/>
    </row>
    <row r="334" spans="1:9" ht="12.75" customHeight="1" x14ac:dyDescent="0.3">
      <c r="A334" s="879" t="s">
        <v>208</v>
      </c>
      <c r="B334" s="868"/>
      <c r="C334" s="868"/>
      <c r="D334" s="868"/>
      <c r="E334" s="876">
        <v>0.02</v>
      </c>
      <c r="F334" s="876"/>
      <c r="G334" s="875">
        <f>+I332*E334</f>
        <v>1422.08</v>
      </c>
      <c r="H334" s="875"/>
      <c r="I334" s="48"/>
    </row>
    <row r="335" spans="1:9" ht="12.75" customHeight="1" x14ac:dyDescent="0.3">
      <c r="A335" s="879" t="s">
        <v>5</v>
      </c>
      <c r="B335" s="868"/>
      <c r="C335" s="868"/>
      <c r="D335" s="868"/>
      <c r="E335" s="876">
        <v>0.23</v>
      </c>
      <c r="F335" s="876"/>
      <c r="G335" s="875">
        <f>+E335*I332</f>
        <v>16353.92</v>
      </c>
      <c r="H335" s="875"/>
      <c r="I335" s="48"/>
    </row>
    <row r="336" spans="1:9" ht="12.75" customHeight="1" x14ac:dyDescent="0.3">
      <c r="A336" s="879" t="s">
        <v>6</v>
      </c>
      <c r="B336" s="868"/>
      <c r="C336" s="868"/>
      <c r="D336" s="868"/>
      <c r="E336" s="876">
        <v>0.05</v>
      </c>
      <c r="F336" s="876"/>
      <c r="G336" s="875">
        <f>+E336*I332</f>
        <v>3555.2000000000003</v>
      </c>
      <c r="H336" s="875"/>
      <c r="I336" s="48"/>
    </row>
    <row r="337" spans="1:9" ht="12.75" customHeight="1" x14ac:dyDescent="0.3">
      <c r="A337" s="879" t="s">
        <v>207</v>
      </c>
      <c r="B337" s="868"/>
      <c r="C337" s="868"/>
      <c r="D337" s="868"/>
      <c r="E337" s="876">
        <v>0.02</v>
      </c>
      <c r="F337" s="876"/>
      <c r="G337" s="875">
        <f>+E337*I332</f>
        <v>1422.08</v>
      </c>
      <c r="H337" s="875"/>
      <c r="I337" s="48"/>
    </row>
    <row r="338" spans="1:9" ht="12.75" customHeight="1" x14ac:dyDescent="0.3">
      <c r="A338" s="880" t="s">
        <v>397</v>
      </c>
      <c r="B338" s="867"/>
      <c r="C338" s="867"/>
      <c r="D338" s="867"/>
      <c r="E338" s="867"/>
      <c r="F338" s="867"/>
      <c r="G338" s="867"/>
      <c r="H338" s="867"/>
      <c r="I338" s="48">
        <f>+G337+G335+G336+G334</f>
        <v>22753.279999999999</v>
      </c>
    </row>
    <row r="339" spans="1:9" ht="12.75" customHeight="1" x14ac:dyDescent="0.3">
      <c r="A339" s="880" t="s">
        <v>59</v>
      </c>
      <c r="B339" s="867"/>
      <c r="C339" s="867"/>
      <c r="D339" s="867"/>
      <c r="E339" s="867"/>
      <c r="F339" s="867"/>
      <c r="G339" s="867"/>
      <c r="H339" s="867"/>
      <c r="I339" s="48">
        <f>+I338+I332</f>
        <v>93857.279999999999</v>
      </c>
    </row>
    <row r="340" spans="1:9" ht="12.75" customHeight="1" x14ac:dyDescent="0.3">
      <c r="A340" s="93"/>
      <c r="B340" s="65"/>
      <c r="C340" s="65"/>
      <c r="D340" s="65"/>
      <c r="E340" s="65"/>
      <c r="F340" s="65"/>
      <c r="G340" s="65"/>
      <c r="H340" s="65"/>
      <c r="I340" s="48"/>
    </row>
    <row r="341" spans="1:9" ht="12.75" customHeight="1" x14ac:dyDescent="0.3">
      <c r="A341" s="881" t="s">
        <v>114</v>
      </c>
      <c r="B341" s="604"/>
      <c r="C341" s="604"/>
      <c r="D341" s="65"/>
      <c r="E341" s="65"/>
      <c r="F341" s="604" t="s">
        <v>396</v>
      </c>
      <c r="G341" s="604"/>
      <c r="H341" s="604"/>
      <c r="I341" s="894"/>
    </row>
    <row r="342" spans="1:9" ht="12.75" customHeight="1" x14ac:dyDescent="0.3">
      <c r="A342" s="92" t="s">
        <v>111</v>
      </c>
      <c r="B342" s="868"/>
      <c r="C342" s="868"/>
      <c r="D342" s="115"/>
      <c r="E342" s="115"/>
      <c r="F342" s="116" t="s">
        <v>111</v>
      </c>
      <c r="G342" s="868"/>
      <c r="H342" s="868"/>
      <c r="I342" s="884"/>
    </row>
    <row r="343" spans="1:9" ht="12.75" customHeight="1" x14ac:dyDescent="0.3">
      <c r="A343" s="132" t="s">
        <v>115</v>
      </c>
      <c r="B343" s="868" t="str">
        <f>VLOOKUP(A343,[6]INICIO!$E$6:$H$26,2,FALSE)</f>
        <v>LINA MARCELA</v>
      </c>
      <c r="C343" s="868"/>
      <c r="F343" s="86" t="s">
        <v>112</v>
      </c>
      <c r="G343" s="868"/>
      <c r="H343" s="868"/>
      <c r="I343" s="884"/>
    </row>
    <row r="344" spans="1:9" ht="12.75" customHeight="1" x14ac:dyDescent="0.3">
      <c r="A344" s="132" t="s">
        <v>113</v>
      </c>
      <c r="B344" s="868" t="str">
        <f>VLOOKUP(A343,[6]INICIO!$E$6:$H$26,4,FALSE)</f>
        <v>05202-316814 ANT</v>
      </c>
      <c r="C344" s="868"/>
      <c r="F344" s="86" t="s">
        <v>113</v>
      </c>
      <c r="G344" s="868"/>
      <c r="H344" s="868"/>
      <c r="I344" s="884"/>
    </row>
    <row r="345" spans="1:9" ht="12.75" customHeight="1" x14ac:dyDescent="0.3">
      <c r="A345" s="132"/>
      <c r="B345" s="116"/>
      <c r="C345" s="116"/>
      <c r="F345" s="86"/>
      <c r="G345" s="116"/>
      <c r="H345" s="116"/>
      <c r="I345" s="95"/>
    </row>
    <row r="346" spans="1:9" ht="12.75" customHeight="1" x14ac:dyDescent="0.3">
      <c r="A346" s="872" t="s">
        <v>110</v>
      </c>
      <c r="B346" s="869"/>
      <c r="C346" s="869"/>
      <c r="D346" s="869"/>
      <c r="E346" s="869"/>
      <c r="F346" s="869"/>
      <c r="G346" s="869"/>
      <c r="H346" s="869"/>
      <c r="I346" s="873"/>
    </row>
    <row r="347" spans="1:9" ht="12.75" customHeight="1" x14ac:dyDescent="0.3">
      <c r="A347" s="870"/>
      <c r="B347" s="691"/>
      <c r="C347" s="691"/>
      <c r="D347" s="691"/>
      <c r="E347" s="691"/>
      <c r="F347" s="691"/>
      <c r="G347" s="691"/>
      <c r="H347" s="691"/>
      <c r="I347" s="871"/>
    </row>
    <row r="348" spans="1:9" ht="12.75" customHeight="1" x14ac:dyDescent="0.3">
      <c r="A348" s="872"/>
      <c r="B348" s="869"/>
      <c r="C348" s="869"/>
      <c r="D348" s="869"/>
      <c r="E348" s="869"/>
      <c r="F348" s="869"/>
      <c r="G348" s="869"/>
      <c r="H348" s="869"/>
      <c r="I348" s="873"/>
    </row>
    <row r="349" spans="1:9" ht="12.75" customHeight="1" x14ac:dyDescent="0.3">
      <c r="A349" s="891" t="s">
        <v>68</v>
      </c>
      <c r="B349" s="892"/>
      <c r="C349" s="892"/>
      <c r="D349" s="892"/>
      <c r="E349" s="892"/>
      <c r="F349" s="892"/>
      <c r="G349" s="892"/>
      <c r="H349" s="892"/>
      <c r="I349" s="893"/>
    </row>
    <row r="350" spans="1:9" ht="14.4" customHeight="1" x14ac:dyDescent="0.3">
      <c r="A350" s="120" t="s">
        <v>69</v>
      </c>
      <c r="B350" s="112" t="s">
        <v>219</v>
      </c>
      <c r="C350" s="604" t="s">
        <v>70</v>
      </c>
      <c r="D350" s="874" t="str">
        <f>VLOOKUP(B350,PRESUPUESTO!$A$18:$I$76,3,FALSE)</f>
        <v>TUBERIA NOVAFORT 300MM  PARA SUMIDEROS</v>
      </c>
      <c r="E350" s="874"/>
      <c r="F350" s="874"/>
      <c r="G350" s="874"/>
      <c r="H350" s="874"/>
      <c r="I350" s="877"/>
    </row>
    <row r="351" spans="1:9" x14ac:dyDescent="0.3">
      <c r="A351" s="120" t="s">
        <v>71</v>
      </c>
      <c r="B351" s="112" t="str">
        <f>VLOOKUP(B350,PRESUPUESTO!$A$18:$I$76,2,FALSE)</f>
        <v>803A-EPM</v>
      </c>
      <c r="C351" s="604"/>
      <c r="D351" s="140" t="s">
        <v>12</v>
      </c>
      <c r="E351" s="113" t="s">
        <v>129</v>
      </c>
      <c r="F351" s="113" t="s">
        <v>13</v>
      </c>
      <c r="G351" s="113">
        <f>VLOOKUP(B350,PRESUPUESTO!$A$15:$I$1659,6,FALSE)</f>
        <v>1797</v>
      </c>
      <c r="H351" s="114" t="s">
        <v>27</v>
      </c>
      <c r="I351" s="136">
        <f>+I373</f>
        <v>119612</v>
      </c>
    </row>
    <row r="352" spans="1:9" x14ac:dyDescent="0.3">
      <c r="A352" s="3" t="s">
        <v>14</v>
      </c>
      <c r="B352" s="3"/>
      <c r="C352" s="115"/>
      <c r="D352" s="115"/>
      <c r="E352" s="115"/>
      <c r="F352" s="115"/>
      <c r="G352" s="115"/>
      <c r="H352" s="115"/>
      <c r="I352" s="118"/>
    </row>
    <row r="353" spans="1:9" x14ac:dyDescent="0.3">
      <c r="A353" s="868" t="s">
        <v>19</v>
      </c>
      <c r="B353" s="868"/>
      <c r="C353" s="868"/>
      <c r="D353" s="868"/>
      <c r="E353" s="868"/>
      <c r="F353" s="116" t="s">
        <v>28</v>
      </c>
      <c r="G353" s="116" t="s">
        <v>29</v>
      </c>
      <c r="H353" s="116" t="s">
        <v>30</v>
      </c>
      <c r="I353" s="115"/>
    </row>
    <row r="354" spans="1:9" x14ac:dyDescent="0.3">
      <c r="A354" s="116" t="s">
        <v>1</v>
      </c>
      <c r="B354" s="117"/>
      <c r="C354" s="878"/>
      <c r="D354" s="878"/>
      <c r="E354" s="878"/>
      <c r="F354" s="123"/>
      <c r="G354" s="115"/>
      <c r="H354" s="118">
        <f>+F354*G354</f>
        <v>0</v>
      </c>
      <c r="I354" s="115"/>
    </row>
    <row r="355" spans="1:9" x14ac:dyDescent="0.3">
      <c r="A355" s="115"/>
      <c r="B355" s="115"/>
      <c r="C355" s="115"/>
      <c r="D355" s="115"/>
      <c r="E355" s="115"/>
      <c r="F355" s="120" t="s">
        <v>32</v>
      </c>
      <c r="G355" s="121" t="str">
        <f>+B350</f>
        <v>2.7</v>
      </c>
      <c r="H355" s="121" t="s">
        <v>307</v>
      </c>
      <c r="I355" s="118">
        <f>SUM(H354:H354)</f>
        <v>0</v>
      </c>
    </row>
    <row r="356" spans="1:9" x14ac:dyDescent="0.3">
      <c r="A356" s="3" t="s">
        <v>34</v>
      </c>
      <c r="B356" s="3"/>
      <c r="C356" s="115"/>
      <c r="D356" s="115"/>
      <c r="E356" s="115"/>
      <c r="F356" s="115"/>
      <c r="G356" s="115"/>
      <c r="H356" s="115"/>
      <c r="I356" s="115"/>
    </row>
    <row r="357" spans="1:9" x14ac:dyDescent="0.3">
      <c r="A357" s="868" t="s">
        <v>35</v>
      </c>
      <c r="B357" s="868"/>
      <c r="C357" s="868"/>
      <c r="D357" s="868"/>
      <c r="E357" s="116" t="s">
        <v>12</v>
      </c>
      <c r="F357" s="116" t="s">
        <v>36</v>
      </c>
      <c r="G357" s="116" t="s">
        <v>37</v>
      </c>
      <c r="H357" s="116" t="s">
        <v>38</v>
      </c>
      <c r="I357" s="115"/>
    </row>
    <row r="358" spans="1:9" x14ac:dyDescent="0.3">
      <c r="A358" s="116" t="s">
        <v>523</v>
      </c>
      <c r="B358" s="117" t="s">
        <v>526</v>
      </c>
      <c r="C358" s="878" t="str">
        <f>IF($A358="EQUI",VLOOKUP($B358,EQUI!B$16:G$35,2,FALSE),IF($A358="TRAN",VLOOKUP($B358,TRAN!$B$16:$G$26,2,FALSE),IF($A358="MAT1",VLOOKUP($B358,'MAT1'!$B$16:$G$43,2,FALSE),IF($A358="MAT2",VLOOKUP($B358,'MAT2'!$B$16:$G$35,2,FALSE),IF($A358="MDEO",VLOOKUP($B358,MDEO!$B$16:$P$27,2,FALSE))))))</f>
        <v>Tubería Novafort 12"</v>
      </c>
      <c r="D358" s="878"/>
      <c r="E358" s="123" t="str">
        <f>IF($A358="EQUI",VLOOKUP($B358,EQUI!B$16:G$35,3,FALSE),IF($A358="TRAN",VLOOKUP($B358,TRAN!$B$16:$G$26,3,FALSE),IF($A358="MAT1",VLOOKUP($B358,'MAT1'!$B$16:$G$43,3,FALSE),IF($A358="MAT2",VLOOKUP($B358,'MAT2'!$B$16:$G$45,3,FALSE),IF($A358="MDEO",VLOOKUP($B358,MDEO!$B$16:$P$27,3,FALSE))))))</f>
        <v>ML</v>
      </c>
      <c r="F358" s="123">
        <f>IF($A358="EQUI",VLOOKUP($B358,EQUI!B$16:G$35,4,FALSE),IF($A358="TRAN",VLOOKUP($B358,TRAN!$B$16:$G$26,4,FALSE),IF($A358="MAT1",VLOOKUP($B358,'MAT1'!$B$16:$G$43,4,FALSE),IF($A358="MAT2",VLOOKUP($B358,'MAT2'!$B$16:$G$34,4,FALSE),IF($A358="MDEO",VLOOKUP($B358,MDEO!$B$16:$P$27,4,FALSE))))))</f>
        <v>102263.16666666667</v>
      </c>
      <c r="G358" s="115">
        <v>1</v>
      </c>
      <c r="H358" s="118">
        <f>G358*F358</f>
        <v>102263.16666666667</v>
      </c>
      <c r="I358" s="115"/>
    </row>
    <row r="359" spans="1:9" x14ac:dyDescent="0.3">
      <c r="A359" s="115"/>
      <c r="B359" s="115"/>
      <c r="C359" s="115"/>
      <c r="D359" s="115"/>
      <c r="E359" s="115"/>
      <c r="F359" s="120" t="s">
        <v>32</v>
      </c>
      <c r="G359" s="121" t="str">
        <f>+B350</f>
        <v>2.7</v>
      </c>
      <c r="H359" s="121" t="s">
        <v>308</v>
      </c>
      <c r="I359" s="115">
        <f>SUM(H358:H358)</f>
        <v>102263.16666666667</v>
      </c>
    </row>
    <row r="360" spans="1:9" x14ac:dyDescent="0.3">
      <c r="A360" s="3" t="s">
        <v>15</v>
      </c>
      <c r="B360" s="3"/>
      <c r="C360" s="115"/>
      <c r="D360" s="115"/>
      <c r="E360" s="115"/>
      <c r="F360" s="115"/>
      <c r="G360" s="115"/>
      <c r="H360" s="115"/>
      <c r="I360" s="115"/>
    </row>
    <row r="361" spans="1:9" ht="21" customHeight="1" x14ac:dyDescent="0.3">
      <c r="A361" s="868" t="s">
        <v>19</v>
      </c>
      <c r="B361" s="868"/>
      <c r="C361" s="868"/>
      <c r="D361" s="116" t="s">
        <v>43</v>
      </c>
      <c r="E361" s="116" t="s">
        <v>44</v>
      </c>
      <c r="F361" s="123" t="s">
        <v>45</v>
      </c>
      <c r="G361" s="116" t="s">
        <v>17</v>
      </c>
      <c r="H361" s="116" t="s">
        <v>30</v>
      </c>
      <c r="I361" s="115"/>
    </row>
    <row r="362" spans="1:9" x14ac:dyDescent="0.3">
      <c r="A362" s="131" t="s">
        <v>3</v>
      </c>
      <c r="B362" s="122"/>
      <c r="C362" s="135"/>
      <c r="D362" s="116"/>
      <c r="E362" s="115"/>
      <c r="F362" s="115"/>
      <c r="G362" s="115"/>
      <c r="H362" s="115">
        <f>+G362*F362</f>
        <v>0</v>
      </c>
      <c r="I362" s="115"/>
    </row>
    <row r="363" spans="1:9" x14ac:dyDescent="0.3">
      <c r="A363" s="115"/>
      <c r="B363" s="115"/>
      <c r="C363" s="115"/>
      <c r="D363" s="115"/>
      <c r="E363" s="115"/>
      <c r="F363" s="120" t="s">
        <v>32</v>
      </c>
      <c r="G363" s="121" t="str">
        <f>+B350</f>
        <v>2.7</v>
      </c>
      <c r="H363" s="121" t="s">
        <v>309</v>
      </c>
      <c r="I363" s="115">
        <f>SUM(H362:H362)</f>
        <v>0</v>
      </c>
    </row>
    <row r="364" spans="1:9" x14ac:dyDescent="0.3">
      <c r="A364" s="3"/>
      <c r="B364" s="3"/>
      <c r="C364" s="115"/>
      <c r="D364" s="115"/>
      <c r="E364" s="115"/>
      <c r="F364" s="115"/>
      <c r="G364" s="115"/>
      <c r="H364" s="115"/>
      <c r="I364" s="115"/>
    </row>
    <row r="365" spans="1:9" x14ac:dyDescent="0.3">
      <c r="A365" s="874" t="s">
        <v>47</v>
      </c>
      <c r="B365" s="874"/>
      <c r="C365" s="874"/>
      <c r="D365" s="123" t="s">
        <v>48</v>
      </c>
      <c r="E365" s="123" t="s">
        <v>109</v>
      </c>
      <c r="F365" s="124" t="s">
        <v>49</v>
      </c>
      <c r="G365" s="124" t="s">
        <v>29</v>
      </c>
      <c r="H365" s="123" t="s">
        <v>30</v>
      </c>
      <c r="I365" s="133"/>
    </row>
    <row r="366" spans="1:9" x14ac:dyDescent="0.3">
      <c r="A366" s="131" t="s">
        <v>4</v>
      </c>
      <c r="B366" s="131" t="s">
        <v>175</v>
      </c>
      <c r="C366" s="126" t="str">
        <f>IF($A366="EQUI",VLOOKUP($B366,EQUI!B$16:G$37,2,FALSE),IF($A366="TRAN",VLOOKUP($B366,TRAN!$B$16:$G$26,2,FALSE),IF($A366="MAT",VLOOKUP($B366,'MAT1'!$B$16:$G$43,2,FALSE),IF($A366="MDEO",VLOOKUP($B366,MDEO!$B$16:$P$27,2,FALSE)))))</f>
        <v xml:space="preserve">oficial </v>
      </c>
      <c r="D366" s="31">
        <f>IF($A366="EQUI",VLOOKUP($B366,EQUI!B$16:G$35,3,FALSE),IF($A366="TRAN",VLOOKUP($B366,TRAN!$B$16:$G$26,3,FALSE),IF($A366="MAT",VLOOKUP($B366,'MAT1'!$B$16:$G$43,3,FALSE),IF($A366="MDEO",VLOOKUP($B366,MDEO!$B$16:$P$27,3,FALSE)))))</f>
        <v>4833.333333333333</v>
      </c>
      <c r="E366" s="127"/>
      <c r="F366" s="32">
        <f>+D366+D366*E366</f>
        <v>4833.333333333333</v>
      </c>
      <c r="G366" s="130">
        <v>1.1000000000000001</v>
      </c>
      <c r="H366" s="128">
        <f>G366*F366</f>
        <v>5316.666666666667</v>
      </c>
      <c r="I366" s="115"/>
    </row>
    <row r="367" spans="1:9" x14ac:dyDescent="0.3">
      <c r="A367" s="131" t="s">
        <v>4</v>
      </c>
      <c r="B367" s="131" t="s">
        <v>176</v>
      </c>
      <c r="C367" s="126" t="str">
        <f>IF($A367="EQUI",VLOOKUP($B367,EQUI!B$16:G$37,2,FALSE),IF($A367="TRAN",VLOOKUP($B367,TRAN!$B$16:$G$26,2,FALSE),IF($A367="MAT",VLOOKUP($B367,'MAT1'!$B$16:$G$43,2,FALSE),IF($A367="MDEO",VLOOKUP($B367,MDEO!$B$16:$P$27,2,FALSE)))))</f>
        <v xml:space="preserve">ayudante entendido </v>
      </c>
      <c r="D367" s="31">
        <f>IF($A367="EQUI",VLOOKUP($B367,EQUI!B$16:G$35,3,FALSE),IF($A367="TRAN",VLOOKUP($B367,TRAN!$B$16:$G$26,3,FALSE),IF($A367="MAT",VLOOKUP($B367,'MAT1'!$B$16:$G$43,3,FALSE),IF($A367="MDEO",VLOOKUP($B367,MDEO!$B$16:$P$27,3,FALSE)))))</f>
        <v>4833.333333333333</v>
      </c>
      <c r="E367" s="127"/>
      <c r="F367" s="32">
        <f>+D367+D367*E367</f>
        <v>4833.333333333333</v>
      </c>
      <c r="G367" s="130">
        <v>1.1000000000000001</v>
      </c>
      <c r="H367" s="128">
        <f>G367*F367</f>
        <v>5316.666666666667</v>
      </c>
      <c r="I367" s="115"/>
    </row>
    <row r="368" spans="1:9" x14ac:dyDescent="0.3">
      <c r="A368" s="131" t="s">
        <v>4</v>
      </c>
      <c r="B368" s="131" t="s">
        <v>177</v>
      </c>
      <c r="C368" s="126" t="str">
        <f>IF($A368="EQUI",VLOOKUP($B368,EQUI!B$16:G$37,2,FALSE),IF($A368="TRAN",VLOOKUP($B368,TRAN!$B$16:$G$26,2,FALSE),IF($A368="MAT",VLOOKUP($B368,'MAT1'!$B$16:$G$43,2,FALSE),IF($A368="MDEO",VLOOKUP($B368,MDEO!$B$16:$P$27,2,FALSE)))))</f>
        <v xml:space="preserve">ayudante </v>
      </c>
      <c r="D368" s="31">
        <f>IF($A368="EQUI",VLOOKUP($B368,EQUI!B$16:G$35,3,FALSE),IF($A368="TRAN",VLOOKUP($B368,TRAN!$B$16:$G$26,3,FALSE),IF($A368="MAT",VLOOKUP($B368,'MAT1'!$B$16:$G$43,3,FALSE),IF($A368="MDEO",VLOOKUP($B368,MDEO!$B$16:$P$27,3,FALSE)))))</f>
        <v>4833.333333333333</v>
      </c>
      <c r="E368" s="127"/>
      <c r="F368" s="32">
        <f>+D368+D368*E368</f>
        <v>4833.333333333333</v>
      </c>
      <c r="G368" s="130">
        <v>1.1000000000000001</v>
      </c>
      <c r="H368" s="128">
        <f>G368*F368</f>
        <v>5316.666666666667</v>
      </c>
      <c r="I368" s="115"/>
    </row>
    <row r="369" spans="1:9" x14ac:dyDescent="0.3">
      <c r="A369" s="131" t="s">
        <v>4</v>
      </c>
      <c r="B369" s="131" t="s">
        <v>178</v>
      </c>
      <c r="C369" s="126" t="str">
        <f>IF($A369="EQUI",VLOOKUP($B369,EQUI!B$16:G$37,2,FALSE),IF($A369="TRAN",VLOOKUP($B369,TRAN!$B$16:$G$26,2,FALSE),IF($A369="MAT",VLOOKUP($B369,'MAT1'!$B$16:$G$43,2,FALSE),IF($A369="MDEO",VLOOKUP($B369,MDEO!$B$16:$P$33,2,FALSE)))))</f>
        <v>contra maestro</v>
      </c>
      <c r="D369" s="31">
        <f>IF($A369="EQUI",VLOOKUP($B369,EQUI!B$16:G$35,3,FALSE),IF($A369="TRAN",VLOOKUP($B369,TRAN!$B$16:$G$26,3,FALSE),IF($A369="MAT",VLOOKUP($B369,'MAT1'!$B$16:$G$43,3,FALSE),IF($A369="MDEO",VLOOKUP($B369,MDEO!$B$16:$P$33,3,FALSE)))))</f>
        <v>5208.333333333333</v>
      </c>
      <c r="E369" s="127"/>
      <c r="F369" s="32">
        <f>+D369+D369*E369</f>
        <v>5208.333333333333</v>
      </c>
      <c r="G369" s="130">
        <f>+G366*0.1</f>
        <v>0.11000000000000001</v>
      </c>
      <c r="H369" s="128">
        <f>G369*F369</f>
        <v>572.91666666666674</v>
      </c>
      <c r="I369" s="115"/>
    </row>
    <row r="370" spans="1:9" x14ac:dyDescent="0.3">
      <c r="A370" s="868"/>
      <c r="B370" s="868"/>
      <c r="C370" s="115"/>
      <c r="D370" s="115"/>
      <c r="E370" s="115"/>
      <c r="F370" s="115"/>
      <c r="G370" s="115"/>
      <c r="H370" s="115"/>
      <c r="I370" s="115"/>
    </row>
    <row r="371" spans="1:9" x14ac:dyDescent="0.3">
      <c r="A371" s="115"/>
      <c r="B371" s="115"/>
      <c r="C371" s="115"/>
      <c r="D371" s="115"/>
      <c r="E371" s="115"/>
      <c r="F371" s="120" t="s">
        <v>32</v>
      </c>
      <c r="G371" s="121" t="str">
        <f>+B350</f>
        <v>2.7</v>
      </c>
      <c r="H371" s="120" t="s">
        <v>310</v>
      </c>
      <c r="I371" s="118">
        <f>SUM(H366:H370)</f>
        <v>16522.916666666668</v>
      </c>
    </row>
    <row r="372" spans="1:9" x14ac:dyDescent="0.3">
      <c r="A372" s="115" t="s">
        <v>54</v>
      </c>
      <c r="B372" s="115"/>
      <c r="C372" s="115"/>
      <c r="D372" s="115"/>
      <c r="E372" s="115"/>
      <c r="F372" s="115"/>
      <c r="G372" s="115"/>
      <c r="H372" s="116"/>
      <c r="I372" s="118">
        <f>I371*0.05</f>
        <v>826.14583333333348</v>
      </c>
    </row>
    <row r="373" spans="1:9" x14ac:dyDescent="0.3">
      <c r="A373" s="115"/>
      <c r="B373" s="115"/>
      <c r="C373" s="115"/>
      <c r="D373" s="115"/>
      <c r="E373" s="115"/>
      <c r="F373" s="120" t="s">
        <v>55</v>
      </c>
      <c r="G373" s="116"/>
      <c r="H373" s="116"/>
      <c r="I373" s="118">
        <f>ROUND(I371+I372+I359+I355+I363,0)</f>
        <v>119612</v>
      </c>
    </row>
    <row r="374" spans="1:9" x14ac:dyDescent="0.3">
      <c r="A374" s="868" t="s">
        <v>56</v>
      </c>
      <c r="B374" s="868"/>
      <c r="C374" s="868"/>
      <c r="D374" s="868"/>
      <c r="E374" s="868" t="s">
        <v>57</v>
      </c>
      <c r="F374" s="868"/>
      <c r="G374" s="875" t="s">
        <v>58</v>
      </c>
      <c r="H374" s="875"/>
      <c r="I374" s="118"/>
    </row>
    <row r="375" spans="1:9" x14ac:dyDescent="0.3">
      <c r="A375" s="868" t="s">
        <v>208</v>
      </c>
      <c r="B375" s="868"/>
      <c r="C375" s="868"/>
      <c r="D375" s="868"/>
      <c r="E375" s="876">
        <v>0.02</v>
      </c>
      <c r="F375" s="876"/>
      <c r="G375" s="875">
        <f>+I373*E375</f>
        <v>2392.2400000000002</v>
      </c>
      <c r="H375" s="875"/>
      <c r="I375" s="118"/>
    </row>
    <row r="376" spans="1:9" x14ac:dyDescent="0.3">
      <c r="A376" s="868" t="s">
        <v>5</v>
      </c>
      <c r="B376" s="868"/>
      <c r="C376" s="868"/>
      <c r="D376" s="868"/>
      <c r="E376" s="876">
        <v>0.23</v>
      </c>
      <c r="F376" s="876"/>
      <c r="G376" s="875">
        <f>+E376*I373</f>
        <v>27510.760000000002</v>
      </c>
      <c r="H376" s="875"/>
      <c r="I376" s="118"/>
    </row>
    <row r="377" spans="1:9" x14ac:dyDescent="0.3">
      <c r="A377" s="868" t="s">
        <v>6</v>
      </c>
      <c r="B377" s="868"/>
      <c r="C377" s="868"/>
      <c r="D377" s="868"/>
      <c r="E377" s="876">
        <v>0.05</v>
      </c>
      <c r="F377" s="876"/>
      <c r="G377" s="875">
        <f>+E377*I373</f>
        <v>5980.6</v>
      </c>
      <c r="H377" s="875"/>
      <c r="I377" s="118"/>
    </row>
    <row r="378" spans="1:9" x14ac:dyDescent="0.3">
      <c r="A378" s="868" t="s">
        <v>207</v>
      </c>
      <c r="B378" s="868"/>
      <c r="C378" s="868"/>
      <c r="D378" s="868"/>
      <c r="E378" s="876">
        <v>0.02</v>
      </c>
      <c r="F378" s="876"/>
      <c r="G378" s="875">
        <f>+E378*I373</f>
        <v>2392.2400000000002</v>
      </c>
      <c r="H378" s="875"/>
      <c r="I378" s="118"/>
    </row>
    <row r="379" spans="1:9" x14ac:dyDescent="0.3">
      <c r="A379" s="867" t="s">
        <v>397</v>
      </c>
      <c r="B379" s="867"/>
      <c r="C379" s="867"/>
      <c r="D379" s="867"/>
      <c r="E379" s="867"/>
      <c r="F379" s="867"/>
      <c r="G379" s="867"/>
      <c r="H379" s="867"/>
      <c r="I379" s="118">
        <f>+G378+G376+G377+G375</f>
        <v>38275.840000000004</v>
      </c>
    </row>
    <row r="380" spans="1:9" x14ac:dyDescent="0.3">
      <c r="A380" s="867" t="s">
        <v>59</v>
      </c>
      <c r="B380" s="867"/>
      <c r="C380" s="867"/>
      <c r="D380" s="867"/>
      <c r="E380" s="867"/>
      <c r="F380" s="867"/>
      <c r="G380" s="867"/>
      <c r="H380" s="867"/>
      <c r="I380" s="118">
        <f>+I379+I373</f>
        <v>157887.84</v>
      </c>
    </row>
    <row r="381" spans="1:9" x14ac:dyDescent="0.3">
      <c r="A381" s="65"/>
      <c r="B381" s="65"/>
      <c r="C381" s="65"/>
      <c r="D381" s="65"/>
      <c r="E381" s="65"/>
      <c r="F381" s="65"/>
      <c r="G381" s="65"/>
      <c r="H381" s="65"/>
      <c r="I381" s="118"/>
    </row>
    <row r="382" spans="1:9" x14ac:dyDescent="0.3">
      <c r="A382" s="604" t="s">
        <v>114</v>
      </c>
      <c r="B382" s="604"/>
      <c r="C382" s="604"/>
      <c r="D382" s="65"/>
      <c r="E382" s="65"/>
      <c r="F382" s="604" t="s">
        <v>396</v>
      </c>
      <c r="G382" s="604"/>
      <c r="H382" s="604"/>
      <c r="I382" s="604"/>
    </row>
    <row r="383" spans="1:9" x14ac:dyDescent="0.3">
      <c r="A383" s="116" t="s">
        <v>111</v>
      </c>
      <c r="B383" s="868"/>
      <c r="C383" s="868"/>
      <c r="D383" s="115"/>
      <c r="E383" s="115"/>
      <c r="F383" s="116" t="s">
        <v>111</v>
      </c>
      <c r="G383" s="868"/>
      <c r="H383" s="868"/>
      <c r="I383" s="868"/>
    </row>
    <row r="384" spans="1:9" x14ac:dyDescent="0.3">
      <c r="A384" s="86" t="s">
        <v>115</v>
      </c>
      <c r="B384" s="868" t="str">
        <f>VLOOKUP(A384,[11]INICIO!$E$6:$H$26,2,FALSE)</f>
        <v>JHON EMIR GAMBOA MENA</v>
      </c>
      <c r="C384" s="868"/>
      <c r="F384" s="86" t="s">
        <v>112</v>
      </c>
      <c r="G384" s="868"/>
      <c r="H384" s="868"/>
      <c r="I384" s="868"/>
    </row>
    <row r="385" spans="1:9" x14ac:dyDescent="0.3">
      <c r="A385" s="86" t="s">
        <v>113</v>
      </c>
      <c r="B385" s="868" t="str">
        <f>VLOOKUP(A384,[11]INICIO!$E$6:$H$26,4,FALSE)</f>
        <v>05202-316814 ANT</v>
      </c>
      <c r="C385" s="868"/>
      <c r="F385" s="86" t="s">
        <v>113</v>
      </c>
      <c r="G385" s="868"/>
      <c r="H385" s="868"/>
      <c r="I385" s="868"/>
    </row>
    <row r="386" spans="1:9" x14ac:dyDescent="0.3">
      <c r="A386" s="86"/>
      <c r="B386" s="116"/>
      <c r="C386" s="116"/>
      <c r="F386" s="86"/>
      <c r="G386" s="116"/>
      <c r="H386" s="116"/>
      <c r="I386" s="116"/>
    </row>
    <row r="387" spans="1:9" x14ac:dyDescent="0.3">
      <c r="A387" s="869" t="s">
        <v>110</v>
      </c>
      <c r="B387" s="869"/>
      <c r="C387" s="869"/>
      <c r="D387" s="869"/>
      <c r="E387" s="869"/>
      <c r="F387" s="869"/>
      <c r="G387" s="869"/>
      <c r="H387" s="869"/>
      <c r="I387" s="869"/>
    </row>
    <row r="388" spans="1:9" x14ac:dyDescent="0.3">
      <c r="A388" s="870"/>
      <c r="B388" s="691"/>
      <c r="C388" s="691"/>
      <c r="D388" s="691"/>
      <c r="E388" s="691"/>
      <c r="F388" s="691"/>
      <c r="G388" s="691"/>
      <c r="H388" s="691"/>
      <c r="I388" s="871"/>
    </row>
    <row r="389" spans="1:9" x14ac:dyDescent="0.3">
      <c r="A389" s="872"/>
      <c r="B389" s="869"/>
      <c r="C389" s="869"/>
      <c r="D389" s="869"/>
      <c r="E389" s="869"/>
      <c r="F389" s="869"/>
      <c r="G389" s="869"/>
      <c r="H389" s="869"/>
      <c r="I389" s="873"/>
    </row>
    <row r="391" spans="1:9" x14ac:dyDescent="0.3">
      <c r="A391" s="604" t="s">
        <v>68</v>
      </c>
      <c r="B391" s="604"/>
      <c r="C391" s="604"/>
      <c r="D391" s="604"/>
      <c r="E391" s="604"/>
      <c r="F391" s="604"/>
      <c r="G391" s="604"/>
      <c r="H391" s="604"/>
      <c r="I391" s="604"/>
    </row>
    <row r="392" spans="1:9" ht="14.4" customHeight="1" x14ac:dyDescent="0.3">
      <c r="A392" s="120" t="s">
        <v>69</v>
      </c>
      <c r="B392" s="112" t="s">
        <v>220</v>
      </c>
      <c r="C392" s="604" t="s">
        <v>70</v>
      </c>
      <c r="D392" s="874" t="str">
        <f>VLOOKUP(B392,PRESUPUESTO!$A$18:$I$76,3,FALSE)</f>
        <v>TUBERIA NOVAFORT 400MM  PARA RED AGUAS LLUVIAS</v>
      </c>
      <c r="E392" s="874"/>
      <c r="F392" s="874"/>
      <c r="G392" s="874"/>
      <c r="H392" s="874"/>
      <c r="I392" s="877"/>
    </row>
    <row r="393" spans="1:9" x14ac:dyDescent="0.3">
      <c r="A393" s="120" t="s">
        <v>71</v>
      </c>
      <c r="B393" s="112" t="str">
        <f>VLOOKUP(B392,PRESUPUESTO!$A$18:$I$76,2,FALSE)</f>
        <v>803B-EPM</v>
      </c>
      <c r="C393" s="604"/>
      <c r="D393" s="140" t="s">
        <v>12</v>
      </c>
      <c r="E393" s="113" t="s">
        <v>129</v>
      </c>
      <c r="F393" s="113" t="s">
        <v>13</v>
      </c>
      <c r="G393" s="113">
        <f>VLOOKUP(B392,PRESUPUESTO!$A$15:$I$1659,6,FALSE)</f>
        <v>1428.02</v>
      </c>
      <c r="H393" s="114" t="s">
        <v>27</v>
      </c>
      <c r="I393" s="136">
        <f>+I414</f>
        <v>206374</v>
      </c>
    </row>
    <row r="394" spans="1:9" x14ac:dyDescent="0.3">
      <c r="A394" s="3" t="s">
        <v>14</v>
      </c>
      <c r="B394" s="3"/>
      <c r="C394" s="115"/>
      <c r="D394" s="115"/>
      <c r="E394" s="115"/>
      <c r="F394" s="115"/>
      <c r="G394" s="115"/>
      <c r="H394" s="115"/>
      <c r="I394" s="118"/>
    </row>
    <row r="395" spans="1:9" x14ac:dyDescent="0.3">
      <c r="A395" s="868" t="s">
        <v>19</v>
      </c>
      <c r="B395" s="868"/>
      <c r="C395" s="868"/>
      <c r="D395" s="868"/>
      <c r="E395" s="868"/>
      <c r="F395" s="116" t="s">
        <v>28</v>
      </c>
      <c r="G395" s="116" t="s">
        <v>29</v>
      </c>
      <c r="H395" s="116" t="s">
        <v>30</v>
      </c>
      <c r="I395" s="115"/>
    </row>
    <row r="396" spans="1:9" x14ac:dyDescent="0.3">
      <c r="A396" s="116" t="s">
        <v>1</v>
      </c>
      <c r="B396" s="117"/>
      <c r="C396" s="878"/>
      <c r="D396" s="878"/>
      <c r="E396" s="878"/>
      <c r="F396" s="123"/>
      <c r="G396" s="115"/>
      <c r="H396" s="118">
        <f>+F396*G396</f>
        <v>0</v>
      </c>
      <c r="I396" s="115"/>
    </row>
    <row r="397" spans="1:9" x14ac:dyDescent="0.3">
      <c r="A397" s="115"/>
      <c r="B397" s="115"/>
      <c r="C397" s="115"/>
      <c r="D397" s="115"/>
      <c r="E397" s="115"/>
      <c r="F397" s="120" t="s">
        <v>32</v>
      </c>
      <c r="G397" s="121" t="str">
        <f>+B392</f>
        <v>2.8</v>
      </c>
      <c r="H397" s="121" t="s">
        <v>311</v>
      </c>
      <c r="I397" s="118">
        <f>SUM(H396:H396)</f>
        <v>0</v>
      </c>
    </row>
    <row r="398" spans="1:9" x14ac:dyDescent="0.3">
      <c r="A398" s="3" t="s">
        <v>34</v>
      </c>
      <c r="B398" s="3"/>
      <c r="C398" s="115"/>
      <c r="D398" s="115"/>
      <c r="E398" s="115"/>
      <c r="F398" s="115"/>
      <c r="G398" s="115"/>
      <c r="H398" s="115"/>
      <c r="I398" s="115"/>
    </row>
    <row r="399" spans="1:9" x14ac:dyDescent="0.3">
      <c r="A399" s="868" t="s">
        <v>35</v>
      </c>
      <c r="B399" s="868"/>
      <c r="C399" s="868"/>
      <c r="D399" s="868"/>
      <c r="E399" s="116" t="s">
        <v>12</v>
      </c>
      <c r="F399" s="116" t="s">
        <v>36</v>
      </c>
      <c r="G399" s="116" t="s">
        <v>37</v>
      </c>
      <c r="H399" s="116" t="s">
        <v>38</v>
      </c>
      <c r="I399" s="115"/>
    </row>
    <row r="400" spans="1:9" x14ac:dyDescent="0.3">
      <c r="A400" s="116" t="s">
        <v>523</v>
      </c>
      <c r="B400" s="117" t="s">
        <v>148</v>
      </c>
      <c r="C400" s="878" t="str">
        <f>IF($A400="EQUI",VLOOKUP($B400,EQUI!B$16:G$35,2,FALSE),IF($A400="TRAN",VLOOKUP($B400,TRAN!$B$16:$G$26,2,FALSE),IF($A400="MAT1",VLOOKUP($B400,'MAT1'!$B$16:$G$43,2,FALSE),IF($A400="MAT2",VLOOKUP($B400,'MAT2'!$B$16:$G$55,2,FALSE),IF($A400="MDEO",VLOOKUP($B400,MDEO!$B$16:$P$27,2,FALSE))))))</f>
        <v>Tubería Novafort 16"</v>
      </c>
      <c r="D400" s="878"/>
      <c r="E400" s="123" t="str">
        <f>IF($A400="EQUI",VLOOKUP($B400,EQUI!B$16:G$35,3,FALSE),IF($A400="TRAN",VLOOKUP($B400,TRAN!$B$16:$G$26,3,FALSE),IF($A400="MAT1",VLOOKUP($B400,'MAT1'!$B$16:$G$43,3,FALSE),IF($A400="MAT2",VLOOKUP($B400,'MAT2'!$B$16:$G$55,3,FALSE),IF($A400="MDEO",VLOOKUP($B400,MDEO!$B$16:$P$27,3,FALSE))))))</f>
        <v>ML</v>
      </c>
      <c r="F400" s="123">
        <f>IF($A400="EQUI",VLOOKUP($B400,EQUI!B$16:G$35,4,FALSE),IF($A400="TRAN",VLOOKUP($B400,TRAN!$B$16:$G$26,4,FALSE),IF($A400="MAT1",VLOOKUP($B400,'MAT1'!$B$16:$G$43,4,FALSE),IF($A400="MAT2",VLOOKUP($B400,'MAT2'!$B$16:$G$53,4,FALSE),IF($A400="MDEO",VLOOKUP($B400,MDEO!$B$16:$P$27,4,FALSE))))))</f>
        <v>187447.5</v>
      </c>
      <c r="G400" s="115">
        <v>1</v>
      </c>
      <c r="H400" s="118">
        <f>G400*F400</f>
        <v>187447.5</v>
      </c>
      <c r="I400" s="115"/>
    </row>
    <row r="401" spans="1:9" x14ac:dyDescent="0.3">
      <c r="A401" s="115"/>
      <c r="B401" s="115"/>
      <c r="C401" s="115"/>
      <c r="D401" s="115"/>
      <c r="E401" s="115"/>
      <c r="F401" s="120" t="s">
        <v>32</v>
      </c>
      <c r="G401" s="121" t="str">
        <f>+B392</f>
        <v>2.8</v>
      </c>
      <c r="H401" s="121" t="s">
        <v>312</v>
      </c>
      <c r="I401" s="115">
        <f>SUM(H400:H400)</f>
        <v>187447.5</v>
      </c>
    </row>
    <row r="402" spans="1:9" x14ac:dyDescent="0.3">
      <c r="A402" s="3" t="s">
        <v>15</v>
      </c>
      <c r="B402" s="3"/>
      <c r="C402" s="115"/>
      <c r="D402" s="115"/>
      <c r="E402" s="115"/>
      <c r="F402" s="115"/>
      <c r="G402" s="115"/>
      <c r="H402" s="115"/>
      <c r="I402" s="115"/>
    </row>
    <row r="403" spans="1:9" x14ac:dyDescent="0.3">
      <c r="A403" s="868" t="s">
        <v>19</v>
      </c>
      <c r="B403" s="868"/>
      <c r="C403" s="868"/>
      <c r="D403" s="116" t="s">
        <v>43</v>
      </c>
      <c r="E403" s="116" t="s">
        <v>44</v>
      </c>
      <c r="F403" s="123" t="s">
        <v>45</v>
      </c>
      <c r="G403" s="116" t="s">
        <v>17</v>
      </c>
      <c r="H403" s="116" t="s">
        <v>30</v>
      </c>
      <c r="I403" s="115"/>
    </row>
    <row r="404" spans="1:9" x14ac:dyDescent="0.3">
      <c r="A404" s="131" t="s">
        <v>3</v>
      </c>
      <c r="B404" s="122"/>
      <c r="C404" s="135"/>
      <c r="D404" s="116"/>
      <c r="E404" s="115"/>
      <c r="F404" s="115"/>
      <c r="G404" s="115"/>
      <c r="H404" s="115">
        <f>+G404*F404</f>
        <v>0</v>
      </c>
      <c r="I404" s="115"/>
    </row>
    <row r="405" spans="1:9" x14ac:dyDescent="0.3">
      <c r="A405" s="115"/>
      <c r="B405" s="115"/>
      <c r="C405" s="115"/>
      <c r="D405" s="115"/>
      <c r="E405" s="115"/>
      <c r="F405" s="120" t="s">
        <v>32</v>
      </c>
      <c r="G405" s="121" t="str">
        <f>+B392</f>
        <v>2.8</v>
      </c>
      <c r="H405" s="121" t="s">
        <v>313</v>
      </c>
      <c r="I405" s="115">
        <f>SUM(H404:H404)</f>
        <v>0</v>
      </c>
    </row>
    <row r="406" spans="1:9" x14ac:dyDescent="0.3">
      <c r="A406" s="3"/>
      <c r="B406" s="3"/>
      <c r="C406" s="115"/>
      <c r="D406" s="115"/>
      <c r="E406" s="115"/>
      <c r="F406" s="115"/>
      <c r="G406" s="115"/>
      <c r="H406" s="115"/>
      <c r="I406" s="115"/>
    </row>
    <row r="407" spans="1:9" x14ac:dyDescent="0.3">
      <c r="A407" s="874" t="s">
        <v>47</v>
      </c>
      <c r="B407" s="874"/>
      <c r="C407" s="874"/>
      <c r="D407" s="123" t="s">
        <v>48</v>
      </c>
      <c r="E407" s="123" t="s">
        <v>109</v>
      </c>
      <c r="F407" s="124" t="s">
        <v>49</v>
      </c>
      <c r="G407" s="124" t="s">
        <v>29</v>
      </c>
      <c r="H407" s="123" t="s">
        <v>30</v>
      </c>
      <c r="I407" s="133"/>
    </row>
    <row r="408" spans="1:9" x14ac:dyDescent="0.3">
      <c r="A408" s="131" t="s">
        <v>4</v>
      </c>
      <c r="B408" s="131" t="s">
        <v>175</v>
      </c>
      <c r="C408" s="126" t="str">
        <f>IF($A408="EQUI",VLOOKUP($B408,EQUI!B$16:G$37,2,FALSE),IF($A408="TRAN",VLOOKUP($B408,TRAN!$B$16:$G$26,2,FALSE),IF($A408="MAT",VLOOKUP($B408,'MAT1'!$B$16:$G$43,2,FALSE),IF($A408="MDEO",VLOOKUP($B408,MDEO!$B$16:$P$27,2,FALSE)))))</f>
        <v xml:space="preserve">oficial </v>
      </c>
      <c r="D408" s="31">
        <f>IF($A408="EQUI",VLOOKUP($B408,EQUI!B$16:G$35,3,FALSE),IF($A408="TRAN",VLOOKUP($B408,TRAN!$B$16:$G$26,3,FALSE),IF($A408="MAT",VLOOKUP($B408,'MAT1'!$B$16:$G$43,3,FALSE),IF($A408="MDEO",VLOOKUP($B408,MDEO!$B$16:$P$27,3,FALSE)))))</f>
        <v>4833.333333333333</v>
      </c>
      <c r="E408" s="127"/>
      <c r="F408" s="32">
        <f>+D408+D408*E408</f>
        <v>4833.333333333333</v>
      </c>
      <c r="G408" s="130">
        <v>1.2</v>
      </c>
      <c r="H408" s="128">
        <f>G408*F408</f>
        <v>5799.9999999999991</v>
      </c>
      <c r="I408" s="115"/>
    </row>
    <row r="409" spans="1:9" x14ac:dyDescent="0.3">
      <c r="A409" s="131" t="s">
        <v>4</v>
      </c>
      <c r="B409" s="131" t="s">
        <v>176</v>
      </c>
      <c r="C409" s="126" t="str">
        <f>IF($A409="EQUI",VLOOKUP($B409,EQUI!B$16:G$37,2,FALSE),IF($A409="TRAN",VLOOKUP($B409,TRAN!$B$16:$G$26,2,FALSE),IF($A409="MAT",VLOOKUP($B409,'MAT1'!$B$16:$G$43,2,FALSE),IF($A409="MDEO",VLOOKUP($B409,MDEO!$B$16:$P$27,2,FALSE)))))</f>
        <v xml:space="preserve">ayudante entendido </v>
      </c>
      <c r="D409" s="31">
        <f>IF($A409="EQUI",VLOOKUP($B409,EQUI!B$16:G$35,3,FALSE),IF($A409="TRAN",VLOOKUP($B409,TRAN!$B$16:$G$26,3,FALSE),IF($A409="MAT",VLOOKUP($B409,'MAT1'!$B$16:$G$43,3,FALSE),IF($A409="MDEO",VLOOKUP($B409,MDEO!$B$16:$P$27,3,FALSE)))))</f>
        <v>4833.333333333333</v>
      </c>
      <c r="E409" s="127"/>
      <c r="F409" s="32">
        <f>+D409+D409*E409</f>
        <v>4833.333333333333</v>
      </c>
      <c r="G409" s="130">
        <v>1.2</v>
      </c>
      <c r="H409" s="128">
        <f>G409*F409</f>
        <v>5799.9999999999991</v>
      </c>
      <c r="I409" s="115"/>
    </row>
    <row r="410" spans="1:9" x14ac:dyDescent="0.3">
      <c r="A410" s="131" t="s">
        <v>4</v>
      </c>
      <c r="B410" s="131" t="s">
        <v>177</v>
      </c>
      <c r="C410" s="126" t="str">
        <f>IF($A410="EQUI",VLOOKUP($B410,EQUI!B$16:G$37,2,FALSE),IF($A410="TRAN",VLOOKUP($B410,TRAN!$B$16:$G$26,2,FALSE),IF($A410="MAT",VLOOKUP($B410,'MAT1'!$B$16:$G$43,2,FALSE),IF($A410="MDEO",VLOOKUP($B410,MDEO!$B$16:$P$27,2,FALSE)))))</f>
        <v xml:space="preserve">ayudante </v>
      </c>
      <c r="D410" s="31">
        <f>IF($A410="EQUI",VLOOKUP($B410,EQUI!B$16:G$35,3,FALSE),IF($A410="TRAN",VLOOKUP($B410,TRAN!$B$16:$G$26,3,FALSE),IF($A410="MAT",VLOOKUP($B410,'MAT1'!$B$16:$G$43,3,FALSE),IF($A410="MDEO",VLOOKUP($B410,MDEO!$B$16:$P$27,3,FALSE)))))</f>
        <v>4833.333333333333</v>
      </c>
      <c r="E410" s="127"/>
      <c r="F410" s="32">
        <f>+D410+D410*E410</f>
        <v>4833.333333333333</v>
      </c>
      <c r="G410" s="130">
        <v>1.2</v>
      </c>
      <c r="H410" s="128">
        <f>G410*F410</f>
        <v>5799.9999999999991</v>
      </c>
      <c r="I410" s="115"/>
    </row>
    <row r="411" spans="1:9" x14ac:dyDescent="0.3">
      <c r="A411" s="131" t="s">
        <v>4</v>
      </c>
      <c r="B411" s="131" t="s">
        <v>178</v>
      </c>
      <c r="C411" s="126" t="str">
        <f>IF($A411="EQUI",VLOOKUP($B411,EQUI!B$16:G$37,2,FALSE),IF($A411="TRAN",VLOOKUP($B411,TRAN!$B$16:$G$26,2,FALSE),IF($A411="MAT",VLOOKUP($B411,'MAT1'!$B$16:$G$43,2,FALSE),IF($A411="MDEO",VLOOKUP($B411,MDEO!$B$16:$P$33,2,FALSE)))))</f>
        <v>contra maestro</v>
      </c>
      <c r="D411" s="31">
        <f>IF($A411="EQUI",VLOOKUP($B411,EQUI!B$16:G$35,3,FALSE),IF($A411="TRAN",VLOOKUP($B411,TRAN!$B$16:$G$26,3,FALSE),IF($A411="MAT",VLOOKUP($B411,'MAT1'!$B$16:$G$43,3,FALSE),IF($A411="MDEO",VLOOKUP($B411,MDEO!$B$16:$P$33,3,FALSE)))))</f>
        <v>5208.333333333333</v>
      </c>
      <c r="E411" s="115"/>
      <c r="F411" s="32">
        <f>+D411+D411*E411</f>
        <v>5208.333333333333</v>
      </c>
      <c r="G411" s="130">
        <f>+G408*0.1</f>
        <v>0.12</v>
      </c>
      <c r="H411" s="128">
        <f>G411*F411</f>
        <v>624.99999999999989</v>
      </c>
      <c r="I411" s="115"/>
    </row>
    <row r="412" spans="1:9" x14ac:dyDescent="0.3">
      <c r="A412" s="115"/>
      <c r="B412" s="115"/>
      <c r="C412" s="115"/>
      <c r="D412" s="115"/>
      <c r="E412" s="115"/>
      <c r="F412" s="120" t="s">
        <v>32</v>
      </c>
      <c r="G412" s="121" t="str">
        <f>+B392</f>
        <v>2.8</v>
      </c>
      <c r="H412" s="120" t="s">
        <v>314</v>
      </c>
      <c r="I412" s="118">
        <f>SUM(H408:H411)</f>
        <v>18024.999999999996</v>
      </c>
    </row>
    <row r="413" spans="1:9" x14ac:dyDescent="0.3">
      <c r="A413" s="115" t="s">
        <v>54</v>
      </c>
      <c r="B413" s="115"/>
      <c r="C413" s="115"/>
      <c r="D413" s="115"/>
      <c r="E413" s="115"/>
      <c r="F413" s="115"/>
      <c r="G413" s="115"/>
      <c r="H413" s="116"/>
      <c r="I413" s="118">
        <f>I412*0.05</f>
        <v>901.24999999999989</v>
      </c>
    </row>
    <row r="414" spans="1:9" x14ac:dyDescent="0.3">
      <c r="A414" s="115"/>
      <c r="B414" s="115"/>
      <c r="C414" s="115"/>
      <c r="D414" s="115"/>
      <c r="E414" s="115"/>
      <c r="F414" s="120" t="s">
        <v>55</v>
      </c>
      <c r="G414" s="116"/>
      <c r="H414" s="116"/>
      <c r="I414" s="118">
        <f>ROUND(I412+I413+I401+I397+I405,0)</f>
        <v>206374</v>
      </c>
    </row>
    <row r="415" spans="1:9" x14ac:dyDescent="0.3">
      <c r="A415" s="868" t="s">
        <v>56</v>
      </c>
      <c r="B415" s="868"/>
      <c r="C415" s="868"/>
      <c r="D415" s="868"/>
      <c r="E415" s="868" t="s">
        <v>57</v>
      </c>
      <c r="F415" s="868"/>
      <c r="G415" s="875" t="s">
        <v>58</v>
      </c>
      <c r="H415" s="875"/>
      <c r="I415" s="118"/>
    </row>
    <row r="416" spans="1:9" x14ac:dyDescent="0.3">
      <c r="A416" s="868" t="s">
        <v>208</v>
      </c>
      <c r="B416" s="868"/>
      <c r="C416" s="868"/>
      <c r="D416" s="868"/>
      <c r="E416" s="876">
        <v>0.02</v>
      </c>
      <c r="F416" s="876"/>
      <c r="G416" s="875">
        <f>+I414*E416</f>
        <v>4127.4800000000005</v>
      </c>
      <c r="H416" s="875"/>
      <c r="I416" s="118"/>
    </row>
    <row r="417" spans="1:9" x14ac:dyDescent="0.3">
      <c r="A417" s="868" t="s">
        <v>5</v>
      </c>
      <c r="B417" s="868"/>
      <c r="C417" s="868"/>
      <c r="D417" s="868"/>
      <c r="E417" s="876">
        <v>0.23</v>
      </c>
      <c r="F417" s="876"/>
      <c r="G417" s="875">
        <f>+E417*I414</f>
        <v>47466.020000000004</v>
      </c>
      <c r="H417" s="875"/>
      <c r="I417" s="118"/>
    </row>
    <row r="418" spans="1:9" x14ac:dyDescent="0.3">
      <c r="A418" s="868" t="s">
        <v>6</v>
      </c>
      <c r="B418" s="868"/>
      <c r="C418" s="868"/>
      <c r="D418" s="868"/>
      <c r="E418" s="876">
        <v>0.05</v>
      </c>
      <c r="F418" s="876"/>
      <c r="G418" s="875">
        <f>+E418*I414</f>
        <v>10318.700000000001</v>
      </c>
      <c r="H418" s="875"/>
      <c r="I418" s="118"/>
    </row>
    <row r="419" spans="1:9" x14ac:dyDescent="0.3">
      <c r="A419" s="868" t="s">
        <v>207</v>
      </c>
      <c r="B419" s="868"/>
      <c r="C419" s="868"/>
      <c r="D419" s="868"/>
      <c r="E419" s="876">
        <v>0.02</v>
      </c>
      <c r="F419" s="876"/>
      <c r="G419" s="875">
        <f>+E419*I414</f>
        <v>4127.4800000000005</v>
      </c>
      <c r="H419" s="875"/>
      <c r="I419" s="118"/>
    </row>
    <row r="420" spans="1:9" x14ac:dyDescent="0.3">
      <c r="A420" s="867" t="s">
        <v>397</v>
      </c>
      <c r="B420" s="867"/>
      <c r="C420" s="867"/>
      <c r="D420" s="867"/>
      <c r="E420" s="867"/>
      <c r="F420" s="867"/>
      <c r="G420" s="867"/>
      <c r="H420" s="867"/>
      <c r="I420" s="118">
        <f>+G419+G417+G418+G416</f>
        <v>66039.680000000008</v>
      </c>
    </row>
    <row r="421" spans="1:9" x14ac:dyDescent="0.3">
      <c r="A421" s="867" t="s">
        <v>59</v>
      </c>
      <c r="B421" s="867"/>
      <c r="C421" s="867"/>
      <c r="D421" s="867"/>
      <c r="E421" s="867"/>
      <c r="F421" s="867"/>
      <c r="G421" s="867"/>
      <c r="H421" s="867"/>
      <c r="I421" s="118">
        <f>+I420+I414</f>
        <v>272413.68</v>
      </c>
    </row>
    <row r="422" spans="1:9" x14ac:dyDescent="0.3">
      <c r="A422" s="65"/>
      <c r="B422" s="65"/>
      <c r="C422" s="65"/>
      <c r="D422" s="65"/>
      <c r="E422" s="65"/>
      <c r="F422" s="65"/>
      <c r="G422" s="65"/>
      <c r="H422" s="65"/>
      <c r="I422" s="118"/>
    </row>
    <row r="423" spans="1:9" x14ac:dyDescent="0.3">
      <c r="A423" s="604" t="s">
        <v>114</v>
      </c>
      <c r="B423" s="604"/>
      <c r="C423" s="604"/>
      <c r="D423" s="65"/>
      <c r="E423" s="65"/>
      <c r="F423" s="604" t="s">
        <v>396</v>
      </c>
      <c r="G423" s="604"/>
      <c r="H423" s="604"/>
      <c r="I423" s="604"/>
    </row>
    <row r="424" spans="1:9" x14ac:dyDescent="0.3">
      <c r="A424" s="116" t="s">
        <v>111</v>
      </c>
      <c r="B424" s="868"/>
      <c r="C424" s="868"/>
      <c r="D424" s="115"/>
      <c r="E424" s="115"/>
      <c r="F424" s="116" t="s">
        <v>111</v>
      </c>
      <c r="G424" s="868"/>
      <c r="H424" s="868"/>
      <c r="I424" s="868"/>
    </row>
    <row r="425" spans="1:9" x14ac:dyDescent="0.3">
      <c r="A425" s="86" t="s">
        <v>115</v>
      </c>
      <c r="B425" s="868" t="str">
        <f>VLOOKUP(A425,[11]INICIO!$E$6:$H$26,2,FALSE)</f>
        <v>JHON EMIR GAMBOA MENA</v>
      </c>
      <c r="C425" s="868"/>
      <c r="F425" s="86" t="s">
        <v>112</v>
      </c>
      <c r="G425" s="868"/>
      <c r="H425" s="868"/>
      <c r="I425" s="868"/>
    </row>
    <row r="426" spans="1:9" x14ac:dyDescent="0.3">
      <c r="A426" s="86" t="s">
        <v>113</v>
      </c>
      <c r="B426" s="868" t="str">
        <f>VLOOKUP(A425,[11]INICIO!$E$6:$H$26,4,FALSE)</f>
        <v>05202-316814 ANT</v>
      </c>
      <c r="C426" s="868"/>
      <c r="F426" s="86" t="s">
        <v>113</v>
      </c>
      <c r="G426" s="868"/>
      <c r="H426" s="868"/>
      <c r="I426" s="868"/>
    </row>
    <row r="427" spans="1:9" x14ac:dyDescent="0.3">
      <c r="A427" s="86"/>
      <c r="B427" s="116"/>
      <c r="C427" s="116"/>
      <c r="F427" s="86"/>
      <c r="G427" s="116"/>
      <c r="H427" s="116"/>
      <c r="I427" s="116"/>
    </row>
    <row r="428" spans="1:9" x14ac:dyDescent="0.3">
      <c r="A428" s="869" t="s">
        <v>110</v>
      </c>
      <c r="B428" s="869"/>
      <c r="C428" s="869"/>
      <c r="D428" s="869"/>
      <c r="E428" s="869"/>
      <c r="F428" s="869"/>
      <c r="G428" s="869"/>
      <c r="H428" s="869"/>
      <c r="I428" s="869"/>
    </row>
    <row r="429" spans="1:9" x14ac:dyDescent="0.3">
      <c r="A429" s="870"/>
      <c r="B429" s="691"/>
      <c r="C429" s="691"/>
      <c r="D429" s="691"/>
      <c r="E429" s="691"/>
      <c r="F429" s="691"/>
      <c r="G429" s="691"/>
      <c r="H429" s="691"/>
      <c r="I429" s="871"/>
    </row>
    <row r="430" spans="1:9" x14ac:dyDescent="0.3">
      <c r="A430" s="872"/>
      <c r="B430" s="869"/>
      <c r="C430" s="869"/>
      <c r="D430" s="869"/>
      <c r="E430" s="869"/>
      <c r="F430" s="869"/>
      <c r="G430" s="869"/>
      <c r="H430" s="869"/>
      <c r="I430" s="873"/>
    </row>
    <row r="432" spans="1:9" x14ac:dyDescent="0.3">
      <c r="A432" s="604" t="s">
        <v>68</v>
      </c>
      <c r="B432" s="604"/>
      <c r="C432" s="604"/>
      <c r="D432" s="604"/>
      <c r="E432" s="604"/>
      <c r="F432" s="604"/>
      <c r="G432" s="604"/>
      <c r="H432" s="604"/>
      <c r="I432" s="604"/>
    </row>
    <row r="433" spans="1:9" ht="14.4" customHeight="1" x14ac:dyDescent="0.3">
      <c r="A433" s="120" t="s">
        <v>69</v>
      </c>
      <c r="B433" s="112" t="s">
        <v>221</v>
      </c>
      <c r="C433" s="604" t="s">
        <v>70</v>
      </c>
      <c r="D433" s="874" t="str">
        <f>VLOOKUP(B433,PRESUPUESTO!$A$18:$I$76,3,FALSE)</f>
        <v>TUBERIA NOVAFORT 450MM  PARA RED AGUAS LLUVIAS</v>
      </c>
      <c r="E433" s="874"/>
      <c r="F433" s="874"/>
      <c r="G433" s="874"/>
      <c r="H433" s="874"/>
      <c r="I433" s="877"/>
    </row>
    <row r="434" spans="1:9" x14ac:dyDescent="0.3">
      <c r="A434" s="120" t="s">
        <v>71</v>
      </c>
      <c r="B434" s="112" t="str">
        <f>VLOOKUP(B433,PRESUPUESTO!$A$18:$I$76,2,FALSE)</f>
        <v>804C-EPM</v>
      </c>
      <c r="C434" s="604"/>
      <c r="D434" s="140" t="s">
        <v>12</v>
      </c>
      <c r="E434" s="113" t="s">
        <v>129</v>
      </c>
      <c r="F434" s="113" t="s">
        <v>13</v>
      </c>
      <c r="G434" s="113">
        <f>VLOOKUP(B433,PRESUPUESTO!$A$15:$I$1659,6,FALSE)</f>
        <v>1228.6500000000001</v>
      </c>
      <c r="H434" s="114" t="s">
        <v>27</v>
      </c>
      <c r="I434" s="136">
        <f>+I455</f>
        <v>262592</v>
      </c>
    </row>
    <row r="435" spans="1:9" x14ac:dyDescent="0.3">
      <c r="A435" s="3" t="s">
        <v>14</v>
      </c>
      <c r="B435" s="3"/>
      <c r="C435" s="115"/>
      <c r="D435" s="115"/>
      <c r="E435" s="115"/>
      <c r="F435" s="115"/>
      <c r="G435" s="115"/>
      <c r="H435" s="115"/>
      <c r="I435" s="118"/>
    </row>
    <row r="436" spans="1:9" x14ac:dyDescent="0.3">
      <c r="A436" s="868" t="s">
        <v>19</v>
      </c>
      <c r="B436" s="868"/>
      <c r="C436" s="868"/>
      <c r="D436" s="868"/>
      <c r="E436" s="868"/>
      <c r="F436" s="116" t="s">
        <v>28</v>
      </c>
      <c r="G436" s="116" t="s">
        <v>29</v>
      </c>
      <c r="H436" s="116" t="s">
        <v>30</v>
      </c>
      <c r="I436" s="115"/>
    </row>
    <row r="437" spans="1:9" x14ac:dyDescent="0.3">
      <c r="A437" s="116" t="s">
        <v>1</v>
      </c>
      <c r="B437" s="117"/>
      <c r="C437" s="878"/>
      <c r="D437" s="878"/>
      <c r="E437" s="878"/>
      <c r="F437" s="123"/>
      <c r="G437" s="115"/>
      <c r="H437" s="118">
        <f>+F437*G437</f>
        <v>0</v>
      </c>
      <c r="I437" s="115"/>
    </row>
    <row r="438" spans="1:9" x14ac:dyDescent="0.3">
      <c r="A438" s="115"/>
      <c r="B438" s="115"/>
      <c r="C438" s="115"/>
      <c r="D438" s="115"/>
      <c r="E438" s="115"/>
      <c r="F438" s="120" t="s">
        <v>32</v>
      </c>
      <c r="G438" s="121" t="str">
        <f>+B433</f>
        <v>2.9</v>
      </c>
      <c r="H438" s="121" t="s">
        <v>315</v>
      </c>
      <c r="I438" s="118">
        <f>SUM(H437:H437)</f>
        <v>0</v>
      </c>
    </row>
    <row r="439" spans="1:9" x14ac:dyDescent="0.3">
      <c r="A439" s="3" t="s">
        <v>34</v>
      </c>
      <c r="B439" s="3"/>
      <c r="C439" s="115"/>
      <c r="D439" s="115"/>
      <c r="E439" s="115"/>
      <c r="F439" s="115"/>
      <c r="G439" s="115"/>
      <c r="H439" s="115"/>
      <c r="I439" s="115"/>
    </row>
    <row r="440" spans="1:9" x14ac:dyDescent="0.3">
      <c r="A440" s="868" t="s">
        <v>35</v>
      </c>
      <c r="B440" s="868"/>
      <c r="C440" s="868"/>
      <c r="D440" s="868"/>
      <c r="E440" s="116" t="s">
        <v>12</v>
      </c>
      <c r="F440" s="116" t="s">
        <v>36</v>
      </c>
      <c r="G440" s="116" t="s">
        <v>37</v>
      </c>
      <c r="H440" s="116" t="s">
        <v>38</v>
      </c>
      <c r="I440" s="115"/>
    </row>
    <row r="441" spans="1:9" x14ac:dyDescent="0.3">
      <c r="A441" s="116" t="s">
        <v>523</v>
      </c>
      <c r="B441" s="117" t="s">
        <v>39</v>
      </c>
      <c r="C441" s="878" t="str">
        <f>IF($A441="EQUI",VLOOKUP($B441,EQUI!B$16:G$35,2,FALSE),IF($A441="TRAN",VLOOKUP($B441,TRAN!$B$16:$G$26,2,FALSE),IF($A441="MAT1",VLOOKUP($B441,'MAT1'!$B$16:$G$43,2,FALSE),IF($A441="MAT2",VLOOKUP($B441,'MAT2'!$B$16:$G$55,2,FALSE),IF($A441="MDEO",VLOOKUP($B441,MDEO!$B$16:$P$27,2,FALSE))))))</f>
        <v>Tubería Novafort 18"</v>
      </c>
      <c r="D441" s="878"/>
      <c r="E441" s="123" t="str">
        <f>IF($A441="EQUI",VLOOKUP($B441,EQUI!B$16:G$35,3,FALSE),IF($A441="TRAN",VLOOKUP($B441,TRAN!$B$16:$G$26,3,FALSE),IF($A441="MAT1",VLOOKUP($B441,'MAT1'!$B$16:$G$43,3,FALSE),IF($A441="MAT2",VLOOKUP($B441,'MAT2'!$B$16:$G$55,3,FALSE),IF($A441="MDEO",VLOOKUP($B441,MDEO!$B$16:$P$27,3,FALSE))))))</f>
        <v>ML</v>
      </c>
      <c r="F441" s="123">
        <f>IF($A441="EQUI",VLOOKUP($B441,EQUI!B$16:G$35,4,FALSE),IF($A441="TRAN",VLOOKUP($B441,TRAN!$B$16:$G$26,4,FALSE),IF($A441="MAT1",VLOOKUP($B441,'MAT1'!$B$16:$G$43,4,FALSE),IF($A441="MAT2",VLOOKUP($B441,'MAT2'!$B$16:$G$53,4,FALSE),IF($A441="MDEO",VLOOKUP($B441,MDEO!$B$16:$P$27,4,FALSE))))))</f>
        <v>242088.5</v>
      </c>
      <c r="G441" s="115">
        <v>1</v>
      </c>
      <c r="H441" s="118">
        <f>G441*F441</f>
        <v>242088.5</v>
      </c>
      <c r="I441" s="115"/>
    </row>
    <row r="442" spans="1:9" x14ac:dyDescent="0.3">
      <c r="A442" s="115"/>
      <c r="B442" s="115"/>
      <c r="C442" s="115"/>
      <c r="D442" s="115"/>
      <c r="E442" s="115"/>
      <c r="F442" s="120" t="s">
        <v>32</v>
      </c>
      <c r="G442" s="121" t="str">
        <f>+B433</f>
        <v>2.9</v>
      </c>
      <c r="H442" s="121" t="s">
        <v>316</v>
      </c>
      <c r="I442" s="115">
        <f>SUM(H441:H441)</f>
        <v>242088.5</v>
      </c>
    </row>
    <row r="443" spans="1:9" x14ac:dyDescent="0.3">
      <c r="A443" s="3" t="s">
        <v>15</v>
      </c>
      <c r="B443" s="3"/>
      <c r="C443" s="115"/>
      <c r="D443" s="115"/>
      <c r="E443" s="115"/>
      <c r="F443" s="115"/>
      <c r="G443" s="115"/>
      <c r="H443" s="115"/>
      <c r="I443" s="115"/>
    </row>
    <row r="444" spans="1:9" x14ac:dyDescent="0.3">
      <c r="A444" s="868" t="s">
        <v>19</v>
      </c>
      <c r="B444" s="868"/>
      <c r="C444" s="868"/>
      <c r="D444" s="116" t="s">
        <v>43</v>
      </c>
      <c r="E444" s="116" t="s">
        <v>44</v>
      </c>
      <c r="F444" s="123" t="s">
        <v>45</v>
      </c>
      <c r="G444" s="116" t="s">
        <v>17</v>
      </c>
      <c r="H444" s="116" t="s">
        <v>30</v>
      </c>
      <c r="I444" s="115"/>
    </row>
    <row r="445" spans="1:9" x14ac:dyDescent="0.3">
      <c r="A445" s="131" t="s">
        <v>3</v>
      </c>
      <c r="B445" s="122"/>
      <c r="C445" s="135"/>
      <c r="D445" s="116"/>
      <c r="E445" s="115"/>
      <c r="F445" s="115"/>
      <c r="G445" s="115"/>
      <c r="H445" s="115">
        <f>+G445*F445</f>
        <v>0</v>
      </c>
      <c r="I445" s="115"/>
    </row>
    <row r="446" spans="1:9" x14ac:dyDescent="0.3">
      <c r="A446" s="115"/>
      <c r="B446" s="115"/>
      <c r="C446" s="115"/>
      <c r="D446" s="115"/>
      <c r="E446" s="115"/>
      <c r="F446" s="120" t="s">
        <v>32</v>
      </c>
      <c r="G446" s="121" t="str">
        <f>+B433</f>
        <v>2.9</v>
      </c>
      <c r="H446" s="121" t="s">
        <v>317</v>
      </c>
      <c r="I446" s="115">
        <f>SUM(H445:H445)</f>
        <v>0</v>
      </c>
    </row>
    <row r="447" spans="1:9" x14ac:dyDescent="0.3">
      <c r="A447" s="3"/>
      <c r="B447" s="3"/>
      <c r="C447" s="115"/>
      <c r="D447" s="115"/>
      <c r="E447" s="115"/>
      <c r="F447" s="115"/>
      <c r="G447" s="115"/>
      <c r="H447" s="115"/>
      <c r="I447" s="115"/>
    </row>
    <row r="448" spans="1:9" x14ac:dyDescent="0.3">
      <c r="A448" s="874" t="s">
        <v>47</v>
      </c>
      <c r="B448" s="874"/>
      <c r="C448" s="874"/>
      <c r="D448" s="123" t="s">
        <v>48</v>
      </c>
      <c r="E448" s="123" t="s">
        <v>109</v>
      </c>
      <c r="F448" s="124" t="s">
        <v>49</v>
      </c>
      <c r="G448" s="124" t="s">
        <v>29</v>
      </c>
      <c r="H448" s="123" t="s">
        <v>30</v>
      </c>
      <c r="I448" s="133"/>
    </row>
    <row r="449" spans="1:9" x14ac:dyDescent="0.3">
      <c r="A449" s="131" t="s">
        <v>4</v>
      </c>
      <c r="B449" s="131" t="s">
        <v>175</v>
      </c>
      <c r="C449" s="126" t="str">
        <f>IF($A449="EQUI",VLOOKUP($B449,EQUI!B$16:G$37,2,FALSE),IF($A449="TRAN",VLOOKUP($B449,TRAN!$B$16:$G$26,2,FALSE),IF($A449="MAT",VLOOKUP($B449,'MAT1'!$B$16:$G$43,2,FALSE),IF($A449="MDEO",VLOOKUP($B449,MDEO!$B$16:$P$27,2,FALSE)))))</f>
        <v xml:space="preserve">oficial </v>
      </c>
      <c r="D449" s="31">
        <f>IF($A449="EQUI",VLOOKUP($B449,EQUI!B$16:G$35,3,FALSE),IF($A449="TRAN",VLOOKUP($B449,TRAN!$B$16:$G$26,3,FALSE),IF($A449="MAT",VLOOKUP($B449,'MAT1'!$B$16:$G$43,3,FALSE),IF($A449="MDEO",VLOOKUP($B449,MDEO!$B$16:$P$27,3,FALSE)))))</f>
        <v>4833.333333333333</v>
      </c>
      <c r="E449" s="127"/>
      <c r="F449" s="32">
        <f>+D449+D449*E449</f>
        <v>4833.333333333333</v>
      </c>
      <c r="G449" s="130">
        <v>1.3</v>
      </c>
      <c r="H449" s="128">
        <f>G449*F449</f>
        <v>6283.333333333333</v>
      </c>
      <c r="I449" s="115"/>
    </row>
    <row r="450" spans="1:9" x14ac:dyDescent="0.3">
      <c r="A450" s="131" t="s">
        <v>4</v>
      </c>
      <c r="B450" s="131" t="s">
        <v>176</v>
      </c>
      <c r="C450" s="126" t="str">
        <f>IF($A450="EQUI",VLOOKUP($B450,EQUI!B$16:G$37,2,FALSE),IF($A450="TRAN",VLOOKUP($B450,TRAN!$B$16:$G$26,2,FALSE),IF($A450="MAT",VLOOKUP($B450,'MAT1'!$B$16:$G$43,2,FALSE),IF($A450="MDEO",VLOOKUP($B450,MDEO!$B$16:$P$27,2,FALSE)))))</f>
        <v xml:space="preserve">ayudante entendido </v>
      </c>
      <c r="D450" s="31">
        <f>IF($A450="EQUI",VLOOKUP($B450,EQUI!B$16:G$35,3,FALSE),IF($A450="TRAN",VLOOKUP($B450,TRAN!$B$16:$G$26,3,FALSE),IF($A450="MAT",VLOOKUP($B450,'MAT1'!$B$16:$G$43,3,FALSE),IF($A450="MDEO",VLOOKUP($B450,MDEO!$B$16:$P$27,3,FALSE)))))</f>
        <v>4833.333333333333</v>
      </c>
      <c r="E450" s="127"/>
      <c r="F450" s="32">
        <f>+D450+D450*E450</f>
        <v>4833.333333333333</v>
      </c>
      <c r="G450" s="130">
        <v>1.3</v>
      </c>
      <c r="H450" s="128">
        <f>G450*F450</f>
        <v>6283.333333333333</v>
      </c>
      <c r="I450" s="115"/>
    </row>
    <row r="451" spans="1:9" x14ac:dyDescent="0.3">
      <c r="A451" s="131" t="s">
        <v>4</v>
      </c>
      <c r="B451" s="131" t="s">
        <v>177</v>
      </c>
      <c r="C451" s="126" t="str">
        <f>IF($A451="EQUI",VLOOKUP($B451,EQUI!B$16:G$37,2,FALSE),IF($A451="TRAN",VLOOKUP($B451,TRAN!$B$16:$G$26,2,FALSE),IF($A451="MAT",VLOOKUP($B451,'MAT1'!$B$16:$G$43,2,FALSE),IF($A451="MDEO",VLOOKUP($B451,MDEO!$B$16:$P$27,2,FALSE)))))</f>
        <v xml:space="preserve">ayudante </v>
      </c>
      <c r="D451" s="31">
        <f>IF($A451="EQUI",VLOOKUP($B451,EQUI!B$16:G$35,3,FALSE),IF($A451="TRAN",VLOOKUP($B451,TRAN!$B$16:$G$26,3,FALSE),IF($A451="MAT",VLOOKUP($B451,'MAT1'!$B$16:$G$43,3,FALSE),IF($A451="MDEO",VLOOKUP($B451,MDEO!$B$16:$P$27,3,FALSE)))))</f>
        <v>4833.333333333333</v>
      </c>
      <c r="E451" s="127"/>
      <c r="F451" s="32">
        <f>+D451+D451*E451</f>
        <v>4833.333333333333</v>
      </c>
      <c r="G451" s="130">
        <v>1.3</v>
      </c>
      <c r="H451" s="128">
        <f>G451*F451</f>
        <v>6283.333333333333</v>
      </c>
      <c r="I451" s="115"/>
    </row>
    <row r="452" spans="1:9" x14ac:dyDescent="0.3">
      <c r="A452" s="131" t="s">
        <v>4</v>
      </c>
      <c r="B452" s="131" t="s">
        <v>178</v>
      </c>
      <c r="C452" s="126" t="str">
        <f>IF($A452="EQUI",VLOOKUP($B452,EQUI!B$16:G$37,2,FALSE),IF($A452="TRAN",VLOOKUP($B452,TRAN!$B$16:$G$26,2,FALSE),IF($A452="MAT",VLOOKUP($B452,'MAT1'!$B$16:$G$43,2,FALSE),IF($A452="MDEO",VLOOKUP($B452,MDEO!$B$16:$P$33,2,FALSE)))))</f>
        <v>contra maestro</v>
      </c>
      <c r="D452" s="31">
        <f>IF($A452="EQUI",VLOOKUP($B452,EQUI!B$16:G$35,3,FALSE),IF($A452="TRAN",VLOOKUP($B452,TRAN!$B$16:$G$26,3,FALSE),IF($A452="MAT",VLOOKUP($B452,'MAT1'!$B$16:$G$43,3,FALSE),IF($A452="MDEO",VLOOKUP($B452,MDEO!$B$16:$P$33,3,FALSE)))))</f>
        <v>5208.333333333333</v>
      </c>
      <c r="E452" s="115"/>
      <c r="F452" s="32">
        <f>+D452+D452*E452</f>
        <v>5208.333333333333</v>
      </c>
      <c r="G452" s="130">
        <f>+G449*0.1</f>
        <v>0.13</v>
      </c>
      <c r="H452" s="128">
        <f>G452*F452</f>
        <v>677.08333333333337</v>
      </c>
      <c r="I452" s="115"/>
    </row>
    <row r="453" spans="1:9" x14ac:dyDescent="0.3">
      <c r="A453" s="115"/>
      <c r="B453" s="115"/>
      <c r="C453" s="115"/>
      <c r="D453" s="115"/>
      <c r="E453" s="115"/>
      <c r="F453" s="120" t="s">
        <v>32</v>
      </c>
      <c r="G453" s="121" t="str">
        <f>+B433</f>
        <v>2.9</v>
      </c>
      <c r="H453" s="120" t="s">
        <v>318</v>
      </c>
      <c r="I453" s="118">
        <f>SUM(H449:H452)</f>
        <v>19527.083333333332</v>
      </c>
    </row>
    <row r="454" spans="1:9" x14ac:dyDescent="0.3">
      <c r="A454" s="115" t="s">
        <v>54</v>
      </c>
      <c r="B454" s="115"/>
      <c r="C454" s="115"/>
      <c r="D454" s="115"/>
      <c r="E454" s="115"/>
      <c r="F454" s="115"/>
      <c r="G454" s="115"/>
      <c r="H454" s="116"/>
      <c r="I454" s="118">
        <f>I453*0.05</f>
        <v>976.35416666666663</v>
      </c>
    </row>
    <row r="455" spans="1:9" x14ac:dyDescent="0.3">
      <c r="A455" s="115"/>
      <c r="B455" s="115"/>
      <c r="C455" s="115"/>
      <c r="D455" s="115"/>
      <c r="E455" s="115"/>
      <c r="F455" s="120" t="s">
        <v>55</v>
      </c>
      <c r="G455" s="116"/>
      <c r="H455" s="116"/>
      <c r="I455" s="118">
        <f>ROUND(I453+I454+I442+I438+I446,0)</f>
        <v>262592</v>
      </c>
    </row>
    <row r="456" spans="1:9" x14ac:dyDescent="0.3">
      <c r="A456" s="868" t="s">
        <v>56</v>
      </c>
      <c r="B456" s="868"/>
      <c r="C456" s="868"/>
      <c r="D456" s="868"/>
      <c r="E456" s="868" t="s">
        <v>57</v>
      </c>
      <c r="F456" s="868"/>
      <c r="G456" s="875" t="s">
        <v>58</v>
      </c>
      <c r="H456" s="875"/>
      <c r="I456" s="118"/>
    </row>
    <row r="457" spans="1:9" x14ac:dyDescent="0.3">
      <c r="A457" s="868" t="s">
        <v>208</v>
      </c>
      <c r="B457" s="868"/>
      <c r="C457" s="868"/>
      <c r="D457" s="868"/>
      <c r="E457" s="876">
        <v>0.02</v>
      </c>
      <c r="F457" s="876"/>
      <c r="G457" s="875">
        <f>+I455*E457</f>
        <v>5251.84</v>
      </c>
      <c r="H457" s="875"/>
      <c r="I457" s="118"/>
    </row>
    <row r="458" spans="1:9" x14ac:dyDescent="0.3">
      <c r="A458" s="868" t="s">
        <v>5</v>
      </c>
      <c r="B458" s="868"/>
      <c r="C458" s="868"/>
      <c r="D458" s="868"/>
      <c r="E458" s="876">
        <v>0.23</v>
      </c>
      <c r="F458" s="876"/>
      <c r="G458" s="875">
        <f>+E458*I455</f>
        <v>60396.160000000003</v>
      </c>
      <c r="H458" s="875"/>
      <c r="I458" s="118"/>
    </row>
    <row r="459" spans="1:9" x14ac:dyDescent="0.3">
      <c r="A459" s="868" t="s">
        <v>6</v>
      </c>
      <c r="B459" s="868"/>
      <c r="C459" s="868"/>
      <c r="D459" s="868"/>
      <c r="E459" s="876">
        <v>0.05</v>
      </c>
      <c r="F459" s="876"/>
      <c r="G459" s="875">
        <f>+E459*I455</f>
        <v>13129.6</v>
      </c>
      <c r="H459" s="875"/>
      <c r="I459" s="118"/>
    </row>
    <row r="460" spans="1:9" x14ac:dyDescent="0.3">
      <c r="A460" s="868" t="s">
        <v>207</v>
      </c>
      <c r="B460" s="868"/>
      <c r="C460" s="868"/>
      <c r="D460" s="868"/>
      <c r="E460" s="876">
        <v>0.02</v>
      </c>
      <c r="F460" s="876"/>
      <c r="G460" s="875">
        <f>+E460*I455</f>
        <v>5251.84</v>
      </c>
      <c r="H460" s="875"/>
      <c r="I460" s="118"/>
    </row>
    <row r="461" spans="1:9" x14ac:dyDescent="0.3">
      <c r="A461" s="867" t="s">
        <v>397</v>
      </c>
      <c r="B461" s="867"/>
      <c r="C461" s="867"/>
      <c r="D461" s="867"/>
      <c r="E461" s="867"/>
      <c r="F461" s="867"/>
      <c r="G461" s="867"/>
      <c r="H461" s="867"/>
      <c r="I461" s="118">
        <f>+G460+G458+G459+G457</f>
        <v>84029.440000000002</v>
      </c>
    </row>
    <row r="462" spans="1:9" x14ac:dyDescent="0.3">
      <c r="A462" s="867" t="s">
        <v>59</v>
      </c>
      <c r="B462" s="867"/>
      <c r="C462" s="867"/>
      <c r="D462" s="867"/>
      <c r="E462" s="867"/>
      <c r="F462" s="867"/>
      <c r="G462" s="867"/>
      <c r="H462" s="867"/>
      <c r="I462" s="118">
        <f>+I461+I455</f>
        <v>346621.44</v>
      </c>
    </row>
    <row r="463" spans="1:9" x14ac:dyDescent="0.3">
      <c r="A463" s="65"/>
      <c r="B463" s="65"/>
      <c r="C463" s="65"/>
      <c r="D463" s="65"/>
      <c r="E463" s="65"/>
      <c r="F463" s="65"/>
      <c r="G463" s="65"/>
      <c r="H463" s="65"/>
      <c r="I463" s="118"/>
    </row>
    <row r="464" spans="1:9" x14ac:dyDescent="0.3">
      <c r="A464" s="604" t="s">
        <v>114</v>
      </c>
      <c r="B464" s="604"/>
      <c r="C464" s="604"/>
      <c r="D464" s="65"/>
      <c r="E464" s="65"/>
      <c r="F464" s="604" t="s">
        <v>396</v>
      </c>
      <c r="G464" s="604"/>
      <c r="H464" s="604"/>
      <c r="I464" s="604"/>
    </row>
    <row r="465" spans="1:9" x14ac:dyDescent="0.3">
      <c r="A465" s="116" t="s">
        <v>111</v>
      </c>
      <c r="B465" s="868"/>
      <c r="C465" s="868"/>
      <c r="D465" s="115"/>
      <c r="E465" s="115"/>
      <c r="F465" s="116" t="s">
        <v>111</v>
      </c>
      <c r="G465" s="868"/>
      <c r="H465" s="868"/>
      <c r="I465" s="868"/>
    </row>
    <row r="466" spans="1:9" x14ac:dyDescent="0.3">
      <c r="A466" s="86" t="s">
        <v>115</v>
      </c>
      <c r="B466" s="868" t="str">
        <f>VLOOKUP(A466,[11]INICIO!$E$6:$H$26,2,FALSE)</f>
        <v>JHON EMIR GAMBOA MENA</v>
      </c>
      <c r="C466" s="868"/>
      <c r="F466" s="86" t="s">
        <v>112</v>
      </c>
      <c r="G466" s="868"/>
      <c r="H466" s="868"/>
      <c r="I466" s="868"/>
    </row>
    <row r="467" spans="1:9" x14ac:dyDescent="0.3">
      <c r="A467" s="86" t="s">
        <v>113</v>
      </c>
      <c r="B467" s="868" t="str">
        <f>VLOOKUP(A466,[11]INICIO!$E$6:$H$26,4,FALSE)</f>
        <v>05202-316814 ANT</v>
      </c>
      <c r="C467" s="868"/>
      <c r="F467" s="86" t="s">
        <v>113</v>
      </c>
      <c r="G467" s="868"/>
      <c r="H467" s="868"/>
      <c r="I467" s="868"/>
    </row>
    <row r="468" spans="1:9" x14ac:dyDescent="0.3">
      <c r="A468" s="86"/>
      <c r="B468" s="116"/>
      <c r="C468" s="116"/>
      <c r="F468" s="86"/>
      <c r="G468" s="116"/>
      <c r="H468" s="116"/>
      <c r="I468" s="116"/>
    </row>
    <row r="469" spans="1:9" x14ac:dyDescent="0.3">
      <c r="A469" s="869" t="s">
        <v>110</v>
      </c>
      <c r="B469" s="869"/>
      <c r="C469" s="869"/>
      <c r="D469" s="869"/>
      <c r="E469" s="869"/>
      <c r="F469" s="869"/>
      <c r="G469" s="869"/>
      <c r="H469" s="869"/>
      <c r="I469" s="869"/>
    </row>
    <row r="470" spans="1:9" x14ac:dyDescent="0.3">
      <c r="A470" s="870"/>
      <c r="B470" s="691"/>
      <c r="C470" s="691"/>
      <c r="D470" s="691"/>
      <c r="E470" s="691"/>
      <c r="F470" s="691"/>
      <c r="G470" s="691"/>
      <c r="H470" s="691"/>
      <c r="I470" s="871"/>
    </row>
    <row r="471" spans="1:9" x14ac:dyDescent="0.3">
      <c r="A471" s="872"/>
      <c r="B471" s="869"/>
      <c r="C471" s="869"/>
      <c r="D471" s="869"/>
      <c r="E471" s="869"/>
      <c r="F471" s="869"/>
      <c r="G471" s="869"/>
      <c r="H471" s="869"/>
      <c r="I471" s="873"/>
    </row>
    <row r="473" spans="1:9" x14ac:dyDescent="0.3">
      <c r="A473" s="604" t="s">
        <v>68</v>
      </c>
      <c r="B473" s="604"/>
      <c r="C473" s="604"/>
      <c r="D473" s="604"/>
      <c r="E473" s="604"/>
      <c r="F473" s="604"/>
      <c r="G473" s="604"/>
      <c r="H473" s="604"/>
      <c r="I473" s="604"/>
    </row>
    <row r="474" spans="1:9" ht="14.4" customHeight="1" x14ac:dyDescent="0.3">
      <c r="A474" s="120" t="s">
        <v>69</v>
      </c>
      <c r="B474" s="112" t="s">
        <v>426</v>
      </c>
      <c r="C474" s="604" t="s">
        <v>70</v>
      </c>
      <c r="D474" s="874" t="str">
        <f>VLOOKUP(B474,PRESUPUESTO!$A$18:$I$76,3,FALSE)</f>
        <v>TUBERIA NOVAFORT 600MM  PARA RED AGUAS LLUVIAS</v>
      </c>
      <c r="E474" s="874"/>
      <c r="F474" s="874"/>
      <c r="G474" s="874"/>
      <c r="H474" s="874"/>
      <c r="I474" s="877"/>
    </row>
    <row r="475" spans="1:9" x14ac:dyDescent="0.3">
      <c r="A475" s="120" t="s">
        <v>71</v>
      </c>
      <c r="B475" s="112" t="str">
        <f>VLOOKUP(B474,PRESUPUESTO!$A$18:$I$76,2,FALSE)</f>
        <v>803D-EPM</v>
      </c>
      <c r="C475" s="604"/>
      <c r="D475" s="140" t="s">
        <v>12</v>
      </c>
      <c r="E475" s="113" t="s">
        <v>129</v>
      </c>
      <c r="F475" s="113" t="s">
        <v>13</v>
      </c>
      <c r="G475" s="113">
        <f>VLOOKUP(B474,PRESUPUESTO!$A$15:$I$1659,6,FALSE)</f>
        <v>560</v>
      </c>
      <c r="H475" s="114" t="s">
        <v>27</v>
      </c>
      <c r="I475" s="136">
        <f>+I496</f>
        <v>470234</v>
      </c>
    </row>
    <row r="476" spans="1:9" x14ac:dyDescent="0.3">
      <c r="A476" s="3" t="s">
        <v>14</v>
      </c>
      <c r="B476" s="3"/>
      <c r="C476" s="115"/>
      <c r="D476" s="115"/>
      <c r="E476" s="115"/>
      <c r="F476" s="115"/>
      <c r="G476" s="115"/>
      <c r="H476" s="115"/>
      <c r="I476" s="118"/>
    </row>
    <row r="477" spans="1:9" x14ac:dyDescent="0.3">
      <c r="A477" s="868" t="s">
        <v>19</v>
      </c>
      <c r="B477" s="868"/>
      <c r="C477" s="868"/>
      <c r="D477" s="868"/>
      <c r="E477" s="868"/>
      <c r="F477" s="116" t="s">
        <v>28</v>
      </c>
      <c r="G477" s="116" t="s">
        <v>29</v>
      </c>
      <c r="H477" s="116" t="s">
        <v>30</v>
      </c>
      <c r="I477" s="115"/>
    </row>
    <row r="478" spans="1:9" x14ac:dyDescent="0.3">
      <c r="A478" s="116" t="s">
        <v>1</v>
      </c>
      <c r="B478" s="117"/>
      <c r="C478" s="878"/>
      <c r="D478" s="878"/>
      <c r="E478" s="878"/>
      <c r="F478" s="123"/>
      <c r="G478" s="115"/>
      <c r="H478" s="118">
        <f>+F478*G478</f>
        <v>0</v>
      </c>
      <c r="I478" s="115"/>
    </row>
    <row r="479" spans="1:9" x14ac:dyDescent="0.3">
      <c r="A479" s="115"/>
      <c r="B479" s="115"/>
      <c r="C479" s="115"/>
      <c r="D479" s="115"/>
      <c r="E479" s="115"/>
      <c r="F479" s="120" t="s">
        <v>32</v>
      </c>
      <c r="G479" s="121" t="str">
        <f>+B474</f>
        <v>2.10</v>
      </c>
      <c r="H479" s="121" t="s">
        <v>420</v>
      </c>
      <c r="I479" s="118">
        <f>SUM(H478:H478)</f>
        <v>0</v>
      </c>
    </row>
    <row r="480" spans="1:9" x14ac:dyDescent="0.3">
      <c r="A480" s="3" t="s">
        <v>34</v>
      </c>
      <c r="B480" s="3"/>
      <c r="C480" s="115"/>
      <c r="D480" s="115"/>
      <c r="E480" s="115"/>
      <c r="F480" s="115"/>
      <c r="G480" s="115"/>
      <c r="H480" s="115"/>
      <c r="I480" s="115"/>
    </row>
    <row r="481" spans="1:9" x14ac:dyDescent="0.3">
      <c r="A481" s="868" t="s">
        <v>35</v>
      </c>
      <c r="B481" s="868"/>
      <c r="C481" s="868"/>
      <c r="D481" s="868"/>
      <c r="E481" s="116" t="s">
        <v>12</v>
      </c>
      <c r="F481" s="116" t="s">
        <v>36</v>
      </c>
      <c r="G481" s="116" t="s">
        <v>37</v>
      </c>
      <c r="H481" s="116" t="s">
        <v>38</v>
      </c>
      <c r="I481" s="115"/>
    </row>
    <row r="482" spans="1:9" x14ac:dyDescent="0.3">
      <c r="A482" s="116" t="s">
        <v>523</v>
      </c>
      <c r="B482" s="117" t="s">
        <v>149</v>
      </c>
      <c r="C482" s="878" t="str">
        <f>IF($A482="EQUI",VLOOKUP($B482,EQUI!B$16:G$35,2,FALSE),IF($A482="TRAN",VLOOKUP($B482,TRAN!$B$16:$G$26,2,FALSE),IF($A482="MAT1",VLOOKUP($B482,'MAT1'!$B$16:$G$43,2,FALSE),IF($A482="MAT2",VLOOKUP($B482,'MAT2'!$B$16:$G$55,2,FALSE),IF($A482="MDEO",VLOOKUP($B482,MDEO!$B$16:$P$27,2,FALSE))))))</f>
        <v>Tubería Novafort 24"</v>
      </c>
      <c r="D482" s="878"/>
      <c r="E482" s="123" t="str">
        <f>IF($A482="EQUI",VLOOKUP($B482,EQUI!B$16:G$35,3,FALSE),IF($A482="TRAN",VLOOKUP($B482,TRAN!$B$16:$G$26,3,FALSE),IF($A482="MAT1",VLOOKUP($B482,'MAT1'!$B$16:$G$43,3,FALSE),IF($A482="MAT2",VLOOKUP($B482,'MAT2'!$B$16:$G$55,3,FALSE),IF($A482="MDEO",VLOOKUP($B482,MDEO!$B$16:$P$27,3,FALSE))))))</f>
        <v>ML</v>
      </c>
      <c r="F482" s="123">
        <f>IF($A482="EQUI",VLOOKUP($B482,EQUI!B$16:G$35,4,FALSE),IF($A482="TRAN",VLOOKUP($B482,TRAN!$B$16:$G$26,4,FALSE),IF($A482="MAT1",VLOOKUP($B482,'MAT1'!$B$16:$G$43,4,FALSE),IF($A482="MAT2",VLOOKUP($B482,'MAT2'!$B$16:$G$53,4,FALSE),IF($A482="MDEO",VLOOKUP($B482,MDEO!$B$16:$P$27,4,FALSE))))))</f>
        <v>448153.84615384613</v>
      </c>
      <c r="G482" s="115">
        <v>1</v>
      </c>
      <c r="H482" s="118">
        <f>G482*F482</f>
        <v>448153.84615384613</v>
      </c>
      <c r="I482" s="115"/>
    </row>
    <row r="483" spans="1:9" x14ac:dyDescent="0.3">
      <c r="A483" s="115"/>
      <c r="B483" s="115"/>
      <c r="C483" s="115"/>
      <c r="D483" s="115"/>
      <c r="E483" s="115"/>
      <c r="F483" s="120" t="s">
        <v>32</v>
      </c>
      <c r="G483" s="121" t="str">
        <f>+B474</f>
        <v>2.10</v>
      </c>
      <c r="H483" s="121" t="s">
        <v>421</v>
      </c>
      <c r="I483" s="115">
        <f>SUM(H482:H482)</f>
        <v>448153.84615384613</v>
      </c>
    </row>
    <row r="484" spans="1:9" x14ac:dyDescent="0.3">
      <c r="A484" s="3" t="s">
        <v>15</v>
      </c>
      <c r="B484" s="3"/>
      <c r="C484" s="115"/>
      <c r="D484" s="115"/>
      <c r="E484" s="115"/>
      <c r="F484" s="115"/>
      <c r="G484" s="115"/>
      <c r="H484" s="115"/>
      <c r="I484" s="115"/>
    </row>
    <row r="485" spans="1:9" x14ac:dyDescent="0.3">
      <c r="A485" s="868" t="s">
        <v>19</v>
      </c>
      <c r="B485" s="868"/>
      <c r="C485" s="868"/>
      <c r="D485" s="116" t="s">
        <v>43</v>
      </c>
      <c r="E485" s="116" t="s">
        <v>44</v>
      </c>
      <c r="F485" s="123" t="s">
        <v>45</v>
      </c>
      <c r="G485" s="116" t="s">
        <v>17</v>
      </c>
      <c r="H485" s="116" t="s">
        <v>30</v>
      </c>
      <c r="I485" s="115"/>
    </row>
    <row r="486" spans="1:9" x14ac:dyDescent="0.3">
      <c r="A486" s="131" t="s">
        <v>3</v>
      </c>
      <c r="B486" s="122"/>
      <c r="C486" s="135"/>
      <c r="D486" s="116"/>
      <c r="E486" s="115"/>
      <c r="F486" s="115"/>
      <c r="G486" s="115"/>
      <c r="H486" s="115">
        <f>+G486*F486</f>
        <v>0</v>
      </c>
      <c r="I486" s="115"/>
    </row>
    <row r="487" spans="1:9" x14ac:dyDescent="0.3">
      <c r="A487" s="115"/>
      <c r="B487" s="115"/>
      <c r="C487" s="115"/>
      <c r="D487" s="115"/>
      <c r="E487" s="115"/>
      <c r="F487" s="120" t="s">
        <v>32</v>
      </c>
      <c r="G487" s="121" t="str">
        <f>+B474</f>
        <v>2.10</v>
      </c>
      <c r="H487" s="121" t="s">
        <v>422</v>
      </c>
      <c r="I487" s="115">
        <f>SUM(H486:H486)</f>
        <v>0</v>
      </c>
    </row>
    <row r="488" spans="1:9" x14ac:dyDescent="0.3">
      <c r="A488" s="3"/>
      <c r="B488" s="3"/>
      <c r="C488" s="115"/>
      <c r="D488" s="115"/>
      <c r="E488" s="115"/>
      <c r="F488" s="115"/>
      <c r="G488" s="115"/>
      <c r="H488" s="115"/>
      <c r="I488" s="115"/>
    </row>
    <row r="489" spans="1:9" x14ac:dyDescent="0.3">
      <c r="A489" s="874" t="s">
        <v>47</v>
      </c>
      <c r="B489" s="874"/>
      <c r="C489" s="874"/>
      <c r="D489" s="123" t="s">
        <v>48</v>
      </c>
      <c r="E489" s="123" t="s">
        <v>109</v>
      </c>
      <c r="F489" s="124" t="s">
        <v>49</v>
      </c>
      <c r="G489" s="124" t="s">
        <v>29</v>
      </c>
      <c r="H489" s="123" t="s">
        <v>30</v>
      </c>
      <c r="I489" s="133"/>
    </row>
    <row r="490" spans="1:9" x14ac:dyDescent="0.3">
      <c r="A490" s="131" t="s">
        <v>4</v>
      </c>
      <c r="B490" s="131" t="s">
        <v>175</v>
      </c>
      <c r="C490" s="126" t="str">
        <f>IF($A490="EQUI",VLOOKUP($B490,EQUI!B$16:G$37,2,FALSE),IF($A490="TRAN",VLOOKUP($B490,TRAN!$B$16:$G$26,2,FALSE),IF($A490="MAT",VLOOKUP($B490,'MAT1'!$B$16:$G$43,2,FALSE),IF($A490="MDEO",VLOOKUP($B490,MDEO!$B$16:$P$27,2,FALSE)))))</f>
        <v xml:space="preserve">oficial </v>
      </c>
      <c r="D490" s="31">
        <f>IF($A490="EQUI",VLOOKUP($B490,EQUI!B$16:G$35,3,FALSE),IF($A490="TRAN",VLOOKUP($B490,TRAN!$B$16:$G$26,3,FALSE),IF($A490="MAT",VLOOKUP($B490,'MAT1'!$B$16:$G$43,3,FALSE),IF($A490="MDEO",VLOOKUP($B490,MDEO!$B$16:$P$27,3,FALSE)))))</f>
        <v>4833.333333333333</v>
      </c>
      <c r="E490" s="127"/>
      <c r="F490" s="32">
        <f>+D490+D490*E490</f>
        <v>4833.333333333333</v>
      </c>
      <c r="G490" s="130">
        <v>1.4</v>
      </c>
      <c r="H490" s="128">
        <f>G490*F490</f>
        <v>6766.6666666666661</v>
      </c>
      <c r="I490" s="115"/>
    </row>
    <row r="491" spans="1:9" x14ac:dyDescent="0.3">
      <c r="A491" s="131" t="s">
        <v>4</v>
      </c>
      <c r="B491" s="131" t="s">
        <v>176</v>
      </c>
      <c r="C491" s="126" t="str">
        <f>IF($A491="EQUI",VLOOKUP($B491,EQUI!B$16:G$37,2,FALSE),IF($A491="TRAN",VLOOKUP($B491,TRAN!$B$16:$G$26,2,FALSE),IF($A491="MAT",VLOOKUP($B491,'MAT1'!$B$16:$G$43,2,FALSE),IF($A491="MDEO",VLOOKUP($B491,MDEO!$B$16:$P$27,2,FALSE)))))</f>
        <v xml:space="preserve">ayudante entendido </v>
      </c>
      <c r="D491" s="31">
        <f>IF($A491="EQUI",VLOOKUP($B491,EQUI!B$16:G$35,3,FALSE),IF($A491="TRAN",VLOOKUP($B491,TRAN!$B$16:$G$26,3,FALSE),IF($A491="MAT",VLOOKUP($B491,'MAT1'!$B$16:$G$43,3,FALSE),IF($A491="MDEO",VLOOKUP($B491,MDEO!$B$16:$P$27,3,FALSE)))))</f>
        <v>4833.333333333333</v>
      </c>
      <c r="E491" s="127"/>
      <c r="F491" s="32">
        <f>+D491+D491*E491</f>
        <v>4833.333333333333</v>
      </c>
      <c r="G491" s="130">
        <v>1.4</v>
      </c>
      <c r="H491" s="128">
        <f>G491*F491</f>
        <v>6766.6666666666661</v>
      </c>
      <c r="I491" s="115"/>
    </row>
    <row r="492" spans="1:9" x14ac:dyDescent="0.3">
      <c r="A492" s="131" t="s">
        <v>4</v>
      </c>
      <c r="B492" s="131" t="s">
        <v>177</v>
      </c>
      <c r="C492" s="126" t="str">
        <f>IF($A492="EQUI",VLOOKUP($B492,EQUI!B$16:G$37,2,FALSE),IF($A492="TRAN",VLOOKUP($B492,TRAN!$B$16:$G$26,2,FALSE),IF($A492="MAT",VLOOKUP($B492,'MAT1'!$B$16:$G$43,2,FALSE),IF($A492="MDEO",VLOOKUP($B492,MDEO!$B$16:$P$27,2,FALSE)))))</f>
        <v xml:space="preserve">ayudante </v>
      </c>
      <c r="D492" s="31">
        <f>IF($A492="EQUI",VLOOKUP($B492,EQUI!B$16:G$35,3,FALSE),IF($A492="TRAN",VLOOKUP($B492,TRAN!$B$16:$G$26,3,FALSE),IF($A492="MAT",VLOOKUP($B492,'MAT1'!$B$16:$G$43,3,FALSE),IF($A492="MDEO",VLOOKUP($B492,MDEO!$B$16:$P$27,3,FALSE)))))</f>
        <v>4833.333333333333</v>
      </c>
      <c r="E492" s="127"/>
      <c r="F492" s="32">
        <f>+D492+D492*E492</f>
        <v>4833.333333333333</v>
      </c>
      <c r="G492" s="130">
        <v>1.4</v>
      </c>
      <c r="H492" s="128">
        <f>G492*F492</f>
        <v>6766.6666666666661</v>
      </c>
      <c r="I492" s="115"/>
    </row>
    <row r="493" spans="1:9" x14ac:dyDescent="0.3">
      <c r="A493" s="131" t="s">
        <v>4</v>
      </c>
      <c r="B493" s="131" t="s">
        <v>178</v>
      </c>
      <c r="C493" s="126" t="str">
        <f>IF($A493="EQUI",VLOOKUP($B493,EQUI!B$16:G$37,2,FALSE),IF($A493="TRAN",VLOOKUP($B493,TRAN!$B$16:$G$26,2,FALSE),IF($A493="MAT",VLOOKUP($B493,'MAT1'!$B$16:$G$43,2,FALSE),IF($A493="MDEO",VLOOKUP($B493,MDEO!$B$16:$P$33,2,FALSE)))))</f>
        <v>contra maestro</v>
      </c>
      <c r="D493" s="31">
        <f>IF($A493="EQUI",VLOOKUP($B493,EQUI!B$16:G$35,3,FALSE),IF($A493="TRAN",VLOOKUP($B493,TRAN!$B$16:$G$26,3,FALSE),IF($A493="MAT",VLOOKUP($B493,'MAT1'!$B$16:$G$43,3,FALSE),IF($A493="MDEO",VLOOKUP($B493,MDEO!$B$16:$P$33,3,FALSE)))))</f>
        <v>5208.333333333333</v>
      </c>
      <c r="E493" s="115"/>
      <c r="F493" s="32">
        <f>+D493+D493*E493</f>
        <v>5208.333333333333</v>
      </c>
      <c r="G493" s="130">
        <f>+G490*0.1</f>
        <v>0.13999999999999999</v>
      </c>
      <c r="H493" s="128">
        <f>G493*F493</f>
        <v>729.16666666666652</v>
      </c>
      <c r="I493" s="115"/>
    </row>
    <row r="494" spans="1:9" x14ac:dyDescent="0.3">
      <c r="A494" s="115"/>
      <c r="B494" s="115"/>
      <c r="C494" s="115"/>
      <c r="D494" s="115"/>
      <c r="E494" s="115"/>
      <c r="F494" s="120" t="s">
        <v>32</v>
      </c>
      <c r="G494" s="121" t="str">
        <f>+B474</f>
        <v>2.10</v>
      </c>
      <c r="H494" s="120" t="s">
        <v>423</v>
      </c>
      <c r="I494" s="118">
        <f>SUM(H490:H493)</f>
        <v>21029.166666666668</v>
      </c>
    </row>
    <row r="495" spans="1:9" x14ac:dyDescent="0.3">
      <c r="A495" s="115" t="s">
        <v>54</v>
      </c>
      <c r="B495" s="115"/>
      <c r="C495" s="115"/>
      <c r="D495" s="115"/>
      <c r="E495" s="115"/>
      <c r="F495" s="115"/>
      <c r="G495" s="115"/>
      <c r="H495" s="116"/>
      <c r="I495" s="118">
        <f>I494*0.05</f>
        <v>1051.4583333333335</v>
      </c>
    </row>
    <row r="496" spans="1:9" x14ac:dyDescent="0.3">
      <c r="A496" s="115"/>
      <c r="B496" s="115"/>
      <c r="C496" s="115"/>
      <c r="D496" s="115"/>
      <c r="E496" s="115"/>
      <c r="F496" s="120" t="s">
        <v>55</v>
      </c>
      <c r="G496" s="116"/>
      <c r="H496" s="116"/>
      <c r="I496" s="118">
        <f>ROUND(I494+I495+I483+I479+I487,0)</f>
        <v>470234</v>
      </c>
    </row>
    <row r="497" spans="1:9" x14ac:dyDescent="0.3">
      <c r="A497" s="868" t="s">
        <v>56</v>
      </c>
      <c r="B497" s="868"/>
      <c r="C497" s="868"/>
      <c r="D497" s="868"/>
      <c r="E497" s="868" t="s">
        <v>57</v>
      </c>
      <c r="F497" s="868"/>
      <c r="G497" s="875" t="s">
        <v>58</v>
      </c>
      <c r="H497" s="875"/>
      <c r="I497" s="118"/>
    </row>
    <row r="498" spans="1:9" x14ac:dyDescent="0.3">
      <c r="A498" s="868" t="s">
        <v>208</v>
      </c>
      <c r="B498" s="868"/>
      <c r="C498" s="868"/>
      <c r="D498" s="868"/>
      <c r="E498" s="876">
        <v>0.02</v>
      </c>
      <c r="F498" s="876"/>
      <c r="G498" s="875">
        <f>+I496*E498</f>
        <v>9404.68</v>
      </c>
      <c r="H498" s="875"/>
      <c r="I498" s="118"/>
    </row>
    <row r="499" spans="1:9" x14ac:dyDescent="0.3">
      <c r="A499" s="868" t="s">
        <v>5</v>
      </c>
      <c r="B499" s="868"/>
      <c r="C499" s="868"/>
      <c r="D499" s="868"/>
      <c r="E499" s="876">
        <v>0.23</v>
      </c>
      <c r="F499" s="876"/>
      <c r="G499" s="875">
        <f>+E499*I496</f>
        <v>108153.82</v>
      </c>
      <c r="H499" s="875"/>
      <c r="I499" s="118"/>
    </row>
    <row r="500" spans="1:9" x14ac:dyDescent="0.3">
      <c r="A500" s="868" t="s">
        <v>6</v>
      </c>
      <c r="B500" s="868"/>
      <c r="C500" s="868"/>
      <c r="D500" s="868"/>
      <c r="E500" s="876">
        <v>0.05</v>
      </c>
      <c r="F500" s="876"/>
      <c r="G500" s="875">
        <f>+E500*I496</f>
        <v>23511.7</v>
      </c>
      <c r="H500" s="875"/>
      <c r="I500" s="118"/>
    </row>
    <row r="501" spans="1:9" x14ac:dyDescent="0.3">
      <c r="A501" s="868" t="s">
        <v>207</v>
      </c>
      <c r="B501" s="868"/>
      <c r="C501" s="868"/>
      <c r="D501" s="868"/>
      <c r="E501" s="876">
        <v>0.02</v>
      </c>
      <c r="F501" s="876"/>
      <c r="G501" s="875">
        <f>+E501*I496</f>
        <v>9404.68</v>
      </c>
      <c r="H501" s="875"/>
      <c r="I501" s="118"/>
    </row>
    <row r="502" spans="1:9" x14ac:dyDescent="0.3">
      <c r="A502" s="867" t="s">
        <v>397</v>
      </c>
      <c r="B502" s="867"/>
      <c r="C502" s="867"/>
      <c r="D502" s="867"/>
      <c r="E502" s="867"/>
      <c r="F502" s="867"/>
      <c r="G502" s="867"/>
      <c r="H502" s="867"/>
      <c r="I502" s="118">
        <f>+G501+G499+G500+G498</f>
        <v>150474.88</v>
      </c>
    </row>
    <row r="503" spans="1:9" x14ac:dyDescent="0.3">
      <c r="A503" s="867" t="s">
        <v>59</v>
      </c>
      <c r="B503" s="867"/>
      <c r="C503" s="867"/>
      <c r="D503" s="867"/>
      <c r="E503" s="867"/>
      <c r="F503" s="867"/>
      <c r="G503" s="867"/>
      <c r="H503" s="867"/>
      <c r="I503" s="118">
        <f>+I502+I496</f>
        <v>620708.88</v>
      </c>
    </row>
    <row r="504" spans="1:9" x14ac:dyDescent="0.3">
      <c r="A504" s="65"/>
      <c r="B504" s="65"/>
      <c r="C504" s="65"/>
      <c r="D504" s="65"/>
      <c r="E504" s="65"/>
      <c r="F504" s="65"/>
      <c r="G504" s="65"/>
      <c r="H504" s="65"/>
      <c r="I504" s="118"/>
    </row>
    <row r="505" spans="1:9" x14ac:dyDescent="0.3">
      <c r="A505" s="604" t="s">
        <v>114</v>
      </c>
      <c r="B505" s="604"/>
      <c r="C505" s="604"/>
      <c r="D505" s="65"/>
      <c r="E505" s="65"/>
      <c r="F505" s="604" t="s">
        <v>396</v>
      </c>
      <c r="G505" s="604"/>
      <c r="H505" s="604"/>
      <c r="I505" s="604"/>
    </row>
    <row r="506" spans="1:9" x14ac:dyDescent="0.3">
      <c r="A506" s="116" t="s">
        <v>111</v>
      </c>
      <c r="B506" s="868"/>
      <c r="C506" s="868"/>
      <c r="D506" s="115"/>
      <c r="E506" s="115"/>
      <c r="F506" s="116" t="s">
        <v>111</v>
      </c>
      <c r="G506" s="868"/>
      <c r="H506" s="868"/>
      <c r="I506" s="868"/>
    </row>
    <row r="507" spans="1:9" x14ac:dyDescent="0.3">
      <c r="A507" s="86" t="s">
        <v>115</v>
      </c>
      <c r="B507" s="868" t="str">
        <f>VLOOKUP(A507,[11]INICIO!$E$6:$H$26,2,FALSE)</f>
        <v>JHON EMIR GAMBOA MENA</v>
      </c>
      <c r="C507" s="868"/>
      <c r="F507" s="86" t="s">
        <v>112</v>
      </c>
      <c r="G507" s="868"/>
      <c r="H507" s="868"/>
      <c r="I507" s="868"/>
    </row>
    <row r="508" spans="1:9" x14ac:dyDescent="0.3">
      <c r="A508" s="86" t="s">
        <v>113</v>
      </c>
      <c r="B508" s="868" t="str">
        <f>VLOOKUP(A507,[11]INICIO!$E$6:$H$26,4,FALSE)</f>
        <v>05202-316814 ANT</v>
      </c>
      <c r="C508" s="868"/>
      <c r="F508" s="86" t="s">
        <v>113</v>
      </c>
      <c r="G508" s="868"/>
      <c r="H508" s="868"/>
      <c r="I508" s="868"/>
    </row>
    <row r="509" spans="1:9" x14ac:dyDescent="0.3">
      <c r="A509" s="86"/>
      <c r="B509" s="116"/>
      <c r="C509" s="116"/>
      <c r="F509" s="86"/>
      <c r="G509" s="116"/>
      <c r="H509" s="116"/>
      <c r="I509" s="116"/>
    </row>
    <row r="510" spans="1:9" x14ac:dyDescent="0.3">
      <c r="A510" s="869" t="s">
        <v>110</v>
      </c>
      <c r="B510" s="869"/>
      <c r="C510" s="869"/>
      <c r="D510" s="869"/>
      <c r="E510" s="869"/>
      <c r="F510" s="869"/>
      <c r="G510" s="869"/>
      <c r="H510" s="869"/>
      <c r="I510" s="869"/>
    </row>
    <row r="511" spans="1:9" x14ac:dyDescent="0.3">
      <c r="A511" s="870"/>
      <c r="B511" s="691"/>
      <c r="C511" s="691"/>
      <c r="D511" s="691"/>
      <c r="E511" s="691"/>
      <c r="F511" s="691"/>
      <c r="G511" s="691"/>
      <c r="H511" s="691"/>
      <c r="I511" s="871"/>
    </row>
    <row r="512" spans="1:9" x14ac:dyDescent="0.3">
      <c r="A512" s="872"/>
      <c r="B512" s="869"/>
      <c r="C512" s="869"/>
      <c r="D512" s="869"/>
      <c r="E512" s="869"/>
      <c r="F512" s="869"/>
      <c r="G512" s="869"/>
      <c r="H512" s="869"/>
      <c r="I512" s="873"/>
    </row>
    <row r="514" spans="1:11" x14ac:dyDescent="0.3">
      <c r="A514" s="604" t="s">
        <v>68</v>
      </c>
      <c r="B514" s="604"/>
      <c r="C514" s="604"/>
      <c r="D514" s="604"/>
      <c r="E514" s="604"/>
      <c r="F514" s="604"/>
      <c r="G514" s="604"/>
      <c r="H514" s="604"/>
      <c r="I514" s="604"/>
    </row>
    <row r="515" spans="1:11" ht="14.4" customHeight="1" x14ac:dyDescent="0.3">
      <c r="A515" s="120" t="s">
        <v>69</v>
      </c>
      <c r="B515" s="112" t="s">
        <v>412</v>
      </c>
      <c r="C515" s="604" t="s">
        <v>70</v>
      </c>
      <c r="D515" s="874" t="str">
        <f>VLOOKUP(B515,PRESUPUESTO!$A$18:$I$76,3,FALSE)</f>
        <v>CAJA DE INSPECCION RECTANGULAR 1*1 H=1.2M</v>
      </c>
      <c r="E515" s="874"/>
      <c r="F515" s="874"/>
      <c r="G515" s="874"/>
      <c r="H515" s="874"/>
      <c r="I515" s="877"/>
    </row>
    <row r="516" spans="1:11" x14ac:dyDescent="0.3">
      <c r="A516" s="120" t="s">
        <v>71</v>
      </c>
      <c r="B516" s="112" t="str">
        <f>VLOOKUP(B515,PRESUPUESTO!$A$18:$I$76,2,FALSE)</f>
        <v>PAR-19</v>
      </c>
      <c r="C516" s="604"/>
      <c r="D516" s="140" t="s">
        <v>12</v>
      </c>
      <c r="E516" s="113" t="s">
        <v>12</v>
      </c>
      <c r="F516" s="113" t="s">
        <v>13</v>
      </c>
      <c r="G516" s="113">
        <f>VLOOKUP(B515,[6]PRESUPUESTO!$A$15:$I$1673,6,FALSE)</f>
        <v>622</v>
      </c>
      <c r="H516" s="114" t="s">
        <v>27</v>
      </c>
      <c r="I516" s="136">
        <f>+I541</f>
        <v>896032</v>
      </c>
    </row>
    <row r="517" spans="1:11" x14ac:dyDescent="0.3">
      <c r="A517" s="3" t="s">
        <v>14</v>
      </c>
      <c r="B517" s="3"/>
      <c r="C517" s="115"/>
      <c r="D517" s="115"/>
      <c r="E517" s="115"/>
      <c r="F517" s="115"/>
      <c r="G517" s="115"/>
      <c r="H517" s="115"/>
      <c r="I517" s="118"/>
    </row>
    <row r="518" spans="1:11" x14ac:dyDescent="0.3">
      <c r="A518" s="868" t="s">
        <v>19</v>
      </c>
      <c r="B518" s="868"/>
      <c r="C518" s="868"/>
      <c r="D518" s="868"/>
      <c r="E518" s="868"/>
      <c r="F518" s="116" t="s">
        <v>28</v>
      </c>
      <c r="G518" s="116" t="s">
        <v>29</v>
      </c>
      <c r="H518" s="116" t="s">
        <v>30</v>
      </c>
      <c r="I518" s="115"/>
    </row>
    <row r="519" spans="1:11" x14ac:dyDescent="0.3">
      <c r="A519" s="116" t="s">
        <v>1</v>
      </c>
      <c r="B519" s="117" t="s">
        <v>88</v>
      </c>
      <c r="C519" s="878" t="s">
        <v>424</v>
      </c>
      <c r="D519" s="878"/>
      <c r="E519" s="123" t="str">
        <f>IF($A519="EQUI",VLOOKUP($B519,[6]EQUI!B$16:G$46,3,FALSE),IF($A519="TRAN",VLOOKUP($B519,[6]TRAN!$B$16:$G$26,3,FALSE),IF(A519="MAT",VLOOKUP($B519,[6]MAT!$B$16:$G$83,3,FALSE),IF(A519="MDEO",VLOOKUP($B519,[6]MDEO!$B$16:$I$21,3,FALSE)))))</f>
        <v>HORA</v>
      </c>
      <c r="F519" s="123">
        <f>IF($A519="EQUI",VLOOKUP($B519,[6]EQUI!B$16:G$46,4,FALSE),IF($A519="TRAN",VLOOKUP($B519,[6]TRAN!$B$16:$G$26,4,FALSE),IF(A519="MAT",VLOOKUP($B519,[6]MAT!$B$16:$G$83,4,FALSE),IF(A519="MDEO",VLOOKUP($B519,[6]MDEO!$B$16:$I$21,4,FALSE)))))</f>
        <v>7500</v>
      </c>
      <c r="G519" s="115">
        <v>1</v>
      </c>
      <c r="H519" s="118">
        <f>+F519*G519</f>
        <v>7500</v>
      </c>
      <c r="I519" s="115"/>
    </row>
    <row r="520" spans="1:11" x14ac:dyDescent="0.3">
      <c r="A520" s="116" t="s">
        <v>1</v>
      </c>
      <c r="B520" s="117" t="s">
        <v>89</v>
      </c>
      <c r="C520" s="878" t="s">
        <v>425</v>
      </c>
      <c r="D520" s="878"/>
      <c r="E520" s="123" t="str">
        <f>IF($A520="EQUI",VLOOKUP($B520,[6]EQUI!B$16:G$46,3,FALSE),IF($A520="TRAN",VLOOKUP($B520,[6]TRAN!$B$16:$G$26,3,FALSE),IF(A520="MAT",VLOOKUP($B520,[6]MAT!$B$16:$G$83,3,FALSE),IF(A520="MDEO",VLOOKUP($B520,[6]MDEO!$B$16:$I$21,3,FALSE)))))</f>
        <v>HORA</v>
      </c>
      <c r="F520" s="123">
        <f>IF($A520="EQUI",VLOOKUP($B520,[6]EQUI!B$16:G$46,4,FALSE),IF($A520="TRAN",VLOOKUP($B520,[6]TRAN!$B$16:$G$26,4,FALSE),IF(A520="MAT",VLOOKUP($B520,[6]MAT!$B$16:$G$83,4,FALSE),IF(A520="MDEO",VLOOKUP($B520,[6]MDEO!$B$16:$I$21,4,FALSE)))))</f>
        <v>7500</v>
      </c>
      <c r="G520" s="115">
        <v>1</v>
      </c>
      <c r="H520" s="118">
        <f>+F520*G520</f>
        <v>7500</v>
      </c>
      <c r="I520" s="115"/>
    </row>
    <row r="521" spans="1:11" x14ac:dyDescent="0.3">
      <c r="A521" s="115"/>
      <c r="B521" s="115"/>
      <c r="C521" s="115"/>
      <c r="D521" s="115"/>
      <c r="E521" s="115"/>
      <c r="F521" s="120" t="s">
        <v>32</v>
      </c>
      <c r="G521" s="121" t="str">
        <f>+B515</f>
        <v>2.11</v>
      </c>
      <c r="H521" s="121" t="s">
        <v>319</v>
      </c>
      <c r="I521" s="118">
        <f>SUM(H519:H520)</f>
        <v>15000</v>
      </c>
    </row>
    <row r="522" spans="1:11" x14ac:dyDescent="0.3">
      <c r="A522" s="3" t="s">
        <v>34</v>
      </c>
      <c r="B522" s="3"/>
      <c r="C522" s="115"/>
      <c r="D522" s="115"/>
      <c r="E522" s="115"/>
      <c r="F522" s="115"/>
      <c r="G522" s="115"/>
      <c r="H522" s="115"/>
      <c r="I522" s="115"/>
    </row>
    <row r="523" spans="1:11" x14ac:dyDescent="0.3">
      <c r="A523" s="868" t="s">
        <v>35</v>
      </c>
      <c r="B523" s="868"/>
      <c r="C523" s="868"/>
      <c r="D523" s="868"/>
      <c r="E523" s="116" t="s">
        <v>12</v>
      </c>
      <c r="F523" s="116" t="s">
        <v>36</v>
      </c>
      <c r="G523" s="116" t="s">
        <v>37</v>
      </c>
      <c r="H523" s="116" t="s">
        <v>38</v>
      </c>
      <c r="I523" s="115"/>
    </row>
    <row r="524" spans="1:11" ht="15" customHeight="1" x14ac:dyDescent="0.3">
      <c r="A524" s="116" t="s">
        <v>523</v>
      </c>
      <c r="B524" s="117" t="s">
        <v>139</v>
      </c>
      <c r="C524" s="878" t="str">
        <f>IF($A524="EQUI",VLOOKUP($B524,EQUI!B$16:G$35,2,FALSE),IF($A524="TRAN",VLOOKUP($B524,TRAN!$B$16:$G$26,2,FALSE),IF($A524="MAT1",VLOOKUP($B524,'MAT1'!$B$16:$G$43,2,FALSE),IF($A524="MAT2",VLOOKUP($B524,'MAT2'!$B$16:$G$55,2,FALSE),IF($A524="MDEO",VLOOKUP($B524,MDEO!$B$16:$P$27,2,FALSE))))))</f>
        <v>Concreto 3000psi en obra</v>
      </c>
      <c r="D524" s="878"/>
      <c r="E524" s="123" t="str">
        <f>IF($A524="EQUI",VLOOKUP($B524,EQUI!B$16:G$35,3,FALSE),IF($A524="TRAN",VLOOKUP($B524,TRAN!$B$16:$G$26,3,FALSE),IF($A524="MAT1",VLOOKUP($B524,'MAT1'!$B$16:$G$43,3,FALSE),IF($A524="MAT2",VLOOKUP($B524,'MAT2'!$B$16:$G$55,3,FALSE),IF($A524="MDEO",VLOOKUP($B524,MDEO!$B$16:$P$27,3,FALSE))))))</f>
        <v>M3</v>
      </c>
      <c r="F524" s="123">
        <f>IF($A524="EQUI",VLOOKUP($B524,EQUI!B$16:G$35,4,FALSE),IF($A524="TRAN",VLOOKUP($B524,TRAN!$B$16:$G$26,4,FALSE),IF($A524="MAT1",VLOOKUP($B524,'MAT1'!$B$16:$G$43,4,FALSE),IF($A524="MAT2",VLOOKUP($B524,'MAT2'!$B$16:$G$53,4,FALSE),IF($A524="MDEO",VLOOKUP($B524,MDEO!$B$16:$P$27,4,FALSE))))))</f>
        <v>498450</v>
      </c>
      <c r="G524" s="115">
        <v>0.6</v>
      </c>
      <c r="H524" s="118">
        <f>G524*F524</f>
        <v>299070</v>
      </c>
      <c r="I524" s="115"/>
    </row>
    <row r="525" spans="1:11" ht="14.4" customHeight="1" x14ac:dyDescent="0.3">
      <c r="A525" s="116" t="s">
        <v>522</v>
      </c>
      <c r="B525" s="117" t="s">
        <v>145</v>
      </c>
      <c r="C525" s="878" t="str">
        <f>IF($A525="EQUI",VLOOKUP($B525,EQUI!B$16:G$35,2,FALSE),IF($A525="TRAN",VLOOKUP($B525,TRAN!$B$16:$G$26,2,FALSE),IF($A525="MAT1",VLOOKUP($B525,'MAT1'!$B$16:$G$43,2,FALSE),IF($A525="MAT2",VLOOKUP($B525,'MAT2'!$B$16:$G$55,2,FALSE),IF($A525="MDEO",VLOOKUP($B525,MDEO!$B$16:$P$27,2,FALSE))))))</f>
        <v>herraje para caj reg. 1x1 con tapa</v>
      </c>
      <c r="D525" s="878"/>
      <c r="E525" s="123" t="str">
        <f>IF($A525="EQUI",VLOOKUP($B525,EQUI!B$16:G$35,3,FALSE),IF($A525="TRAN",VLOOKUP($B525,TRAN!$B$16:$G$26,3,FALSE),IF($A525="MAT1",VLOOKUP($B525,'MAT1'!$B$16:$G$43,3,FALSE),IF($A525="MAT2",VLOOKUP($B525,'MAT2'!$B$16:$G$55,3,FALSE),IF($A525="MDEO",VLOOKUP($B525,MDEO!$B$16:$P$27,3,FALSE))))))</f>
        <v>UND</v>
      </c>
      <c r="F525" s="123">
        <f>IF($A525="EQUI",VLOOKUP($B525,EQUI!B$16:G$35,4,FALSE),IF($A525="TRAN",VLOOKUP($B525,TRAN!$B$16:$G$26,4,FALSE),IF($A525="MAT1",VLOOKUP($B525,'MAT1'!$B$16:$G$43,4,FALSE),IF($A525="MAT2",VLOOKUP($B525,'MAT2'!$B$16:$G$53,4,FALSE),IF($A525="MDEO",VLOOKUP($B525,MDEO!$B$16:$P$27,4,FALSE))))))</f>
        <v>290000</v>
      </c>
      <c r="G525" s="115">
        <v>1</v>
      </c>
      <c r="H525" s="118">
        <f>G525*F525</f>
        <v>290000</v>
      </c>
      <c r="I525" s="115"/>
    </row>
    <row r="526" spans="1:11" x14ac:dyDescent="0.3">
      <c r="A526" s="116" t="s">
        <v>523</v>
      </c>
      <c r="B526" s="117" t="s">
        <v>134</v>
      </c>
      <c r="C526" s="908" t="str">
        <f>IF($A526="EQUI",VLOOKUP($B526,EQUI!B$16:G$35,2,FALSE),IF($A526="TRAN",VLOOKUP($B526,TRAN!$B$16:$G$26,2,FALSE),IF($A526="MAT1",VLOOKUP($B526,'MAT1'!$B$16:$G$43,2,FALSE),IF($A526="MAT2",VLOOKUP($B526,'MAT2'!$B$16:$G$55,2,FALSE),IF($A526="MDEO",VLOOKUP($B526,MDEO!$B$16:$P$27,2,FALSE))))))</f>
        <v>Acero  60000 psi</v>
      </c>
      <c r="D526" s="908"/>
      <c r="E526" s="181" t="str">
        <f>IF($A526="EQUI",VLOOKUP($B526,EQUI!B$16:G$35,3,FALSE),IF($A526="TRAN",VLOOKUP($B526,TRAN!$B$16:$G$26,3,FALSE),IF($A526="MAT1",VLOOKUP($B526,'MAT1'!$B$16:$G$43,3,FALSE),IF($A526="MAT2",VLOOKUP($B526,'MAT2'!$B$16:$G$55,3,FALSE),IF($A526="MDEO",VLOOKUP($B526,MDEO!$B$16:$P$27,3,FALSE))))))</f>
        <v>KG</v>
      </c>
      <c r="F526" s="181">
        <f>IF($A526="EQUI",VLOOKUP($B526,EQUI!B$16:G$35,4,FALSE),IF($A526="TRAN",VLOOKUP($B526,TRAN!$B$16:$G$26,4,FALSE),IF($A526="MAT1",VLOOKUP($B526,'MAT1'!$B$16:$G$43,4,FALSE),IF($A526="MAT2",VLOOKUP($B526,'MAT2'!$B$16:$G$53,4,FALSE),IF($A526="MDEO",VLOOKUP($B526,MDEO!$B$16:$P$27,4,FALSE))))))</f>
        <v>6913</v>
      </c>
      <c r="G526" s="182">
        <f>+(1/0.25*4*0.9)</f>
        <v>14.4</v>
      </c>
      <c r="H526" s="183">
        <f>G526*F526</f>
        <v>99547.199999999997</v>
      </c>
      <c r="I526" s="115"/>
      <c r="K526">
        <f>+G526*G516</f>
        <v>8956.8000000000011</v>
      </c>
    </row>
    <row r="527" spans="1:11" x14ac:dyDescent="0.3">
      <c r="A527" s="116" t="s">
        <v>523</v>
      </c>
      <c r="B527" s="117" t="s">
        <v>41</v>
      </c>
      <c r="C527" s="908" t="str">
        <f>IF($A527="EQUI",VLOOKUP($B527,EQUI!B$16:G$35,2,FALSE),IF($A527="TRAN",VLOOKUP($B527,TRAN!$B$16:$G$26,2,FALSE),IF($A527="MAT1",VLOOKUP($B527,'MAT1'!$B$16:$G$43,2,FALSE),IF($A527="MAT2",VLOOKUP($B527,'MAT2'!$B$16:$G$55,2,FALSE),IF($A527="MDEO",VLOOKUP($B527,MDEO!$B$16:$P$27,2,FALSE))))))</f>
        <v>Alambre quemado</v>
      </c>
      <c r="D527" s="908"/>
      <c r="E527" s="181" t="str">
        <f>IF($A527="EQUI",VLOOKUP($B527,EQUI!B$16:G$35,3,FALSE),IF($A527="TRAN",VLOOKUP($B527,TRAN!$B$16:$G$26,3,FALSE),IF($A527="MAT1",VLOOKUP($B527,'MAT1'!$B$16:$G$43,3,FALSE),IF($A527="MAT2",VLOOKUP($B527,'MAT2'!$B$16:$G$55,3,FALSE),IF($A527="MDEO",VLOOKUP($B527,MDEO!$B$16:$P$27,3,FALSE))))))</f>
        <v>KG</v>
      </c>
      <c r="F527" s="181">
        <f>IF($A527="EQUI",VLOOKUP($B527,EQUI!B$16:G$35,4,FALSE),IF($A527="TRAN",VLOOKUP($B527,TRAN!$B$16:$G$26,4,FALSE),IF($A527="MAT1",VLOOKUP($B527,'MAT1'!$B$16:$G$43,4,FALSE),IF($A527="MAT2",VLOOKUP($B527,'MAT2'!$B$16:$G$53,4,FALSE),IF($A527="MDEO",VLOOKUP($B527,MDEO!$B$16:$P$27,4,FALSE))))))</f>
        <v>8321</v>
      </c>
      <c r="G527" s="182">
        <f>0.04*G526</f>
        <v>0.57600000000000007</v>
      </c>
      <c r="H527" s="183">
        <f>G527*F527</f>
        <v>4792.8960000000006</v>
      </c>
      <c r="I527" s="115"/>
      <c r="K527">
        <f>+G527*G516</f>
        <v>358.27200000000005</v>
      </c>
    </row>
    <row r="528" spans="1:11" x14ac:dyDescent="0.3">
      <c r="A528" s="115"/>
      <c r="B528" s="115"/>
      <c r="C528" s="115"/>
      <c r="D528" s="115"/>
      <c r="E528" s="115"/>
      <c r="F528" s="120" t="s">
        <v>32</v>
      </c>
      <c r="G528" s="121" t="str">
        <f>+B515</f>
        <v>2.11</v>
      </c>
      <c r="H528" s="121" t="s">
        <v>320</v>
      </c>
      <c r="I528" s="115">
        <f>SUM(H524:H527)</f>
        <v>693410.0959999999</v>
      </c>
    </row>
    <row r="529" spans="1:9" x14ac:dyDescent="0.3">
      <c r="A529" s="3" t="s">
        <v>15</v>
      </c>
      <c r="B529" s="3"/>
      <c r="C529" s="115"/>
      <c r="D529" s="115"/>
      <c r="E529" s="115"/>
      <c r="F529" s="115"/>
      <c r="G529" s="115"/>
      <c r="H529" s="115"/>
      <c r="I529" s="115"/>
    </row>
    <row r="530" spans="1:9" x14ac:dyDescent="0.3">
      <c r="A530" s="868" t="s">
        <v>19</v>
      </c>
      <c r="B530" s="868"/>
      <c r="C530" s="868"/>
      <c r="D530" s="116" t="s">
        <v>43</v>
      </c>
      <c r="E530" s="116" t="s">
        <v>44</v>
      </c>
      <c r="F530" s="123" t="s">
        <v>45</v>
      </c>
      <c r="G530" s="116" t="s">
        <v>17</v>
      </c>
      <c r="H530" s="116" t="s">
        <v>30</v>
      </c>
      <c r="I530" s="115"/>
    </row>
    <row r="531" spans="1:9" x14ac:dyDescent="0.3">
      <c r="A531" s="131" t="s">
        <v>3</v>
      </c>
      <c r="B531" s="122"/>
      <c r="C531" s="135"/>
      <c r="D531" s="116"/>
      <c r="E531" s="115"/>
      <c r="F531" s="115"/>
      <c r="G531" s="115"/>
      <c r="H531" s="115">
        <f>+G531*F531</f>
        <v>0</v>
      </c>
      <c r="I531" s="115"/>
    </row>
    <row r="532" spans="1:9" x14ac:dyDescent="0.3">
      <c r="A532" s="115"/>
      <c r="B532" s="115"/>
      <c r="C532" s="115"/>
      <c r="D532" s="115"/>
      <c r="E532" s="115"/>
      <c r="F532" s="120" t="s">
        <v>32</v>
      </c>
      <c r="G532" s="121" t="str">
        <f>+B515</f>
        <v>2.11</v>
      </c>
      <c r="H532" s="121" t="s">
        <v>321</v>
      </c>
      <c r="I532" s="115">
        <f>SUM(H531:H531)</f>
        <v>0</v>
      </c>
    </row>
    <row r="533" spans="1:9" x14ac:dyDescent="0.3">
      <c r="A533" s="3"/>
      <c r="B533" s="3"/>
      <c r="C533" s="115"/>
      <c r="D533" s="115"/>
      <c r="E533" s="115"/>
      <c r="F533" s="115"/>
      <c r="G533" s="115"/>
      <c r="H533" s="115"/>
      <c r="I533" s="115"/>
    </row>
    <row r="534" spans="1:9" x14ac:dyDescent="0.3">
      <c r="A534" s="874" t="s">
        <v>47</v>
      </c>
      <c r="B534" s="874"/>
      <c r="C534" s="874"/>
      <c r="D534" s="123" t="s">
        <v>48</v>
      </c>
      <c r="E534" s="123" t="s">
        <v>109</v>
      </c>
      <c r="F534" s="124" t="s">
        <v>49</v>
      </c>
      <c r="G534" s="124" t="s">
        <v>29</v>
      </c>
      <c r="H534" s="123" t="s">
        <v>30</v>
      </c>
      <c r="I534" s="133"/>
    </row>
    <row r="535" spans="1:9" x14ac:dyDescent="0.3">
      <c r="A535" s="131" t="s">
        <v>4</v>
      </c>
      <c r="B535" s="131" t="s">
        <v>175</v>
      </c>
      <c r="C535" s="126" t="str">
        <f>IF($A535="EQUI",VLOOKUP($B535,EQUI!B$16:G$37,2,FALSE),IF($A535="TRAN",VLOOKUP($B535,TRAN!$B$16:$G$26,2,FALSE),IF($A535="MAT",VLOOKUP($B535,'MAT1'!$B$16:$G$43,2,FALSE),IF($A535="MDEO",VLOOKUP($B535,MDEO!$B$16:$P$27,2,FALSE)))))</f>
        <v xml:space="preserve">oficial </v>
      </c>
      <c r="D535" s="31">
        <f>IF($A535="EQUI",VLOOKUP($B535,EQUI!B$16:G$35,3,FALSE),IF($A535="TRAN",VLOOKUP($B535,TRAN!$B$16:$G$26,3,FALSE),IF($A535="MAT",VLOOKUP($B535,'MAT1'!$B$16:$G$43,3,FALSE),IF($A535="MDEO",VLOOKUP($B535,MDEO!$B$16:$P$27,3,FALSE)))))</f>
        <v>4833.333333333333</v>
      </c>
      <c r="E535" s="127"/>
      <c r="F535" s="32">
        <f>+D535+D535*E535</f>
        <v>4833.333333333333</v>
      </c>
      <c r="G535" s="130">
        <v>9</v>
      </c>
      <c r="H535" s="128">
        <f>G535*F535</f>
        <v>43500</v>
      </c>
      <c r="I535" s="115"/>
    </row>
    <row r="536" spans="1:9" x14ac:dyDescent="0.3">
      <c r="A536" s="131" t="s">
        <v>4</v>
      </c>
      <c r="B536" s="131" t="s">
        <v>176</v>
      </c>
      <c r="C536" s="126" t="str">
        <f>IF($A536="EQUI",VLOOKUP($B536,EQUI!B$16:G$37,2,FALSE),IF($A536="TRAN",VLOOKUP($B536,TRAN!$B$16:$G$26,2,FALSE),IF($A536="MAT",VLOOKUP($B536,'MAT1'!$B$16:$G$43,2,FALSE),IF($A536="MDEO",VLOOKUP($B536,MDEO!$B$16:$P$27,2,FALSE)))))</f>
        <v xml:space="preserve">ayudante entendido </v>
      </c>
      <c r="D536" s="31">
        <f>IF($A536="EQUI",VLOOKUP($B536,EQUI!B$16:G$35,3,FALSE),IF($A536="TRAN",VLOOKUP($B536,TRAN!$B$16:$G$26,3,FALSE),IF($A536="MAT",VLOOKUP($B536,'MAT1'!$B$16:$G$43,3,FALSE),IF($A536="MDEO",VLOOKUP($B536,MDEO!$B$16:$P$27,3,FALSE)))))</f>
        <v>4833.333333333333</v>
      </c>
      <c r="E536" s="127"/>
      <c r="F536" s="32">
        <f>+D536+D536*E536</f>
        <v>4833.333333333333</v>
      </c>
      <c r="G536" s="130">
        <v>9</v>
      </c>
      <c r="H536" s="128">
        <f>G536*F536</f>
        <v>43500</v>
      </c>
      <c r="I536" s="115"/>
    </row>
    <row r="537" spans="1:9" x14ac:dyDescent="0.3">
      <c r="A537" s="131" t="s">
        <v>4</v>
      </c>
      <c r="B537" s="131" t="s">
        <v>177</v>
      </c>
      <c r="C537" s="126" t="str">
        <f>IF($A537="EQUI",VLOOKUP($B537,EQUI!B$16:G$37,2,FALSE),IF($A537="TRAN",VLOOKUP($B537,TRAN!$B$16:$G$26,2,FALSE),IF($A537="MAT",VLOOKUP($B537,'MAT1'!$B$16:$G$43,2,FALSE),IF($A537="MDEO",VLOOKUP($B537,MDEO!$B$16:$P$27,2,FALSE)))))</f>
        <v xml:space="preserve">ayudante </v>
      </c>
      <c r="D537" s="31">
        <f>IF($A537="EQUI",VLOOKUP($B537,EQUI!B$16:G$35,3,FALSE),IF($A537="TRAN",VLOOKUP($B537,TRAN!$B$16:$G$26,3,FALSE),IF($A537="MAT",VLOOKUP($B537,'MAT1'!$B$16:$G$43,3,FALSE),IF($A537="MDEO",VLOOKUP($B537,MDEO!$B$16:$P$27,3,FALSE)))))</f>
        <v>4833.333333333333</v>
      </c>
      <c r="E537" s="127"/>
      <c r="F537" s="32">
        <f>+D537+D537*E537</f>
        <v>4833.333333333333</v>
      </c>
      <c r="G537" s="130">
        <v>18</v>
      </c>
      <c r="H537" s="128">
        <f>G537*F537</f>
        <v>87000</v>
      </c>
      <c r="I537" s="115"/>
    </row>
    <row r="538" spans="1:9" x14ac:dyDescent="0.3">
      <c r="A538" s="131" t="s">
        <v>4</v>
      </c>
      <c r="B538" s="131" t="s">
        <v>178</v>
      </c>
      <c r="C538" s="126" t="str">
        <f>IF($A538="EQUI",VLOOKUP($B538,EQUI!B$16:G$37,2,FALSE),IF($A538="TRAN",VLOOKUP($B538,TRAN!$B$16:$G$26,2,FALSE),IF($A538="MAT",VLOOKUP($B538,'MAT1'!$B$16:$G$43,2,FALSE),IF($A538="MDEO",VLOOKUP($B538,MDEO!$B$16:$P$33,2,FALSE)))))</f>
        <v>contra maestro</v>
      </c>
      <c r="D538" s="31">
        <f>IF($A538="EQUI",VLOOKUP($B538,EQUI!B$16:G$35,3,FALSE),IF($A538="TRAN",VLOOKUP($B538,TRAN!$B$16:$G$26,3,FALSE),IF($A538="MAT",VLOOKUP($B538,'MAT1'!$B$16:$G$43,3,FALSE),IF($A538="MDEO",VLOOKUP($B538,MDEO!$B$16:$P$33,3,FALSE)))))</f>
        <v>5208.333333333333</v>
      </c>
      <c r="E538" s="115"/>
      <c r="F538" s="32">
        <f>+D538+D538*E538</f>
        <v>5208.333333333333</v>
      </c>
      <c r="G538" s="130">
        <f>+G535*0.1</f>
        <v>0.9</v>
      </c>
      <c r="H538" s="128">
        <f>G538*F538</f>
        <v>4687.5</v>
      </c>
      <c r="I538" s="115"/>
    </row>
    <row r="539" spans="1:9" x14ac:dyDescent="0.3">
      <c r="A539" s="115"/>
      <c r="B539" s="115"/>
      <c r="C539" s="115"/>
      <c r="D539" s="115"/>
      <c r="E539" s="115"/>
      <c r="F539" s="120" t="s">
        <v>32</v>
      </c>
      <c r="G539" s="121" t="str">
        <f>+B515</f>
        <v>2.11</v>
      </c>
      <c r="H539" s="120" t="s">
        <v>322</v>
      </c>
      <c r="I539" s="118">
        <f>SUM(H535:H538)</f>
        <v>178687.5</v>
      </c>
    </row>
    <row r="540" spans="1:9" x14ac:dyDescent="0.3">
      <c r="A540" s="115" t="s">
        <v>54</v>
      </c>
      <c r="B540" s="115"/>
      <c r="C540" s="115"/>
      <c r="D540" s="115"/>
      <c r="E540" s="115"/>
      <c r="F540" s="115"/>
      <c r="G540" s="115"/>
      <c r="H540" s="116"/>
      <c r="I540" s="118">
        <f>I539*0.05</f>
        <v>8934.375</v>
      </c>
    </row>
    <row r="541" spans="1:9" x14ac:dyDescent="0.3">
      <c r="A541" s="115"/>
      <c r="B541" s="115"/>
      <c r="C541" s="115"/>
      <c r="D541" s="115"/>
      <c r="E541" s="115"/>
      <c r="F541" s="120" t="s">
        <v>55</v>
      </c>
      <c r="G541" s="116"/>
      <c r="H541" s="116"/>
      <c r="I541" s="118">
        <f>ROUND(I539+I540+I528+I521+I532,0)</f>
        <v>896032</v>
      </c>
    </row>
    <row r="542" spans="1:9" x14ac:dyDescent="0.3">
      <c r="A542" s="868" t="s">
        <v>56</v>
      </c>
      <c r="B542" s="868"/>
      <c r="C542" s="868"/>
      <c r="D542" s="868"/>
      <c r="E542" s="868" t="s">
        <v>57</v>
      </c>
      <c r="F542" s="868"/>
      <c r="G542" s="875" t="s">
        <v>58</v>
      </c>
      <c r="H542" s="875"/>
      <c r="I542" s="118"/>
    </row>
    <row r="543" spans="1:9" x14ac:dyDescent="0.3">
      <c r="A543" s="868" t="s">
        <v>208</v>
      </c>
      <c r="B543" s="868"/>
      <c r="C543" s="868"/>
      <c r="D543" s="868"/>
      <c r="E543" s="876">
        <v>0.02</v>
      </c>
      <c r="F543" s="876"/>
      <c r="G543" s="875">
        <f>+I541*E543</f>
        <v>17920.64</v>
      </c>
      <c r="H543" s="875"/>
      <c r="I543" s="118"/>
    </row>
    <row r="544" spans="1:9" x14ac:dyDescent="0.3">
      <c r="A544" s="868" t="s">
        <v>5</v>
      </c>
      <c r="B544" s="868"/>
      <c r="C544" s="868"/>
      <c r="D544" s="868"/>
      <c r="E544" s="876">
        <v>0.23</v>
      </c>
      <c r="F544" s="876"/>
      <c r="G544" s="875">
        <f>+E544*I541</f>
        <v>206087.36000000002</v>
      </c>
      <c r="H544" s="875"/>
      <c r="I544" s="118"/>
    </row>
    <row r="545" spans="1:9" x14ac:dyDescent="0.3">
      <c r="A545" s="868" t="s">
        <v>6</v>
      </c>
      <c r="B545" s="868"/>
      <c r="C545" s="868"/>
      <c r="D545" s="868"/>
      <c r="E545" s="876">
        <v>0.05</v>
      </c>
      <c r="F545" s="876"/>
      <c r="G545" s="875">
        <f>+E545*I541</f>
        <v>44801.600000000006</v>
      </c>
      <c r="H545" s="875"/>
      <c r="I545" s="118"/>
    </row>
    <row r="546" spans="1:9" x14ac:dyDescent="0.3">
      <c r="A546" s="868" t="s">
        <v>207</v>
      </c>
      <c r="B546" s="868"/>
      <c r="C546" s="868"/>
      <c r="D546" s="868"/>
      <c r="E546" s="876">
        <v>0.02</v>
      </c>
      <c r="F546" s="876"/>
      <c r="G546" s="875">
        <f>+E546*I541</f>
        <v>17920.64</v>
      </c>
      <c r="H546" s="875"/>
      <c r="I546" s="118"/>
    </row>
    <row r="547" spans="1:9" x14ac:dyDescent="0.3">
      <c r="A547" s="867" t="s">
        <v>397</v>
      </c>
      <c r="B547" s="867"/>
      <c r="C547" s="867"/>
      <c r="D547" s="867"/>
      <c r="E547" s="867"/>
      <c r="F547" s="867"/>
      <c r="G547" s="867"/>
      <c r="H547" s="867"/>
      <c r="I547" s="118">
        <f>+G546+G544+G545+G543</f>
        <v>286730.23999999999</v>
      </c>
    </row>
    <row r="548" spans="1:9" x14ac:dyDescent="0.3">
      <c r="A548" s="867" t="s">
        <v>59</v>
      </c>
      <c r="B548" s="867"/>
      <c r="C548" s="867"/>
      <c r="D548" s="867"/>
      <c r="E548" s="867"/>
      <c r="F548" s="867"/>
      <c r="G548" s="867"/>
      <c r="H548" s="867"/>
      <c r="I548" s="118">
        <f>+I547+I541</f>
        <v>1182762.24</v>
      </c>
    </row>
    <row r="549" spans="1:9" x14ac:dyDescent="0.3">
      <c r="A549" s="65"/>
      <c r="B549" s="65"/>
      <c r="C549" s="65"/>
      <c r="D549" s="65"/>
      <c r="E549" s="65"/>
      <c r="F549" s="65"/>
      <c r="G549" s="65"/>
      <c r="H549" s="65"/>
      <c r="I549" s="118"/>
    </row>
    <row r="550" spans="1:9" x14ac:dyDescent="0.3">
      <c r="A550" s="604" t="s">
        <v>114</v>
      </c>
      <c r="B550" s="604"/>
      <c r="C550" s="604"/>
      <c r="D550" s="65"/>
      <c r="E550" s="65"/>
      <c r="F550" s="604" t="s">
        <v>396</v>
      </c>
      <c r="G550" s="604"/>
      <c r="H550" s="604"/>
      <c r="I550" s="604"/>
    </row>
    <row r="551" spans="1:9" x14ac:dyDescent="0.3">
      <c r="A551" s="116" t="s">
        <v>111</v>
      </c>
      <c r="B551" s="868"/>
      <c r="C551" s="868"/>
      <c r="D551" s="115"/>
      <c r="E551" s="115"/>
      <c r="F551" s="116" t="s">
        <v>111</v>
      </c>
      <c r="G551" s="868"/>
      <c r="H551" s="868"/>
      <c r="I551" s="868"/>
    </row>
    <row r="552" spans="1:9" x14ac:dyDescent="0.3">
      <c r="A552" s="86" t="s">
        <v>115</v>
      </c>
      <c r="B552" s="868" t="str">
        <f>VLOOKUP(A552,[11]INICIO!$E$6:$H$26,2,FALSE)</f>
        <v>JHON EMIR GAMBOA MENA</v>
      </c>
      <c r="C552" s="868"/>
      <c r="F552" s="86" t="s">
        <v>112</v>
      </c>
      <c r="G552" s="868"/>
      <c r="H552" s="868"/>
      <c r="I552" s="868"/>
    </row>
    <row r="553" spans="1:9" x14ac:dyDescent="0.3">
      <c r="A553" s="86" t="s">
        <v>113</v>
      </c>
      <c r="B553" s="868" t="str">
        <f>VLOOKUP(A552,[11]INICIO!$E$6:$H$26,4,FALSE)</f>
        <v>05202-316814 ANT</v>
      </c>
      <c r="C553" s="868"/>
      <c r="F553" s="86" t="s">
        <v>113</v>
      </c>
      <c r="G553" s="868"/>
      <c r="H553" s="868"/>
      <c r="I553" s="868"/>
    </row>
    <row r="554" spans="1:9" x14ac:dyDescent="0.3">
      <c r="A554" s="86"/>
      <c r="B554" s="116"/>
      <c r="C554" s="116"/>
      <c r="F554" s="86"/>
      <c r="G554" s="116"/>
      <c r="H554" s="116"/>
      <c r="I554" s="116"/>
    </row>
    <row r="555" spans="1:9" x14ac:dyDescent="0.3">
      <c r="A555" s="869" t="s">
        <v>110</v>
      </c>
      <c r="B555" s="869"/>
      <c r="C555" s="869"/>
      <c r="D555" s="869"/>
      <c r="E555" s="869"/>
      <c r="F555" s="869"/>
      <c r="G555" s="869"/>
      <c r="H555" s="869"/>
      <c r="I555" s="869"/>
    </row>
    <row r="556" spans="1:9" x14ac:dyDescent="0.3">
      <c r="A556" s="870"/>
      <c r="B556" s="691"/>
      <c r="C556" s="691"/>
      <c r="D556" s="691"/>
      <c r="E556" s="691"/>
      <c r="F556" s="691"/>
      <c r="G556" s="691"/>
      <c r="H556" s="691"/>
      <c r="I556" s="871"/>
    </row>
    <row r="557" spans="1:9" x14ac:dyDescent="0.3">
      <c r="A557" s="872"/>
      <c r="B557" s="869"/>
      <c r="C557" s="869"/>
      <c r="D557" s="869"/>
      <c r="E557" s="869"/>
      <c r="F557" s="869"/>
      <c r="G557" s="869"/>
      <c r="H557" s="869"/>
      <c r="I557" s="873"/>
    </row>
    <row r="559" spans="1:9" x14ac:dyDescent="0.3">
      <c r="A559" s="604" t="s">
        <v>68</v>
      </c>
      <c r="B559" s="604"/>
      <c r="C559" s="604"/>
      <c r="D559" s="604"/>
      <c r="E559" s="604"/>
      <c r="F559" s="604"/>
      <c r="G559" s="604"/>
      <c r="H559" s="604"/>
      <c r="I559" s="604"/>
    </row>
    <row r="560" spans="1:9" ht="14.4" customHeight="1" x14ac:dyDescent="0.3">
      <c r="A560" s="120" t="s">
        <v>69</v>
      </c>
      <c r="B560" s="112" t="s">
        <v>413</v>
      </c>
      <c r="C560" s="604" t="s">
        <v>70</v>
      </c>
      <c r="D560" s="874" t="str">
        <f>VLOOKUP(B560,PRESUPUESTO!$A$18:$I$76,3,FALSE)</f>
        <v>LLENO DE MATERIAL GRANULAR RIO PARA CIMIENTO DE LA TUBERIA</v>
      </c>
      <c r="E560" s="874"/>
      <c r="F560" s="874"/>
      <c r="G560" s="874"/>
      <c r="H560" s="874"/>
      <c r="I560" s="877"/>
    </row>
    <row r="561" spans="1:9" x14ac:dyDescent="0.3">
      <c r="A561" s="120" t="s">
        <v>71</v>
      </c>
      <c r="B561" s="112" t="str">
        <f>VLOOKUP(B560,PRESUPUESTO!$A$18:$I$76,2,FALSE)</f>
        <v>803C-EPM</v>
      </c>
      <c r="C561" s="604"/>
      <c r="D561" s="140" t="s">
        <v>12</v>
      </c>
      <c r="E561" s="113" t="s">
        <v>124</v>
      </c>
      <c r="F561" s="113" t="s">
        <v>13</v>
      </c>
      <c r="G561" s="113">
        <f>VLOOKUP(B560,PRESUPUESTO!$A$15:$I$1659,6,FALSE)</f>
        <v>1890</v>
      </c>
      <c r="H561" s="114" t="s">
        <v>27</v>
      </c>
      <c r="I561" s="136">
        <f>+I583</f>
        <v>77911</v>
      </c>
    </row>
    <row r="562" spans="1:9" x14ac:dyDescent="0.3">
      <c r="A562" s="3" t="s">
        <v>14</v>
      </c>
      <c r="B562" s="3"/>
      <c r="C562" s="115"/>
      <c r="D562" s="115"/>
      <c r="E562" s="115"/>
      <c r="F562" s="115"/>
      <c r="G562" s="115"/>
      <c r="H562" s="115"/>
      <c r="I562" s="118"/>
    </row>
    <row r="563" spans="1:9" x14ac:dyDescent="0.3">
      <c r="A563" s="868" t="s">
        <v>19</v>
      </c>
      <c r="B563" s="868"/>
      <c r="C563" s="868"/>
      <c r="D563" s="868"/>
      <c r="E563" s="868"/>
      <c r="F563" s="116" t="s">
        <v>28</v>
      </c>
      <c r="G563" s="116" t="s">
        <v>29</v>
      </c>
      <c r="H563" s="116" t="s">
        <v>30</v>
      </c>
      <c r="I563" s="115"/>
    </row>
    <row r="564" spans="1:9" ht="18.75" customHeight="1" x14ac:dyDescent="0.3">
      <c r="A564" s="116" t="s">
        <v>1</v>
      </c>
      <c r="B564" s="117" t="s">
        <v>74</v>
      </c>
      <c r="C564" s="878" t="str">
        <f>IF($A564="EQUI",VLOOKUP($B564,[6]EQUI!B$16:G$46,2,FALSE),IF($A564="TRAN",VLOOKUP($B564,[6]TRAN!$B$16:$G$26,2,FALSE),IF($A564="MAT",VLOOKUP($B564,[6]MAT!$B$16:$G$83,2,FALSE),IF($A564="MDEO",VLOOKUP($B564,[6]MDEO!$B$16:$I$21,2,FALSE)))))</f>
        <v>COMPACTADOR TIPO CANGURO</v>
      </c>
      <c r="D564" s="878"/>
      <c r="E564" s="878"/>
      <c r="F564" s="123">
        <f>IF($A564="EQUI",VLOOKUP($B564,[6]EQUI!B$16:G$46,4,FALSE),IF($A564="TRAN",VLOOKUP($B564,[6]TRAN!$B$16:$G$26,4,FALSE),IF($A564="MAT",VLOOKUP($B564,[6]MAT!$B$16:$G$83,4,FALSE),IF($A564="MDEO",VLOOKUP($B564,[6]MDEO!$B$16:$I$21,4,FALSE)))))</f>
        <v>7500</v>
      </c>
      <c r="G564" s="115">
        <v>0.5</v>
      </c>
      <c r="H564" s="118">
        <f>G564*F564</f>
        <v>3750</v>
      </c>
      <c r="I564" s="115"/>
    </row>
    <row r="565" spans="1:9" x14ac:dyDescent="0.3">
      <c r="A565" s="115"/>
      <c r="B565" s="115"/>
      <c r="C565" s="115"/>
      <c r="D565" s="115"/>
      <c r="E565" s="115"/>
      <c r="F565" s="120" t="s">
        <v>32</v>
      </c>
      <c r="G565" s="121" t="str">
        <f>+B560</f>
        <v>2.12</v>
      </c>
      <c r="H565" s="121" t="s">
        <v>477</v>
      </c>
      <c r="I565" s="118">
        <f>SUM(H564:H564)</f>
        <v>3750</v>
      </c>
    </row>
    <row r="566" spans="1:9" x14ac:dyDescent="0.3">
      <c r="A566" s="3" t="s">
        <v>34</v>
      </c>
      <c r="B566" s="3"/>
      <c r="C566" s="115"/>
      <c r="D566" s="115"/>
      <c r="E566" s="115"/>
      <c r="F566" s="115"/>
      <c r="G566" s="115"/>
      <c r="H566" s="115"/>
      <c r="I566" s="115"/>
    </row>
    <row r="567" spans="1:9" x14ac:dyDescent="0.3">
      <c r="A567" s="868" t="s">
        <v>35</v>
      </c>
      <c r="B567" s="868"/>
      <c r="C567" s="868"/>
      <c r="D567" s="868"/>
      <c r="E567" s="116" t="s">
        <v>12</v>
      </c>
      <c r="F567" s="116" t="s">
        <v>36</v>
      </c>
      <c r="G567" s="116" t="s">
        <v>37</v>
      </c>
      <c r="H567" s="116" t="s">
        <v>38</v>
      </c>
      <c r="I567" s="115"/>
    </row>
    <row r="568" spans="1:9" x14ac:dyDescent="0.3">
      <c r="A568" s="116" t="s">
        <v>523</v>
      </c>
      <c r="B568" s="117" t="s">
        <v>524</v>
      </c>
      <c r="C568" s="878" t="str">
        <f>IF($A568="EQUI",VLOOKUP($B568,EQUI!B$16:G$35,2,FALSE),IF($A568="TRAN",VLOOKUP($B568,TRAN!$B$16:$G$26,2,FALSE),IF($A568="MAT1",VLOOKUP($B568,'MAT1'!$B$16:$G$43,2,FALSE),IF($A568="MAT2",VLOOKUP($B568,'MAT2'!$B$16:$G$55,2,FALSE),IF($A568="MDEO",VLOOKUP($B568,MDEO!$B$16:$P$27,2,FALSE))))))</f>
        <v>Material granular de préstamo</v>
      </c>
      <c r="D568" s="878"/>
      <c r="E568" s="123" t="str">
        <f>IF($A568="EQUI",VLOOKUP($B568,EQUI!B$16:G$35,3,FALSE),IF($A568="TRAN",VLOOKUP($B568,TRAN!$B$16:$G$26,3,FALSE),IF($A568="MAT1",VLOOKUP($B568,'MAT1'!$B$16:$G$43,3,FALSE),IF($A568="MAT2",VLOOKUP($B568,'MAT2'!$B$16:$G$55,3,FALSE),IF($A568="MDEO",VLOOKUP($B568,MDEO!$B$16:$P$27,3,FALSE))))))</f>
        <v>M3</v>
      </c>
      <c r="F568" s="123">
        <f>IF($A568="EQUI",VLOOKUP($B568,EQUI!B$16:G$35,4,FALSE),IF($A568="TRAN",VLOOKUP($B568,TRAN!$B$16:$G$26,4,FALSE),IF($A568="MAT1",VLOOKUP($B568,'MAT1'!$B$16:$G$43,4,FALSE),IF($A568="MAT2",VLOOKUP($B568,'MAT2'!$B$16:$G$53,4,FALSE),IF($A568="MDEO",VLOOKUP($B568,MDEO!$B$16:$P$27,4,FALSE))))))</f>
        <v>29500</v>
      </c>
      <c r="G568" s="115">
        <v>1.25</v>
      </c>
      <c r="H568" s="118">
        <f>G568*F568</f>
        <v>36875</v>
      </c>
      <c r="I568" s="115"/>
    </row>
    <row r="569" spans="1:9" x14ac:dyDescent="0.3">
      <c r="A569" s="115"/>
      <c r="B569" s="115"/>
      <c r="C569" s="115"/>
      <c r="D569" s="115"/>
      <c r="E569" s="115"/>
      <c r="F569" s="120" t="s">
        <v>32</v>
      </c>
      <c r="G569" s="121" t="str">
        <f>+B560</f>
        <v>2.12</v>
      </c>
      <c r="H569" s="121" t="s">
        <v>478</v>
      </c>
      <c r="I569" s="115">
        <f>SUM(H568:H568)</f>
        <v>36875</v>
      </c>
    </row>
    <row r="570" spans="1:9" x14ac:dyDescent="0.3">
      <c r="A570" s="3" t="s">
        <v>15</v>
      </c>
      <c r="B570" s="3"/>
      <c r="C570" s="115"/>
      <c r="D570" s="115"/>
      <c r="E570" s="115"/>
      <c r="F570" s="115"/>
      <c r="G570" s="115"/>
      <c r="H570" s="115"/>
      <c r="I570" s="115"/>
    </row>
    <row r="571" spans="1:9" x14ac:dyDescent="0.3">
      <c r="A571" s="868" t="s">
        <v>19</v>
      </c>
      <c r="B571" s="868"/>
      <c r="C571" s="868"/>
      <c r="D571" s="116" t="s">
        <v>43</v>
      </c>
      <c r="E571" s="116" t="s">
        <v>44</v>
      </c>
      <c r="F571" s="123" t="s">
        <v>45</v>
      </c>
      <c r="G571" s="116" t="s">
        <v>17</v>
      </c>
      <c r="H571" s="116" t="s">
        <v>30</v>
      </c>
      <c r="I571" s="115"/>
    </row>
    <row r="572" spans="1:9" x14ac:dyDescent="0.3">
      <c r="A572" s="131" t="s">
        <v>3</v>
      </c>
      <c r="B572" s="122" t="s">
        <v>171</v>
      </c>
      <c r="C572" s="133" t="str">
        <f>IF($A572="EQUI",VLOOKUP($B572,[11]EQUI!B$16:G$46,2,FALSE),IF($A572="TRAN",VLOOKUP($B572,[11]TRAN!$B$16:$G$26,2,FALSE),IF(A572="MAT",VLOOKUP($B572,[11]MAT!$B$16:$G$82,2,FALSE),IF(A572="MDEO",VLOOKUP($B572,[11]MDEO!$B$16:$H$24,2,FALSE)))))</f>
        <v>TRANS MATERIAL &gt; 10 KM</v>
      </c>
      <c r="D572" s="133">
        <f>+G568</f>
        <v>1.25</v>
      </c>
      <c r="E572" s="115">
        <v>24</v>
      </c>
      <c r="F572" s="115">
        <f>+E572*D572</f>
        <v>30</v>
      </c>
      <c r="G572" s="115">
        <f>IF($A572="EQUI",VLOOKUP($B572,[11]EQUI!B$16:G$46,4,FALSE),IF($A572="TRAN",VLOOKUP($B572,[11]TRAN!$B$16:$G$26,4,FALSE),IF($A572="MAT",VLOOKUP($B572,[11]MAT!$B$16:$G$82,4,FALSE),IF($A572="MDEO",VLOOKUP($B572,[11]MDEO!$B$16:$H$24,4,FALSE)))))</f>
        <v>980</v>
      </c>
      <c r="H572" s="115">
        <f>+G572*F572</f>
        <v>29400</v>
      </c>
      <c r="I572" s="115"/>
    </row>
    <row r="573" spans="1:9" x14ac:dyDescent="0.3">
      <c r="A573" s="115"/>
      <c r="B573" s="115"/>
      <c r="C573" s="115"/>
      <c r="D573" s="115"/>
      <c r="E573" s="115"/>
      <c r="F573" s="120" t="s">
        <v>32</v>
      </c>
      <c r="G573" s="121" t="str">
        <f>+B560</f>
        <v>2.12</v>
      </c>
      <c r="H573" s="121" t="s">
        <v>479</v>
      </c>
      <c r="I573" s="115">
        <f>SUM(H572:H572)</f>
        <v>29400</v>
      </c>
    </row>
    <row r="574" spans="1:9" x14ac:dyDescent="0.3">
      <c r="A574" s="3"/>
      <c r="B574" s="3"/>
      <c r="C574" s="115"/>
      <c r="D574" s="115"/>
      <c r="E574" s="115"/>
      <c r="F574" s="115"/>
      <c r="G574" s="115"/>
      <c r="H574" s="115"/>
      <c r="I574" s="115"/>
    </row>
    <row r="575" spans="1:9" x14ac:dyDescent="0.3">
      <c r="A575" s="874" t="s">
        <v>47</v>
      </c>
      <c r="B575" s="874"/>
      <c r="C575" s="874"/>
      <c r="D575" s="123" t="s">
        <v>48</v>
      </c>
      <c r="E575" s="123" t="s">
        <v>109</v>
      </c>
      <c r="F575" s="124" t="s">
        <v>49</v>
      </c>
      <c r="G575" s="124" t="s">
        <v>29</v>
      </c>
      <c r="H575" s="123" t="s">
        <v>30</v>
      </c>
      <c r="I575" s="133"/>
    </row>
    <row r="576" spans="1:9" x14ac:dyDescent="0.3">
      <c r="A576" s="131" t="s">
        <v>4</v>
      </c>
      <c r="B576" s="131" t="s">
        <v>175</v>
      </c>
      <c r="C576" s="126" t="str">
        <f>IF($A576="EQUI",VLOOKUP($B576,EQUI!B$16:G$37,2,FALSE),IF($A576="TRAN",VLOOKUP($B576,TRAN!$B$16:$G$26,2,FALSE),IF($A576="MAT",VLOOKUP($B576,'MAT1'!$B$16:$G$43,2,FALSE),IF($A576="MDEO",VLOOKUP($B576,MDEO!$B$16:$P$27,2,FALSE)))))</f>
        <v xml:space="preserve">oficial </v>
      </c>
      <c r="D576" s="31">
        <f>IF($A576="EQUI",VLOOKUP($B576,EQUI!B$16:G$35,3,FALSE),IF($A576="TRAN",VLOOKUP($B576,TRAN!$B$16:$G$26,3,FALSE),IF($A576="MAT",VLOOKUP($B576,'MAT1'!$B$16:$G$43,3,FALSE),IF($A576="MDEO",VLOOKUP($B576,MDEO!$B$16:$P$27,3,FALSE)))))</f>
        <v>4833.333333333333</v>
      </c>
      <c r="E576" s="127"/>
      <c r="F576" s="32">
        <f>+D576+D576*E576</f>
        <v>4833.333333333333</v>
      </c>
      <c r="G576" s="130">
        <v>0.5</v>
      </c>
      <c r="H576" s="128">
        <f>G576*F576</f>
        <v>2416.6666666666665</v>
      </c>
      <c r="I576" s="115"/>
    </row>
    <row r="577" spans="1:9" x14ac:dyDescent="0.3">
      <c r="A577" s="131" t="s">
        <v>4</v>
      </c>
      <c r="B577" s="131" t="s">
        <v>176</v>
      </c>
      <c r="C577" s="126" t="str">
        <f>IF($A577="EQUI",VLOOKUP($B577,EQUI!B$16:G$37,2,FALSE),IF($A577="TRAN",VLOOKUP($B577,TRAN!$B$16:$G$26,2,FALSE),IF($A577="MAT",VLOOKUP($B577,'MAT1'!$B$16:$G$43,2,FALSE),IF($A577="MDEO",VLOOKUP($B577,MDEO!$B$16:$P$27,2,FALSE)))))</f>
        <v xml:space="preserve">ayudante entendido </v>
      </c>
      <c r="D577" s="31">
        <f>IF($A577="EQUI",VLOOKUP($B577,EQUI!B$16:G$35,3,FALSE),IF($A577="TRAN",VLOOKUP($B577,TRAN!$B$16:$G$26,3,FALSE),IF($A577="MAT",VLOOKUP($B577,'MAT1'!$B$16:$G$43,3,FALSE),IF($A577="MDEO",VLOOKUP($B577,MDEO!$B$16:$P$27,3,FALSE)))))</f>
        <v>4833.333333333333</v>
      </c>
      <c r="E577" s="127"/>
      <c r="F577" s="32">
        <f>+D577+D577*E577</f>
        <v>4833.333333333333</v>
      </c>
      <c r="G577" s="130">
        <v>0.5</v>
      </c>
      <c r="H577" s="128">
        <f>G577*F577</f>
        <v>2416.6666666666665</v>
      </c>
      <c r="I577" s="115"/>
    </row>
    <row r="578" spans="1:9" x14ac:dyDescent="0.3">
      <c r="A578" s="131" t="s">
        <v>4</v>
      </c>
      <c r="B578" s="131" t="s">
        <v>177</v>
      </c>
      <c r="C578" s="126" t="str">
        <f>IF($A578="EQUI",VLOOKUP($B578,EQUI!B$16:G$37,2,FALSE),IF($A578="TRAN",VLOOKUP($B578,TRAN!$B$16:$G$26,2,FALSE),IF($A578="MAT",VLOOKUP($B578,'MAT1'!$B$16:$G$43,2,FALSE),IF($A578="MDEO",VLOOKUP($B578,MDEO!$B$16:$P$27,2,FALSE)))))</f>
        <v xml:space="preserve">ayudante </v>
      </c>
      <c r="D578" s="31">
        <f>IF($A578="EQUI",VLOOKUP($B578,EQUI!B$16:G$35,3,FALSE),IF($A578="TRAN",VLOOKUP($B578,TRAN!$B$16:$G$26,3,FALSE),IF($A578="MAT",VLOOKUP($B578,'MAT1'!$B$16:$G$43,3,FALSE),IF($A578="MDEO",VLOOKUP($B578,MDEO!$B$16:$P$27,3,FALSE)))))</f>
        <v>4833.333333333333</v>
      </c>
      <c r="E578" s="127"/>
      <c r="F578" s="32">
        <f>+D578+D578*E578</f>
        <v>4833.333333333333</v>
      </c>
      <c r="G578" s="130">
        <v>0.5</v>
      </c>
      <c r="H578" s="128">
        <f>G578*F578</f>
        <v>2416.6666666666665</v>
      </c>
      <c r="I578" s="115"/>
    </row>
    <row r="579" spans="1:9" x14ac:dyDescent="0.3">
      <c r="A579" s="131" t="s">
        <v>4</v>
      </c>
      <c r="B579" s="131" t="s">
        <v>178</v>
      </c>
      <c r="C579" s="126" t="str">
        <f>IF($A579="EQUI",VLOOKUP($B579,EQUI!B$16:G$37,2,FALSE),IF($A579="TRAN",VLOOKUP($B579,TRAN!$B$16:$G$26,2,FALSE),IF($A579="MAT",VLOOKUP($B579,'MAT1'!$B$16:$G$43,2,FALSE),IF($A579="MDEO",VLOOKUP($B579,MDEO!$B$16:$P$33,2,FALSE)))))</f>
        <v>contra maestro</v>
      </c>
      <c r="D579" s="31">
        <f>IF($A579="EQUI",VLOOKUP($B579,EQUI!B$16:G$35,3,FALSE),IF($A579="TRAN",VLOOKUP($B579,TRAN!$B$16:$G$26,3,FALSE),IF($A579="MAT",VLOOKUP($B579,'MAT1'!$B$16:$G$43,3,FALSE),IF($A579="MDEO",VLOOKUP($B579,MDEO!$B$16:$P$33,3,FALSE)))))</f>
        <v>5208.333333333333</v>
      </c>
      <c r="E579" s="127"/>
      <c r="F579" s="32">
        <f>+D579+D579*E579</f>
        <v>5208.333333333333</v>
      </c>
      <c r="G579" s="130">
        <f>+G576*0.1</f>
        <v>0.05</v>
      </c>
      <c r="H579" s="128">
        <f>G579*F579</f>
        <v>260.41666666666669</v>
      </c>
      <c r="I579" s="115"/>
    </row>
    <row r="580" spans="1:9" x14ac:dyDescent="0.3">
      <c r="A580" s="868"/>
      <c r="B580" s="868"/>
      <c r="C580" s="115"/>
      <c r="D580" s="115"/>
      <c r="E580" s="115"/>
      <c r="F580" s="115"/>
      <c r="G580" s="115"/>
      <c r="H580" s="115"/>
      <c r="I580" s="115"/>
    </row>
    <row r="581" spans="1:9" x14ac:dyDescent="0.3">
      <c r="A581" s="115"/>
      <c r="B581" s="115"/>
      <c r="C581" s="115"/>
      <c r="D581" s="115"/>
      <c r="E581" s="115"/>
      <c r="F581" s="120" t="s">
        <v>32</v>
      </c>
      <c r="G581" s="121" t="str">
        <f>+B560</f>
        <v>2.12</v>
      </c>
      <c r="H581" s="120" t="s">
        <v>480</v>
      </c>
      <c r="I581" s="118">
        <f>SUM(H576:H580)</f>
        <v>7510.416666666667</v>
      </c>
    </row>
    <row r="582" spans="1:9" x14ac:dyDescent="0.3">
      <c r="A582" s="115" t="s">
        <v>54</v>
      </c>
      <c r="B582" s="115"/>
      <c r="C582" s="115"/>
      <c r="D582" s="115"/>
      <c r="E582" s="115"/>
      <c r="F582" s="115"/>
      <c r="G582" s="115"/>
      <c r="H582" s="116"/>
      <c r="I582" s="118">
        <f>I581*0.05</f>
        <v>375.52083333333337</v>
      </c>
    </row>
    <row r="583" spans="1:9" x14ac:dyDescent="0.3">
      <c r="A583" s="115"/>
      <c r="B583" s="115"/>
      <c r="C583" s="115"/>
      <c r="D583" s="115"/>
      <c r="E583" s="115"/>
      <c r="F583" s="120" t="s">
        <v>55</v>
      </c>
      <c r="G583" s="116"/>
      <c r="H583" s="116"/>
      <c r="I583" s="118">
        <f>ROUND(I581+I582+I569+I565+I573,0)</f>
        <v>77911</v>
      </c>
    </row>
    <row r="584" spans="1:9" x14ac:dyDescent="0.3">
      <c r="A584" s="868" t="s">
        <v>56</v>
      </c>
      <c r="B584" s="868"/>
      <c r="C584" s="868"/>
      <c r="D584" s="868"/>
      <c r="E584" s="868" t="s">
        <v>57</v>
      </c>
      <c r="F584" s="868"/>
      <c r="G584" s="875" t="s">
        <v>58</v>
      </c>
      <c r="H584" s="875"/>
      <c r="I584" s="118"/>
    </row>
    <row r="585" spans="1:9" x14ac:dyDescent="0.3">
      <c r="A585" s="868" t="s">
        <v>208</v>
      </c>
      <c r="B585" s="868"/>
      <c r="C585" s="868"/>
      <c r="D585" s="868"/>
      <c r="E585" s="876">
        <v>0.02</v>
      </c>
      <c r="F585" s="876"/>
      <c r="G585" s="875">
        <f>+I583*E585</f>
        <v>1558.22</v>
      </c>
      <c r="H585" s="875"/>
      <c r="I585" s="118"/>
    </row>
    <row r="586" spans="1:9" x14ac:dyDescent="0.3">
      <c r="A586" s="868" t="s">
        <v>5</v>
      </c>
      <c r="B586" s="868"/>
      <c r="C586" s="868"/>
      <c r="D586" s="868"/>
      <c r="E586" s="876">
        <v>0.23</v>
      </c>
      <c r="F586" s="876"/>
      <c r="G586" s="875">
        <f>+E586*I583</f>
        <v>17919.530000000002</v>
      </c>
      <c r="H586" s="875"/>
      <c r="I586" s="118"/>
    </row>
    <row r="587" spans="1:9" x14ac:dyDescent="0.3">
      <c r="A587" s="868" t="s">
        <v>6</v>
      </c>
      <c r="B587" s="868"/>
      <c r="C587" s="868"/>
      <c r="D587" s="868"/>
      <c r="E587" s="876">
        <v>0.05</v>
      </c>
      <c r="F587" s="876"/>
      <c r="G587" s="875">
        <f>+E587*I583</f>
        <v>3895.55</v>
      </c>
      <c r="H587" s="875"/>
      <c r="I587" s="118"/>
    </row>
    <row r="588" spans="1:9" x14ac:dyDescent="0.3">
      <c r="A588" s="868" t="s">
        <v>207</v>
      </c>
      <c r="B588" s="868"/>
      <c r="C588" s="868"/>
      <c r="D588" s="868"/>
      <c r="E588" s="876">
        <v>0.02</v>
      </c>
      <c r="F588" s="876"/>
      <c r="G588" s="875">
        <f>+E588*I583</f>
        <v>1558.22</v>
      </c>
      <c r="H588" s="875"/>
      <c r="I588" s="118"/>
    </row>
    <row r="589" spans="1:9" x14ac:dyDescent="0.3">
      <c r="A589" s="867" t="s">
        <v>397</v>
      </c>
      <c r="B589" s="867"/>
      <c r="C589" s="867"/>
      <c r="D589" s="867"/>
      <c r="E589" s="867"/>
      <c r="F589" s="867"/>
      <c r="G589" s="867"/>
      <c r="H589" s="867"/>
      <c r="I589" s="118">
        <f>+G588+G586+G587+G585</f>
        <v>24931.520000000004</v>
      </c>
    </row>
    <row r="590" spans="1:9" x14ac:dyDescent="0.3">
      <c r="A590" s="867" t="s">
        <v>59</v>
      </c>
      <c r="B590" s="867"/>
      <c r="C590" s="867"/>
      <c r="D590" s="867"/>
      <c r="E590" s="867"/>
      <c r="F590" s="867"/>
      <c r="G590" s="867"/>
      <c r="H590" s="867"/>
      <c r="I590" s="118">
        <f>+I589+I583</f>
        <v>102842.52</v>
      </c>
    </row>
    <row r="591" spans="1:9" x14ac:dyDescent="0.3">
      <c r="A591" s="65"/>
      <c r="B591" s="65"/>
      <c r="C591" s="65"/>
      <c r="D591" s="65"/>
      <c r="E591" s="65"/>
      <c r="F591" s="65"/>
      <c r="G591" s="65"/>
      <c r="H591" s="65"/>
      <c r="I591" s="118"/>
    </row>
    <row r="592" spans="1:9" x14ac:dyDescent="0.3">
      <c r="A592" s="604" t="s">
        <v>114</v>
      </c>
      <c r="B592" s="604"/>
      <c r="C592" s="604"/>
      <c r="D592" s="65"/>
      <c r="E592" s="65"/>
      <c r="F592" s="604" t="s">
        <v>396</v>
      </c>
      <c r="G592" s="604"/>
      <c r="H592" s="604"/>
      <c r="I592" s="604"/>
    </row>
    <row r="593" spans="1:9" x14ac:dyDescent="0.3">
      <c r="A593" s="116" t="s">
        <v>111</v>
      </c>
      <c r="B593" s="868"/>
      <c r="C593" s="868"/>
      <c r="D593" s="115"/>
      <c r="E593" s="115"/>
      <c r="F593" s="116" t="s">
        <v>111</v>
      </c>
      <c r="G593" s="868"/>
      <c r="H593" s="868"/>
      <c r="I593" s="868"/>
    </row>
    <row r="594" spans="1:9" x14ac:dyDescent="0.3">
      <c r="A594" s="86" t="s">
        <v>115</v>
      </c>
      <c r="B594" s="868" t="str">
        <f>VLOOKUP(A594,[11]INICIO!$E$6:$H$26,2,FALSE)</f>
        <v>JHON EMIR GAMBOA MENA</v>
      </c>
      <c r="C594" s="868"/>
      <c r="F594" s="86" t="s">
        <v>112</v>
      </c>
      <c r="G594" s="868"/>
      <c r="H594" s="868"/>
      <c r="I594" s="868"/>
    </row>
    <row r="595" spans="1:9" x14ac:dyDescent="0.3">
      <c r="A595" s="86" t="s">
        <v>113</v>
      </c>
      <c r="B595" s="868" t="str">
        <f>VLOOKUP(A594,[11]INICIO!$E$6:$H$26,4,FALSE)</f>
        <v>05202-316814 ANT</v>
      </c>
      <c r="C595" s="868"/>
      <c r="F595" s="86" t="s">
        <v>113</v>
      </c>
      <c r="G595" s="868"/>
      <c r="H595" s="868"/>
      <c r="I595" s="868"/>
    </row>
    <row r="596" spans="1:9" x14ac:dyDescent="0.3">
      <c r="A596" s="86"/>
      <c r="B596" s="116"/>
      <c r="C596" s="116"/>
      <c r="F596" s="86"/>
      <c r="G596" s="116"/>
      <c r="H596" s="116"/>
      <c r="I596" s="116"/>
    </row>
    <row r="597" spans="1:9" x14ac:dyDescent="0.3">
      <c r="A597" s="869" t="s">
        <v>110</v>
      </c>
      <c r="B597" s="869"/>
      <c r="C597" s="869"/>
      <c r="D597" s="869"/>
      <c r="E597" s="869"/>
      <c r="F597" s="869"/>
      <c r="G597" s="869"/>
      <c r="H597" s="869"/>
      <c r="I597" s="869"/>
    </row>
    <row r="598" spans="1:9" x14ac:dyDescent="0.3">
      <c r="A598" s="870"/>
      <c r="B598" s="691"/>
      <c r="C598" s="691"/>
      <c r="D598" s="691"/>
      <c r="E598" s="691"/>
      <c r="F598" s="691"/>
      <c r="G598" s="691"/>
      <c r="H598" s="691"/>
      <c r="I598" s="871"/>
    </row>
    <row r="599" spans="1:9" x14ac:dyDescent="0.3">
      <c r="A599" s="872"/>
      <c r="B599" s="869"/>
      <c r="C599" s="869"/>
      <c r="D599" s="869"/>
      <c r="E599" s="869"/>
      <c r="F599" s="869"/>
      <c r="G599" s="869"/>
      <c r="H599" s="869"/>
      <c r="I599" s="873"/>
    </row>
    <row r="600" spans="1:9" x14ac:dyDescent="0.3">
      <c r="A600" s="891" t="s">
        <v>68</v>
      </c>
      <c r="B600" s="892"/>
      <c r="C600" s="892"/>
      <c r="D600" s="892"/>
      <c r="E600" s="892"/>
      <c r="F600" s="892"/>
      <c r="G600" s="892"/>
      <c r="H600" s="892"/>
      <c r="I600" s="893"/>
    </row>
    <row r="601" spans="1:9" ht="14.4" customHeight="1" x14ac:dyDescent="0.3">
      <c r="A601" s="94" t="s">
        <v>69</v>
      </c>
      <c r="B601" s="112" t="s">
        <v>864</v>
      </c>
      <c r="C601" s="604" t="s">
        <v>70</v>
      </c>
      <c r="D601" s="874" t="str">
        <f>VLOOKUP(B601,PRESUPUESTO!$A$18:$I$76,3,FALSE)</f>
        <v xml:space="preserve">LLENO CON MATERIAL DE PRESTAMO LIMO </v>
      </c>
      <c r="E601" s="874"/>
      <c r="F601" s="874"/>
      <c r="G601" s="874"/>
      <c r="H601" s="874"/>
      <c r="I601" s="877"/>
    </row>
    <row r="602" spans="1:9" x14ac:dyDescent="0.3">
      <c r="A602" s="94" t="s">
        <v>71</v>
      </c>
      <c r="B602" s="112" t="str">
        <f>VLOOKUP(B601,PRESUPUESTO!$A$18:$I$76,2,FALSE)</f>
        <v>PAR-20</v>
      </c>
      <c r="C602" s="604"/>
      <c r="D602" s="140" t="s">
        <v>12</v>
      </c>
      <c r="E602" s="113" t="s">
        <v>124</v>
      </c>
      <c r="F602" s="113" t="s">
        <v>13</v>
      </c>
      <c r="G602" s="113">
        <f>VLOOKUP(B601,[6]PRESUPUESTO!$A$15:$I$1673,6,FALSE)</f>
        <v>6</v>
      </c>
      <c r="H602" s="114" t="s">
        <v>27</v>
      </c>
      <c r="I602" s="46">
        <f>+I624</f>
        <v>44460</v>
      </c>
    </row>
    <row r="603" spans="1:9" x14ac:dyDescent="0.3">
      <c r="A603" s="47" t="s">
        <v>14</v>
      </c>
      <c r="B603" s="3"/>
      <c r="C603" s="115"/>
      <c r="D603" s="115"/>
      <c r="E603" s="115"/>
      <c r="F603" s="115"/>
      <c r="G603" s="115"/>
      <c r="H603" s="115"/>
      <c r="I603" s="48"/>
    </row>
    <row r="604" spans="1:9" x14ac:dyDescent="0.3">
      <c r="A604" s="879" t="s">
        <v>19</v>
      </c>
      <c r="B604" s="868"/>
      <c r="C604" s="868"/>
      <c r="D604" s="868"/>
      <c r="E604" s="868"/>
      <c r="F604" s="116" t="s">
        <v>28</v>
      </c>
      <c r="G604" s="116" t="s">
        <v>29</v>
      </c>
      <c r="H604" s="116" t="s">
        <v>30</v>
      </c>
      <c r="I604" s="50"/>
    </row>
    <row r="605" spans="1:9" ht="24" customHeight="1" x14ac:dyDescent="0.3">
      <c r="A605" s="92" t="s">
        <v>1</v>
      </c>
      <c r="B605" s="117" t="s">
        <v>74</v>
      </c>
      <c r="C605" s="878" t="str">
        <f>IF($A605="EQUI",VLOOKUP($B605,[11]EQUI!B$16:G$46,2,FALSE),IF($A605="TRAN",VLOOKUP($B605,[11]TRAN!$B$16:$G$26,2,FALSE),IF(A605="MAT",VLOOKUP($B605,[11]MAT!$B$16:$G$82,2,FALSE),IF(A605="MDEO",VLOOKUP($B605,[11]MDEO!$B$16:$H$24,2,FALSE)))))</f>
        <v>COMPACTADOR TIPO CANGURO</v>
      </c>
      <c r="D605" s="878"/>
      <c r="E605" s="123" t="str">
        <f>IF($A605="EQUI",VLOOKUP($B605,[11]EQUI!B$16:G$46,3,FALSE),IF($A605="TRAN",VLOOKUP($B605,[11]TRAN!$B$16:$G$26,3,FALSE),IF(A605="MAT",VLOOKUP($B605,[11]MAT!$B$16:$G$82,3,FALSE),IF(A605="MDEO",VLOOKUP($B605,[11]MDEO!$B$16:$H$24,3,FALSE)))))</f>
        <v>HORA</v>
      </c>
      <c r="F605" s="123">
        <f>IF($A605="EQUI",VLOOKUP($B605,[11]EQUI!B$16:G$46,4,FALSE),IF($A605="TRAN",VLOOKUP($B605,[11]TRAN!$B$16:$G$26,4,FALSE),IF(A605="MAT",VLOOKUP($B605,[11]MAT!$B$16:$G$82,4,FALSE),IF(A605="MDEO",VLOOKUP($B605,[11]MDEO!$B$16:$H$24,4,FALSE)))))</f>
        <v>7500</v>
      </c>
      <c r="G605" s="115">
        <v>0.5</v>
      </c>
      <c r="H605" s="118">
        <f>G605*F605</f>
        <v>3750</v>
      </c>
      <c r="I605" s="50"/>
    </row>
    <row r="606" spans="1:9" x14ac:dyDescent="0.3">
      <c r="A606" s="49"/>
      <c r="B606" s="115"/>
      <c r="C606" s="115"/>
      <c r="D606" s="115"/>
      <c r="E606" s="115"/>
      <c r="F606" s="120" t="s">
        <v>32</v>
      </c>
      <c r="G606" s="121" t="str">
        <f>+B601</f>
        <v>2.13</v>
      </c>
      <c r="H606" s="121" t="s">
        <v>996</v>
      </c>
      <c r="I606" s="48">
        <f>SUM(H605:H605)</f>
        <v>3750</v>
      </c>
    </row>
    <row r="607" spans="1:9" x14ac:dyDescent="0.3">
      <c r="A607" s="47" t="s">
        <v>34</v>
      </c>
      <c r="B607" s="3"/>
      <c r="C607" s="115"/>
      <c r="D607" s="115"/>
      <c r="E607" s="115"/>
      <c r="F607" s="115"/>
      <c r="G607" s="115"/>
      <c r="H607" s="115"/>
      <c r="I607" s="50"/>
    </row>
    <row r="608" spans="1:9" x14ac:dyDescent="0.3">
      <c r="A608" s="879" t="s">
        <v>35</v>
      </c>
      <c r="B608" s="868"/>
      <c r="C608" s="868"/>
      <c r="D608" s="868"/>
      <c r="E608" s="116" t="s">
        <v>12</v>
      </c>
      <c r="F608" s="116" t="s">
        <v>36</v>
      </c>
      <c r="G608" s="116" t="s">
        <v>37</v>
      </c>
      <c r="H608" s="116" t="s">
        <v>38</v>
      </c>
      <c r="I608" s="50"/>
    </row>
    <row r="609" spans="1:9" ht="23.25" customHeight="1" x14ac:dyDescent="0.3">
      <c r="A609" s="92" t="s">
        <v>523</v>
      </c>
      <c r="B609" s="117" t="s">
        <v>40</v>
      </c>
      <c r="C609" s="878" t="str">
        <f>IF($A609="EQUI",VLOOKUP($B609,EQUI!B$16:G$35,2,FALSE),IF($A609="TRAN",VLOOKUP($B609,TRAN!$B$16:$G$26,2,FALSE),IF($A609="MAT1",VLOOKUP($B609,'MAT1'!$B$16:$G$43,2,FALSE),IF($A609="MAT2",VLOOKUP($B609,'MAT2'!$B$16:$G$55,2,FALSE),IF($A609="MDEO",VLOOKUP($B609,MDEO!$B$16:$P$27,2,FALSE))))))</f>
        <v>Material tipo limo de préstamo</v>
      </c>
      <c r="D609" s="878"/>
      <c r="E609" s="123" t="str">
        <f>IF($A609="EQUI",VLOOKUP($B609,EQUI!B$16:G$35,3,FALSE),IF($A609="TRAN",VLOOKUP($B609,TRAN!$B$16:$G$26,3,FALSE),IF($A609="MAT1",VLOOKUP($B609,'MAT1'!$B$16:$G$43,3,FALSE),IF($A609="MAT2",VLOOKUP($B609,'MAT2'!$B$16:$G$55,3,FALSE),IF($A609="MDEO",VLOOKUP($B609,MDEO!$B$16:$P$27,3,FALSE))))))</f>
        <v>M3</v>
      </c>
      <c r="F609" s="123">
        <f>IF($A609="EQUI",VLOOKUP($B609,EQUI!B$16:G$35,4,FALSE),IF($A609="TRAN",VLOOKUP($B609,TRAN!$B$16:$G$26,4,FALSE),IF($A609="MAT1",VLOOKUP($B609,'MAT1'!$B$16:$G$43,4,FALSE),IF($A609="MAT2",VLOOKUP($B609,'MAT2'!$B$16:$G$53,4,FALSE),IF($A609="MDEO",VLOOKUP($B609,MDEO!$B$16:$P$27,4,FALSE))))))</f>
        <v>22000</v>
      </c>
      <c r="G609" s="115">
        <v>1.1000000000000001</v>
      </c>
      <c r="H609" s="118">
        <f>G609*F609</f>
        <v>24200.000000000004</v>
      </c>
      <c r="I609" s="50"/>
    </row>
    <row r="610" spans="1:9" x14ac:dyDescent="0.3">
      <c r="A610" s="49"/>
      <c r="B610" s="115"/>
      <c r="C610" s="115"/>
      <c r="D610" s="115"/>
      <c r="E610" s="115"/>
      <c r="F610" s="120" t="s">
        <v>32</v>
      </c>
      <c r="G610" s="121" t="str">
        <f>+B601</f>
        <v>2.13</v>
      </c>
      <c r="H610" s="121" t="s">
        <v>1002</v>
      </c>
      <c r="I610" s="50">
        <f>SUM(H609:H609)</f>
        <v>24200.000000000004</v>
      </c>
    </row>
    <row r="611" spans="1:9" x14ac:dyDescent="0.3">
      <c r="A611" s="47" t="s">
        <v>15</v>
      </c>
      <c r="B611" s="3"/>
      <c r="C611" s="115"/>
      <c r="D611" s="115"/>
      <c r="E611" s="115"/>
      <c r="F611" s="115"/>
      <c r="G611" s="115"/>
      <c r="H611" s="115"/>
      <c r="I611" s="50"/>
    </row>
    <row r="612" spans="1:9" x14ac:dyDescent="0.3">
      <c r="A612" s="879" t="s">
        <v>19</v>
      </c>
      <c r="B612" s="868"/>
      <c r="C612" s="868"/>
      <c r="D612" s="116" t="s">
        <v>43</v>
      </c>
      <c r="E612" s="116" t="s">
        <v>44</v>
      </c>
      <c r="F612" s="123" t="s">
        <v>45</v>
      </c>
      <c r="G612" s="116" t="s">
        <v>17</v>
      </c>
      <c r="H612" s="116" t="s">
        <v>30</v>
      </c>
      <c r="I612" s="50"/>
    </row>
    <row r="613" spans="1:9" x14ac:dyDescent="0.3">
      <c r="A613" s="51" t="s">
        <v>3</v>
      </c>
      <c r="B613" s="122" t="s">
        <v>171</v>
      </c>
      <c r="C613" s="133" t="str">
        <f>IF($A613="EQUI",VLOOKUP($B613,[6]EQUI!$B$16:$E$53,2,FALSE),IF($A613="TRAN",VLOOKUP($B613,[6]TRAN!$B$16:$E$27,2,FALSE),IF(A613="MAT",VLOOKUP($B613,[6]MAT!$B$16:$E$133,2,FALSE),IF(A613="MDEO",VLOOKUP($B613,[6]MDEO!$B$16:$I$36,2,FALSE)))))</f>
        <v>TRANS MATERIAL &gt; 10 KM</v>
      </c>
      <c r="D613" s="133">
        <f>+G609</f>
        <v>1.1000000000000001</v>
      </c>
      <c r="E613" s="115">
        <v>8</v>
      </c>
      <c r="F613" s="115">
        <f>+E613*D613</f>
        <v>8.8000000000000007</v>
      </c>
      <c r="G613" s="116">
        <f>IF($A613="EQUI",VLOOKUP($B613,[6]EQUI!$B$16:$E$53,4,FALSE),IF($A613="TRAN",VLOOKUP($B613,[6]TRAN!$B$16:$E$27,4,FALSE),IF(A613="MAT",VLOOKUP($B613,[6]MAT!$B$16:$E$133,4,FALSE),IF(A613="MDEO",VLOOKUP($B613,[6]MDEO!$B$16:$I$36,4,FALSE)))))</f>
        <v>980</v>
      </c>
      <c r="H613" s="115">
        <f>+G613*F613</f>
        <v>8624</v>
      </c>
      <c r="I613" s="50"/>
    </row>
    <row r="614" spans="1:9" x14ac:dyDescent="0.3">
      <c r="A614" s="49"/>
      <c r="B614" s="115"/>
      <c r="C614" s="115"/>
      <c r="D614" s="115"/>
      <c r="E614" s="115"/>
      <c r="F614" s="120" t="s">
        <v>32</v>
      </c>
      <c r="G614" s="121" t="str">
        <f>+B601</f>
        <v>2.13</v>
      </c>
      <c r="H614" s="121" t="s">
        <v>1001</v>
      </c>
      <c r="I614" s="50">
        <f>SUM(H613:H613)</f>
        <v>8624</v>
      </c>
    </row>
    <row r="615" spans="1:9" x14ac:dyDescent="0.3">
      <c r="A615" s="47"/>
      <c r="B615" s="3"/>
      <c r="C615" s="115"/>
      <c r="D615" s="115"/>
      <c r="E615" s="115"/>
      <c r="F615" s="115"/>
      <c r="G615" s="115"/>
      <c r="H615" s="115"/>
      <c r="I615" s="50"/>
    </row>
    <row r="616" spans="1:9" x14ac:dyDescent="0.3">
      <c r="A616" s="895" t="s">
        <v>47</v>
      </c>
      <c r="B616" s="874"/>
      <c r="C616" s="874"/>
      <c r="D616" s="123" t="s">
        <v>48</v>
      </c>
      <c r="E616" s="123" t="s">
        <v>109</v>
      </c>
      <c r="F616" s="124" t="s">
        <v>49</v>
      </c>
      <c r="G616" s="124" t="s">
        <v>29</v>
      </c>
      <c r="H616" s="123" t="s">
        <v>30</v>
      </c>
      <c r="I616" s="52"/>
    </row>
    <row r="617" spans="1:9" x14ac:dyDescent="0.3">
      <c r="A617" s="131" t="s">
        <v>4</v>
      </c>
      <c r="B617" s="131" t="s">
        <v>175</v>
      </c>
      <c r="C617" s="126" t="str">
        <f>IF($A617="EQUI",VLOOKUP($B617,EQUI!B$16:G$37,2,FALSE),IF($A617="TRAN",VLOOKUP($B617,TRAN!$B$16:$G$26,2,FALSE),IF($A617="MAT",VLOOKUP($B617,'MAT1'!$B$16:$G$43,2,FALSE),IF($A617="MDEO",VLOOKUP($B617,MDEO!$B$16:$P$27,2,FALSE)))))</f>
        <v xml:space="preserve">oficial </v>
      </c>
      <c r="D617" s="31">
        <f>IF($A617="EQUI",VLOOKUP($B617,EQUI!B$16:G$35,3,FALSE),IF($A617="TRAN",VLOOKUP($B617,TRAN!$B$16:$G$26,3,FALSE),IF($A617="MAT",VLOOKUP($B617,'MAT1'!$B$16:$G$43,3,FALSE),IF($A617="MDEO",VLOOKUP($B617,MDEO!$B$16:$P$27,3,FALSE)))))</f>
        <v>4833.333333333333</v>
      </c>
      <c r="E617" s="127"/>
      <c r="F617" s="32">
        <f>+D617+D617*E617</f>
        <v>4833.333333333333</v>
      </c>
      <c r="G617" s="130">
        <v>0.5</v>
      </c>
      <c r="H617" s="128">
        <f>G617*F617</f>
        <v>2416.6666666666665</v>
      </c>
      <c r="I617" s="50"/>
    </row>
    <row r="618" spans="1:9" x14ac:dyDescent="0.3">
      <c r="A618" s="131" t="s">
        <v>4</v>
      </c>
      <c r="B618" s="131" t="s">
        <v>176</v>
      </c>
      <c r="C618" s="126" t="str">
        <f>IF($A618="EQUI",VLOOKUP($B618,EQUI!B$16:G$37,2,FALSE),IF($A618="TRAN",VLOOKUP($B618,TRAN!$B$16:$G$26,2,FALSE),IF($A618="MAT",VLOOKUP($B618,'MAT1'!$B$16:$G$43,2,FALSE),IF($A618="MDEO",VLOOKUP($B618,MDEO!$B$16:$P$27,2,FALSE)))))</f>
        <v xml:space="preserve">ayudante entendido </v>
      </c>
      <c r="D618" s="31">
        <f>IF($A618="EQUI",VLOOKUP($B618,EQUI!B$16:G$35,3,FALSE),IF($A618="TRAN",VLOOKUP($B618,TRAN!$B$16:$G$26,3,FALSE),IF($A618="MAT",VLOOKUP($B618,'MAT1'!$B$16:$G$43,3,FALSE),IF($A618="MDEO",VLOOKUP($B618,MDEO!$B$16:$P$27,3,FALSE)))))</f>
        <v>4833.333333333333</v>
      </c>
      <c r="E618" s="127"/>
      <c r="F618" s="32">
        <f>+D618+D618*E618</f>
        <v>4833.333333333333</v>
      </c>
      <c r="G618" s="130">
        <v>0</v>
      </c>
      <c r="H618" s="128">
        <f>G618*F618</f>
        <v>0</v>
      </c>
      <c r="I618" s="50"/>
    </row>
    <row r="619" spans="1:9" x14ac:dyDescent="0.3">
      <c r="A619" s="131" t="s">
        <v>4</v>
      </c>
      <c r="B619" s="131" t="s">
        <v>177</v>
      </c>
      <c r="C619" s="126" t="str">
        <f>IF($A619="EQUI",VLOOKUP($B619,EQUI!B$16:G$37,2,FALSE),IF($A619="TRAN",VLOOKUP($B619,TRAN!$B$16:$G$26,2,FALSE),IF($A619="MAT",VLOOKUP($B619,'MAT1'!$B$16:$G$43,2,FALSE),IF($A619="MDEO",VLOOKUP($B619,MDEO!$B$16:$P$27,2,FALSE)))))</f>
        <v xml:space="preserve">ayudante </v>
      </c>
      <c r="D619" s="31">
        <f>IF($A619="EQUI",VLOOKUP($B619,EQUI!B$16:G$35,3,FALSE),IF($A619="TRAN",VLOOKUP($B619,TRAN!$B$16:$G$26,3,FALSE),IF($A619="MAT",VLOOKUP($B619,'MAT1'!$B$16:$G$43,3,FALSE),IF($A619="MDEO",VLOOKUP($B619,MDEO!$B$16:$P$27,3,FALSE)))))</f>
        <v>4833.333333333333</v>
      </c>
      <c r="E619" s="127"/>
      <c r="F619" s="32">
        <f>+D619+D619*E619</f>
        <v>4833.333333333333</v>
      </c>
      <c r="G619" s="130">
        <v>1</v>
      </c>
      <c r="H619" s="128">
        <f>G619*F619</f>
        <v>4833.333333333333</v>
      </c>
      <c r="I619" s="50"/>
    </row>
    <row r="620" spans="1:9" x14ac:dyDescent="0.3">
      <c r="A620" s="131" t="s">
        <v>4</v>
      </c>
      <c r="B620" s="131" t="s">
        <v>178</v>
      </c>
      <c r="C620" s="126" t="str">
        <f>IF($A620="EQUI",VLOOKUP($B620,EQUI!B$16:G$37,2,FALSE),IF($A620="TRAN",VLOOKUP($B620,TRAN!$B$16:$G$26,2,FALSE),IF($A620="MAT",VLOOKUP($B620,'MAT1'!$B$16:$G$43,2,FALSE),IF($A620="MDEO",VLOOKUP($B620,MDEO!$B$16:$P$33,2,FALSE)))))</f>
        <v>contra maestro</v>
      </c>
      <c r="D620" s="31">
        <f>IF($A620="EQUI",VLOOKUP($B620,EQUI!B$16:G$35,3,FALSE),IF($A620="TRAN",VLOOKUP($B620,TRAN!$B$16:$G$26,3,FALSE),IF($A620="MAT",VLOOKUP($B620,'MAT1'!$B$16:$G$43,3,FALSE),IF($A620="MDEO",VLOOKUP($B620,MDEO!$B$16:$P$33,3,FALSE)))))</f>
        <v>5208.333333333333</v>
      </c>
      <c r="E620" s="127"/>
      <c r="F620" s="32">
        <f>+D620+D620*E620</f>
        <v>5208.333333333333</v>
      </c>
      <c r="G620" s="130">
        <f>+G617*0.1</f>
        <v>0.05</v>
      </c>
      <c r="H620" s="128">
        <f>G620*F620</f>
        <v>260.41666666666669</v>
      </c>
      <c r="I620" s="50"/>
    </row>
    <row r="621" spans="1:9" x14ac:dyDescent="0.3">
      <c r="A621" s="879"/>
      <c r="B621" s="868"/>
      <c r="C621" s="115"/>
      <c r="D621" s="115"/>
      <c r="E621" s="115"/>
      <c r="F621" s="115"/>
      <c r="G621" s="115"/>
      <c r="H621" s="115"/>
      <c r="I621" s="50"/>
    </row>
    <row r="622" spans="1:9" x14ac:dyDescent="0.3">
      <c r="A622" s="49"/>
      <c r="B622" s="115"/>
      <c r="C622" s="115"/>
      <c r="D622" s="115"/>
      <c r="E622" s="115"/>
      <c r="F622" s="120" t="s">
        <v>32</v>
      </c>
      <c r="G622" s="121" t="str">
        <f>+B601</f>
        <v>2.13</v>
      </c>
      <c r="H622" s="120" t="s">
        <v>1003</v>
      </c>
      <c r="I622" s="48">
        <f>SUM(H617:H621)</f>
        <v>7510.416666666667</v>
      </c>
    </row>
    <row r="623" spans="1:9" x14ac:dyDescent="0.3">
      <c r="A623" s="49" t="s">
        <v>54</v>
      </c>
      <c r="B623" s="115"/>
      <c r="C623" s="115"/>
      <c r="D623" s="115"/>
      <c r="E623" s="115"/>
      <c r="F623" s="115"/>
      <c r="G623" s="115"/>
      <c r="H623" s="116"/>
      <c r="I623" s="48">
        <f>I622*0.05</f>
        <v>375.52083333333337</v>
      </c>
    </row>
    <row r="624" spans="1:9" x14ac:dyDescent="0.3">
      <c r="A624" s="49"/>
      <c r="B624" s="115"/>
      <c r="C624" s="115"/>
      <c r="D624" s="115"/>
      <c r="E624" s="115"/>
      <c r="F624" s="120" t="s">
        <v>55</v>
      </c>
      <c r="G624" s="116"/>
      <c r="H624" s="116"/>
      <c r="I624" s="48">
        <f>ROUND(I622+I623+I610+I606+I614,0)</f>
        <v>44460</v>
      </c>
    </row>
    <row r="625" spans="1:9" x14ac:dyDescent="0.3">
      <c r="A625" s="879" t="s">
        <v>56</v>
      </c>
      <c r="B625" s="868"/>
      <c r="C625" s="868"/>
      <c r="D625" s="868"/>
      <c r="E625" s="868" t="s">
        <v>57</v>
      </c>
      <c r="F625" s="868"/>
      <c r="G625" s="875" t="s">
        <v>58</v>
      </c>
      <c r="H625" s="875"/>
      <c r="I625" s="48"/>
    </row>
    <row r="626" spans="1:9" x14ac:dyDescent="0.3">
      <c r="A626" s="879" t="s">
        <v>208</v>
      </c>
      <c r="B626" s="868"/>
      <c r="C626" s="868"/>
      <c r="D626" s="868"/>
      <c r="E626" s="876">
        <v>0.02</v>
      </c>
      <c r="F626" s="876"/>
      <c r="G626" s="875">
        <f>+I624*E626</f>
        <v>889.2</v>
      </c>
      <c r="H626" s="875"/>
      <c r="I626" s="48"/>
    </row>
    <row r="627" spans="1:9" x14ac:dyDescent="0.3">
      <c r="A627" s="879" t="s">
        <v>5</v>
      </c>
      <c r="B627" s="868"/>
      <c r="C627" s="868"/>
      <c r="D627" s="868"/>
      <c r="E627" s="876">
        <v>0.23</v>
      </c>
      <c r="F627" s="876"/>
      <c r="G627" s="875">
        <f>+E627*I624</f>
        <v>10225.800000000001</v>
      </c>
      <c r="H627" s="875"/>
      <c r="I627" s="48"/>
    </row>
    <row r="628" spans="1:9" x14ac:dyDescent="0.3">
      <c r="A628" s="879" t="s">
        <v>6</v>
      </c>
      <c r="B628" s="868"/>
      <c r="C628" s="868"/>
      <c r="D628" s="868"/>
      <c r="E628" s="876">
        <v>0.05</v>
      </c>
      <c r="F628" s="876"/>
      <c r="G628" s="875">
        <f>+E628*I624</f>
        <v>2223</v>
      </c>
      <c r="H628" s="875"/>
      <c r="I628" s="48"/>
    </row>
    <row r="629" spans="1:9" x14ac:dyDescent="0.3">
      <c r="A629" s="879" t="s">
        <v>207</v>
      </c>
      <c r="B629" s="868"/>
      <c r="C629" s="868"/>
      <c r="D629" s="868"/>
      <c r="E629" s="876">
        <v>0.02</v>
      </c>
      <c r="F629" s="876"/>
      <c r="G629" s="875">
        <f>+E629*I624</f>
        <v>889.2</v>
      </c>
      <c r="H629" s="875"/>
      <c r="I629" s="48"/>
    </row>
    <row r="630" spans="1:9" x14ac:dyDescent="0.3">
      <c r="A630" s="880" t="s">
        <v>397</v>
      </c>
      <c r="B630" s="867"/>
      <c r="C630" s="867"/>
      <c r="D630" s="867"/>
      <c r="E630" s="867"/>
      <c r="F630" s="867"/>
      <c r="G630" s="867"/>
      <c r="H630" s="867"/>
      <c r="I630" s="48">
        <f>+G629+G627+G628+G626</f>
        <v>14227.200000000003</v>
      </c>
    </row>
    <row r="631" spans="1:9" x14ac:dyDescent="0.3">
      <c r="A631" s="880" t="s">
        <v>59</v>
      </c>
      <c r="B631" s="867"/>
      <c r="C631" s="867"/>
      <c r="D631" s="867"/>
      <c r="E631" s="867"/>
      <c r="F631" s="867"/>
      <c r="G631" s="867"/>
      <c r="H631" s="867"/>
      <c r="I631" s="48">
        <f>+I630+I624</f>
        <v>58687.200000000004</v>
      </c>
    </row>
    <row r="632" spans="1:9" x14ac:dyDescent="0.3">
      <c r="A632" s="93"/>
      <c r="B632" s="65"/>
      <c r="C632" s="65"/>
      <c r="D632" s="65"/>
      <c r="E632" s="65"/>
      <c r="F632" s="65"/>
      <c r="G632" s="65"/>
      <c r="H632" s="65"/>
      <c r="I632" s="48"/>
    </row>
    <row r="633" spans="1:9" x14ac:dyDescent="0.3">
      <c r="A633" s="881" t="s">
        <v>114</v>
      </c>
      <c r="B633" s="604"/>
      <c r="C633" s="604"/>
      <c r="D633" s="65"/>
      <c r="E633" s="65"/>
      <c r="F633" s="604" t="s">
        <v>396</v>
      </c>
      <c r="G633" s="604"/>
      <c r="H633" s="604"/>
      <c r="I633" s="894"/>
    </row>
    <row r="634" spans="1:9" x14ac:dyDescent="0.3">
      <c r="A634" s="92" t="s">
        <v>111</v>
      </c>
      <c r="B634" s="868"/>
      <c r="C634" s="868"/>
      <c r="D634" s="115"/>
      <c r="E634" s="115"/>
      <c r="F634" s="116" t="s">
        <v>111</v>
      </c>
      <c r="G634" s="868"/>
      <c r="H634" s="868"/>
      <c r="I634" s="884"/>
    </row>
    <row r="635" spans="1:9" x14ac:dyDescent="0.3">
      <c r="A635" s="132" t="s">
        <v>115</v>
      </c>
      <c r="B635" s="868" t="str">
        <f>VLOOKUP(A635,[11]INICIO!$E$6:$H$26,2,FALSE)</f>
        <v>JHON EMIR GAMBOA MENA</v>
      </c>
      <c r="C635" s="868"/>
      <c r="F635" s="86" t="s">
        <v>112</v>
      </c>
      <c r="G635" s="868"/>
      <c r="H635" s="868"/>
      <c r="I635" s="884"/>
    </row>
    <row r="636" spans="1:9" x14ac:dyDescent="0.3">
      <c r="A636" s="132" t="s">
        <v>113</v>
      </c>
      <c r="B636" s="868" t="str">
        <f>VLOOKUP(A635,[11]INICIO!$E$6:$H$26,4,FALSE)</f>
        <v>05202-316814 ANT</v>
      </c>
      <c r="C636" s="868"/>
      <c r="F636" s="86" t="s">
        <v>113</v>
      </c>
      <c r="G636" s="868"/>
      <c r="H636" s="868"/>
      <c r="I636" s="884"/>
    </row>
    <row r="637" spans="1:9" x14ac:dyDescent="0.3">
      <c r="A637" s="132"/>
      <c r="B637" s="116"/>
      <c r="C637" s="116"/>
      <c r="F637" s="86"/>
      <c r="G637" s="116"/>
      <c r="H637" s="116"/>
      <c r="I637" s="95"/>
    </row>
    <row r="638" spans="1:9" x14ac:dyDescent="0.3">
      <c r="A638" s="872" t="s">
        <v>110</v>
      </c>
      <c r="B638" s="869"/>
      <c r="C638" s="869"/>
      <c r="D638" s="869"/>
      <c r="E638" s="869"/>
      <c r="F638" s="869"/>
      <c r="G638" s="869"/>
      <c r="H638" s="869"/>
      <c r="I638" s="873"/>
    </row>
    <row r="639" spans="1:9" x14ac:dyDescent="0.3">
      <c r="A639" s="870"/>
      <c r="B639" s="691"/>
      <c r="C639" s="691"/>
      <c r="D639" s="691"/>
      <c r="E639" s="691"/>
      <c r="F639" s="691"/>
      <c r="G639" s="691"/>
      <c r="H639" s="691"/>
      <c r="I639" s="871"/>
    </row>
    <row r="640" spans="1:9" x14ac:dyDescent="0.3">
      <c r="A640" s="872"/>
      <c r="B640" s="869"/>
      <c r="C640" s="869"/>
      <c r="D640" s="869"/>
      <c r="E640" s="869"/>
      <c r="F640" s="869"/>
      <c r="G640" s="869"/>
      <c r="H640" s="869"/>
      <c r="I640" s="873"/>
    </row>
    <row r="641" spans="1:11" x14ac:dyDescent="0.3">
      <c r="A641" s="132"/>
      <c r="B641" s="86"/>
      <c r="C641" s="86"/>
      <c r="D641" s="86"/>
      <c r="E641" s="86"/>
      <c r="F641" s="86"/>
      <c r="G641" s="86"/>
      <c r="H641" s="86"/>
      <c r="I641" s="137"/>
    </row>
    <row r="642" spans="1:11" ht="12.75" customHeight="1" x14ac:dyDescent="0.3">
      <c r="A642" s="881" t="s">
        <v>68</v>
      </c>
      <c r="B642" s="604"/>
      <c r="C642" s="604"/>
      <c r="D642" s="604"/>
      <c r="E642" s="604"/>
      <c r="F642" s="604"/>
      <c r="G642" s="604"/>
      <c r="H642" s="604"/>
      <c r="I642" s="894"/>
    </row>
    <row r="643" spans="1:11" ht="12.75" customHeight="1" x14ac:dyDescent="0.3">
      <c r="A643" s="94" t="s">
        <v>69</v>
      </c>
      <c r="B643" s="138" t="s">
        <v>865</v>
      </c>
      <c r="C643" s="604" t="s">
        <v>70</v>
      </c>
      <c r="D643" s="118" t="str">
        <f>VLOOKUP(B643,PRESUPUESTO!$A$18:$I$76,3,FALSE)</f>
        <v xml:space="preserve">CAJA TIPO SUMIDERO </v>
      </c>
      <c r="E643" s="118"/>
      <c r="F643" s="118"/>
      <c r="G643" s="118"/>
      <c r="H643" s="118"/>
      <c r="I643" s="48"/>
    </row>
    <row r="644" spans="1:11" ht="12.75" customHeight="1" x14ac:dyDescent="0.3">
      <c r="A644" s="94" t="s">
        <v>71</v>
      </c>
      <c r="B644" s="112" t="str">
        <f>VLOOKUP(B643,PRESUPUESTO!$A$18:$I$76,2,FALSE)</f>
        <v>PAR-17</v>
      </c>
      <c r="C644" s="604"/>
      <c r="D644" s="140" t="s">
        <v>12</v>
      </c>
      <c r="E644" s="113" t="s">
        <v>12</v>
      </c>
      <c r="F644" s="113" t="s">
        <v>13</v>
      </c>
      <c r="G644" s="113">
        <f>VLOOKUP(B643,PRESUPUESTO!$A$15:$I$1659,6,FALSE)</f>
        <v>426</v>
      </c>
      <c r="H644" s="114" t="s">
        <v>27</v>
      </c>
      <c r="I644" s="46">
        <f>+I668</f>
        <v>925056</v>
      </c>
    </row>
    <row r="645" spans="1:11" ht="12.75" customHeight="1" x14ac:dyDescent="0.3">
      <c r="A645" s="47" t="s">
        <v>14</v>
      </c>
      <c r="B645" s="3"/>
      <c r="C645" s="115"/>
      <c r="D645" s="115"/>
      <c r="E645" s="115"/>
      <c r="F645" s="115"/>
      <c r="G645" s="115"/>
      <c r="H645" s="115"/>
      <c r="I645" s="48"/>
    </row>
    <row r="646" spans="1:11" ht="12.75" customHeight="1" x14ac:dyDescent="0.3">
      <c r="A646" s="879" t="s">
        <v>19</v>
      </c>
      <c r="B646" s="868"/>
      <c r="C646" s="868"/>
      <c r="D646" s="868"/>
      <c r="E646" s="868"/>
      <c r="F646" s="116" t="s">
        <v>28</v>
      </c>
      <c r="G646" s="116" t="s">
        <v>29</v>
      </c>
      <c r="H646" s="116" t="s">
        <v>30</v>
      </c>
      <c r="I646" s="50"/>
    </row>
    <row r="647" spans="1:11" ht="12.75" customHeight="1" x14ac:dyDescent="0.3">
      <c r="A647" s="92" t="s">
        <v>1</v>
      </c>
      <c r="B647" s="117" t="s">
        <v>88</v>
      </c>
      <c r="C647" s="139" t="s">
        <v>430</v>
      </c>
      <c r="D647" s="139"/>
      <c r="E647" s="139"/>
      <c r="F647" s="123">
        <f>IF($A647="EQUI",VLOOKUP($B647,[6]EQUI!B$16:G$46,4,FALSE),IF($A647="TRAN",VLOOKUP($B647,[6]TRAN!$B$16:$G$26,4,FALSE),IF($A647="MAT",VLOOKUP($B647,[6]MAT!$B$16:$G$83,4,FALSE),IF($A647="MDEO",VLOOKUP($B647,[6]MDEO!$B$16:$I$21,4,FALSE)))))</f>
        <v>7500</v>
      </c>
      <c r="G647" s="115">
        <v>2</v>
      </c>
      <c r="H647" s="118">
        <f>+F647*G647</f>
        <v>15000</v>
      </c>
      <c r="I647" s="50"/>
    </row>
    <row r="648" spans="1:11" ht="12.75" customHeight="1" x14ac:dyDescent="0.3">
      <c r="A648" s="49"/>
      <c r="B648" s="115"/>
      <c r="C648" s="115"/>
      <c r="D648" s="115"/>
      <c r="E648" s="115"/>
      <c r="F648" s="120" t="s">
        <v>32</v>
      </c>
      <c r="G648" s="121" t="str">
        <f>+B643</f>
        <v>2.14</v>
      </c>
      <c r="H648" s="121" t="s">
        <v>997</v>
      </c>
      <c r="I648" s="48">
        <f>SUM(H647:H647)</f>
        <v>15000</v>
      </c>
    </row>
    <row r="649" spans="1:11" ht="12.75" customHeight="1" x14ac:dyDescent="0.3">
      <c r="A649" s="47" t="s">
        <v>34</v>
      </c>
      <c r="B649" s="3"/>
      <c r="C649" s="115"/>
      <c r="D649" s="115"/>
      <c r="E649" s="115"/>
      <c r="F649" s="115"/>
      <c r="G649" s="115"/>
      <c r="H649" s="115"/>
      <c r="I649" s="50"/>
    </row>
    <row r="650" spans="1:11" ht="12.75" customHeight="1" x14ac:dyDescent="0.3">
      <c r="A650" s="879" t="s">
        <v>35</v>
      </c>
      <c r="B650" s="868"/>
      <c r="C650" s="868"/>
      <c r="D650" s="868"/>
      <c r="E650" s="116" t="s">
        <v>12</v>
      </c>
      <c r="F650" s="116" t="s">
        <v>36</v>
      </c>
      <c r="G650" s="116" t="s">
        <v>37</v>
      </c>
      <c r="H650" s="116" t="s">
        <v>38</v>
      </c>
      <c r="I650" s="50"/>
    </row>
    <row r="651" spans="1:11" ht="12.75" customHeight="1" x14ac:dyDescent="0.3">
      <c r="A651" s="92" t="s">
        <v>522</v>
      </c>
      <c r="B651" s="117" t="s">
        <v>153</v>
      </c>
      <c r="C651" s="878" t="str">
        <f>IF($A651="EQUI",VLOOKUP($B651,EQUI!B$16:G$35,2,FALSE),IF($A651="TRAN",VLOOKUP($B651,TRAN!$B$16:$G$26,2,FALSE),IF($A651="MAT1",VLOOKUP($B651,'MAT1'!$B$16:$G$43,2,FALSE),IF($A651="MAT2",VLOOKUP($B651,'MAT2'!$B$16:$G$55,2,FALSE),IF($A651="MDEO",VLOOKUP($B651,MDEO!$B$16:$P$27,2,FALSE))))))</f>
        <v>rejilla tipo sumidero</v>
      </c>
      <c r="D651" s="878"/>
      <c r="E651" s="123" t="str">
        <f>IF($A651="EQUI",VLOOKUP($B651,EQUI!B$16:G$35,3,FALSE),IF($A651="TRAN",VLOOKUP($B651,TRAN!$B$16:$G$26,3,FALSE),IF($A651="MAT1",VLOOKUP($B651,'MAT1'!$B$16:$G$43,3,FALSE),IF($A651="MAT2",VLOOKUP($B651,'MAT2'!$B$16:$G$55,3,FALSE),IF($A651="MDEO",VLOOKUP($B651,MDEO!$B$16:$P$27,3,FALSE))))))</f>
        <v>Unidad</v>
      </c>
      <c r="F651" s="123">
        <f>IF($A651="EQUI",VLOOKUP($B651,EQUI!B$16:G$35,4,FALSE),IF($A651="TRAN",VLOOKUP($B651,TRAN!$B$16:$G$26,4,FALSE),IF($A651="MAT1",VLOOKUP($B651,'MAT1'!$B$16:$G$43,4,FALSE),IF($A651="MAT2",VLOOKUP($B651,'MAT2'!$B$16:$G$53,4,FALSE),IF($A651="MDEO",VLOOKUP($B651,MDEO!$B$16:$P$27,4,FALSE))))))</f>
        <v>455700</v>
      </c>
      <c r="G651" s="115">
        <v>1</v>
      </c>
      <c r="H651" s="118">
        <f>+F651*G651</f>
        <v>455700</v>
      </c>
      <c r="I651" s="50"/>
    </row>
    <row r="652" spans="1:11" ht="12.75" customHeight="1" x14ac:dyDescent="0.3">
      <c r="A652" s="92" t="s">
        <v>523</v>
      </c>
      <c r="B652" s="117" t="s">
        <v>139</v>
      </c>
      <c r="C652" s="878" t="str">
        <f>IF($A652="EQUI",VLOOKUP($B652,EQUI!B$16:G$35,2,FALSE),IF($A652="TRAN",VLOOKUP($B652,TRAN!$B$16:$G$26,2,FALSE),IF($A652="MAT1",VLOOKUP($B652,'MAT1'!$B$16:$G$43,2,FALSE),IF($A652="MAT2",VLOOKUP($B652,'MAT2'!$B$16:$G$55,2,FALSE),IF($A652="MDEO",VLOOKUP($B652,MDEO!$B$16:$P$27,2,FALSE))))))</f>
        <v>Concreto 3000psi en obra</v>
      </c>
      <c r="D652" s="878"/>
      <c r="E652" s="123" t="str">
        <f>IF($A652="EQUI",VLOOKUP($B652,EQUI!B$16:G$35,3,FALSE),IF($A652="TRAN",VLOOKUP($B652,TRAN!$B$16:$G$26,3,FALSE),IF($A652="MAT1",VLOOKUP($B652,'MAT1'!$B$16:$G$43,3,FALSE),IF($A652="MAT2",VLOOKUP($B652,'MAT2'!$B$16:$G$55,3,FALSE),IF($A652="MDEO",VLOOKUP($B652,MDEO!$B$16:$P$27,3,FALSE))))))</f>
        <v>M3</v>
      </c>
      <c r="F652" s="123">
        <f>IF($A652="EQUI",VLOOKUP($B652,EQUI!B$16:G$35,4,FALSE),IF($A652="TRAN",VLOOKUP($B652,TRAN!$B$16:$G$26,4,FALSE),IF($A652="MAT1",VLOOKUP($B652,'MAT1'!$B$16:$G$43,4,FALSE),IF($A652="MAT2",VLOOKUP($B652,'MAT2'!$B$16:$G$53,4,FALSE),IF($A652="MDEO",VLOOKUP($B652,MDEO!$B$16:$P$27,4,FALSE))))))</f>
        <v>498450</v>
      </c>
      <c r="G652" s="115">
        <v>0.5</v>
      </c>
      <c r="H652" s="118">
        <f>+F652*G652</f>
        <v>249225</v>
      </c>
      <c r="I652" s="50"/>
    </row>
    <row r="653" spans="1:11" ht="12.75" customHeight="1" x14ac:dyDescent="0.3">
      <c r="A653" s="92" t="s">
        <v>523</v>
      </c>
      <c r="B653" s="117" t="s">
        <v>134</v>
      </c>
      <c r="C653" s="908" t="str">
        <f>IF($A653="EQUI",VLOOKUP($B653,EQUI!B$16:G$35,2,FALSE),IF($A653="TRAN",VLOOKUP($B653,TRAN!$B$16:$G$26,2,FALSE),IF($A653="MAT1",VLOOKUP($B653,'MAT1'!$B$16:$G$43,2,FALSE),IF($A653="MAT2",VLOOKUP($B653,'MAT2'!$B$16:$G$55,2,FALSE),IF($A653="MDEO",VLOOKUP($B653,MDEO!$B$16:$P$27,2,FALSE))))))</f>
        <v>Acero  60000 psi</v>
      </c>
      <c r="D653" s="908"/>
      <c r="E653" s="181" t="str">
        <f>IF($A653="EQUI",VLOOKUP($B653,EQUI!B$16:G$35,3,FALSE),IF($A653="TRAN",VLOOKUP($B653,TRAN!$B$16:$G$26,3,FALSE),IF($A653="MAT1",VLOOKUP($B653,'MAT1'!$B$16:$G$43,3,FALSE),IF($A653="MAT2",VLOOKUP($B653,'MAT2'!$B$16:$G$55,3,FALSE),IF($A653="MDEO",VLOOKUP($B653,MDEO!$B$16:$P$27,3,FALSE))))))</f>
        <v>KG</v>
      </c>
      <c r="F653" s="181">
        <f>IF($A653="EQUI",VLOOKUP($B653,EQUI!B$16:G$35,4,FALSE),IF($A653="TRAN",VLOOKUP($B653,TRAN!$B$16:$G$26,4,FALSE),IF($A653="MAT1",VLOOKUP($B653,'MAT1'!$B$16:$G$43,4,FALSE),IF($A653="MAT2",VLOOKUP($B653,'MAT2'!$B$16:$G$53,4,FALSE),IF($A653="MDEO",VLOOKUP($B653,MDEO!$B$16:$P$27,4,FALSE))))))</f>
        <v>6913</v>
      </c>
      <c r="G653" s="182">
        <v>6</v>
      </c>
      <c r="H653" s="183">
        <f>+F653*G653</f>
        <v>41478</v>
      </c>
      <c r="I653" s="50"/>
      <c r="K653">
        <f>+G653*G644</f>
        <v>2556</v>
      </c>
    </row>
    <row r="654" spans="1:11" ht="12.75" customHeight="1" x14ac:dyDescent="0.3">
      <c r="A654" s="92" t="s">
        <v>523</v>
      </c>
      <c r="B654" s="117" t="s">
        <v>41</v>
      </c>
      <c r="C654" s="908" t="str">
        <f>IF($A654="EQUI",VLOOKUP($B654,EQUI!B$16:G$35,2,FALSE),IF($A654="TRAN",VLOOKUP($B654,TRAN!$B$16:$G$26,2,FALSE),IF($A654="MAT1",VLOOKUP($B654,'MAT1'!$B$16:$G$43,2,FALSE),IF($A654="MAT2",VLOOKUP($B654,'MAT2'!$B$16:$G$55,2,FALSE),IF($A654="MDEO",VLOOKUP($B654,MDEO!$B$16:$P$27,2,FALSE))))))</f>
        <v>Alambre quemado</v>
      </c>
      <c r="D654" s="908"/>
      <c r="E654" s="181" t="str">
        <f>IF($A654="EQUI",VLOOKUP($B654,EQUI!B$16:G$35,3,FALSE),IF($A654="TRAN",VLOOKUP($B654,TRAN!$B$16:$G$26,3,FALSE),IF($A654="MAT1",VLOOKUP($B654,'MAT1'!$B$16:$G$43,3,FALSE),IF($A654="MAT2",VLOOKUP($B654,'MAT2'!$B$16:$G$55,3,FALSE),IF($A654="MDEO",VLOOKUP($B654,MDEO!$B$16:$P$27,3,FALSE))))))</f>
        <v>KG</v>
      </c>
      <c r="F654" s="181">
        <f>IF($A654="EQUI",VLOOKUP($B654,EQUI!B$16:G$35,4,FALSE),IF($A654="TRAN",VLOOKUP($B654,TRAN!$B$16:$G$26,4,FALSE),IF($A654="MAT1",VLOOKUP($B654,'MAT1'!$B$16:$G$43,4,FALSE),IF($A654="MAT2",VLOOKUP($B654,'MAT2'!$B$16:$G$53,4,FALSE),IF($A654="MDEO",VLOOKUP($B654,MDEO!$B$16:$P$27,4,FALSE))))))</f>
        <v>8321</v>
      </c>
      <c r="G654" s="182">
        <v>0.24</v>
      </c>
      <c r="H654" s="183">
        <f>+F654*G654</f>
        <v>1997.04</v>
      </c>
      <c r="I654" s="50"/>
      <c r="K654">
        <f>+G654*G644</f>
        <v>102.24</v>
      </c>
    </row>
    <row r="655" spans="1:11" ht="12.75" customHeight="1" x14ac:dyDescent="0.3">
      <c r="A655" s="49"/>
      <c r="B655" s="115"/>
      <c r="C655" s="139"/>
      <c r="D655" s="139"/>
      <c r="E655" s="115"/>
      <c r="F655" s="120" t="s">
        <v>32</v>
      </c>
      <c r="G655" s="121" t="str">
        <f>+B643</f>
        <v>2.14</v>
      </c>
      <c r="H655" s="121" t="s">
        <v>998</v>
      </c>
      <c r="I655" s="48">
        <f>SUM(H651:H654)</f>
        <v>748400.04</v>
      </c>
    </row>
    <row r="656" spans="1:11" ht="12.75" customHeight="1" x14ac:dyDescent="0.3">
      <c r="A656" s="47" t="s">
        <v>15</v>
      </c>
      <c r="B656" s="3"/>
      <c r="C656" s="139"/>
      <c r="D656" s="139"/>
      <c r="E656" s="115"/>
      <c r="F656" s="115"/>
      <c r="G656" s="115"/>
      <c r="H656" s="115"/>
      <c r="I656" s="50"/>
    </row>
    <row r="657" spans="1:9" ht="12.75" customHeight="1" x14ac:dyDescent="0.3">
      <c r="A657" s="879" t="s">
        <v>19</v>
      </c>
      <c r="B657" s="868"/>
      <c r="C657" s="868"/>
      <c r="D657" s="116" t="s">
        <v>43</v>
      </c>
      <c r="E657" s="116" t="s">
        <v>44</v>
      </c>
      <c r="F657" s="123" t="s">
        <v>45</v>
      </c>
      <c r="G657" s="116" t="s">
        <v>17</v>
      </c>
      <c r="H657" s="116" t="s">
        <v>30</v>
      </c>
      <c r="I657" s="50"/>
    </row>
    <row r="658" spans="1:9" ht="12.75" customHeight="1" x14ac:dyDescent="0.3">
      <c r="A658" s="51"/>
      <c r="B658" s="117"/>
      <c r="C658" s="133"/>
      <c r="D658" s="123"/>
      <c r="E658" s="123"/>
      <c r="F658" s="123"/>
      <c r="G658" s="116"/>
      <c r="H658" s="118"/>
      <c r="I658" s="50"/>
    </row>
    <row r="659" spans="1:9" ht="12.75" customHeight="1" x14ac:dyDescent="0.3">
      <c r="A659" s="49"/>
      <c r="B659" s="115"/>
      <c r="C659" s="115"/>
      <c r="D659" s="115"/>
      <c r="E659" s="115"/>
      <c r="F659" s="120" t="s">
        <v>32</v>
      </c>
      <c r="G659" s="121" t="str">
        <f>+B643</f>
        <v>2.14</v>
      </c>
      <c r="H659" s="121" t="s">
        <v>999</v>
      </c>
      <c r="I659" s="48">
        <f>SUM(H658:H658)</f>
        <v>0</v>
      </c>
    </row>
    <row r="660" spans="1:9" ht="12.75" customHeight="1" x14ac:dyDescent="0.3">
      <c r="A660" s="47"/>
      <c r="B660" s="3"/>
      <c r="C660" s="115"/>
      <c r="D660" s="115"/>
      <c r="E660" s="115"/>
      <c r="F660" s="115"/>
      <c r="G660" s="115"/>
      <c r="H660" s="115"/>
      <c r="I660" s="50"/>
    </row>
    <row r="661" spans="1:9" ht="12.75" customHeight="1" x14ac:dyDescent="0.3">
      <c r="A661" s="882" t="s">
        <v>18</v>
      </c>
      <c r="B661" s="883"/>
      <c r="C661" s="883"/>
      <c r="D661" s="140" t="s">
        <v>48</v>
      </c>
      <c r="E661" s="140" t="s">
        <v>109</v>
      </c>
      <c r="F661" s="141" t="s">
        <v>250</v>
      </c>
      <c r="G661" s="142" t="s">
        <v>251</v>
      </c>
      <c r="H661" s="140" t="s">
        <v>252</v>
      </c>
      <c r="I661" s="52"/>
    </row>
    <row r="662" spans="1:9" ht="12.75" customHeight="1" x14ac:dyDescent="0.3">
      <c r="A662" s="131" t="s">
        <v>4</v>
      </c>
      <c r="B662" s="131" t="s">
        <v>175</v>
      </c>
      <c r="C662" s="126" t="str">
        <f>IF($A662="EQUI",VLOOKUP($B662,EQUI!B$16:G$37,2,FALSE),IF($A662="TRAN",VLOOKUP($B662,TRAN!$B$16:$G$26,2,FALSE),IF($A662="MAT",VLOOKUP($B662,'MAT1'!$B$16:$G$43,2,FALSE),IF($A662="MDEO",VLOOKUP($B662,MDEO!$B$16:$P$27,2,FALSE)))))</f>
        <v xml:space="preserve">oficial </v>
      </c>
      <c r="D662" s="31">
        <f>IF($A662="EQUI",VLOOKUP($B662,EQUI!B$16:G$35,3,FALSE),IF($A662="TRAN",VLOOKUP($B662,TRAN!$B$16:$G$26,3,FALSE),IF($A662="MAT",VLOOKUP($B662,'MAT1'!$B$16:$G$43,3,FALSE),IF($A662="MDEO",VLOOKUP($B662,MDEO!$B$16:$P$27,3,FALSE)))))</f>
        <v>4833.333333333333</v>
      </c>
      <c r="E662" s="127"/>
      <c r="F662" s="32">
        <f>+D662+D662*E662</f>
        <v>4833.333333333333</v>
      </c>
      <c r="G662" s="130">
        <v>5</v>
      </c>
      <c r="H662" s="128">
        <f>G662*F662</f>
        <v>24166.666666666664</v>
      </c>
      <c r="I662" s="50"/>
    </row>
    <row r="663" spans="1:9" ht="12.75" customHeight="1" x14ac:dyDescent="0.3">
      <c r="A663" s="131" t="s">
        <v>4</v>
      </c>
      <c r="B663" s="131" t="s">
        <v>176</v>
      </c>
      <c r="C663" s="126" t="str">
        <f>IF($A663="EQUI",VLOOKUP($B663,EQUI!B$16:G$37,2,FALSE),IF($A663="TRAN",VLOOKUP($B663,TRAN!$B$16:$G$26,2,FALSE),IF($A663="MAT",VLOOKUP($B663,'MAT1'!$B$16:$G$43,2,FALSE),IF($A663="MDEO",VLOOKUP($B663,MDEO!$B$16:$P$27,2,FALSE)))))</f>
        <v xml:space="preserve">ayudante entendido </v>
      </c>
      <c r="D663" s="31">
        <f>IF($A663="EQUI",VLOOKUP($B663,EQUI!B$16:G$35,3,FALSE),IF($A663="TRAN",VLOOKUP($B663,TRAN!$B$16:$G$26,3,FALSE),IF($A663="MAT",VLOOKUP($B663,'MAT1'!$B$16:$G$43,3,FALSE),IF($A663="MDEO",VLOOKUP($B663,MDEO!$B$16:$P$27,3,FALSE)))))</f>
        <v>4833.333333333333</v>
      </c>
      <c r="E663" s="127"/>
      <c r="F663" s="32">
        <f>+D663+D663*E663</f>
        <v>4833.333333333333</v>
      </c>
      <c r="G663" s="130">
        <v>5</v>
      </c>
      <c r="H663" s="128">
        <f>G663*F663</f>
        <v>24166.666666666664</v>
      </c>
      <c r="I663" s="50"/>
    </row>
    <row r="664" spans="1:9" ht="12.75" customHeight="1" x14ac:dyDescent="0.3">
      <c r="A664" s="131" t="s">
        <v>4</v>
      </c>
      <c r="B664" s="131" t="s">
        <v>177</v>
      </c>
      <c r="C664" s="126" t="str">
        <f>IF($A664="EQUI",VLOOKUP($B664,EQUI!B$16:G$37,2,FALSE),IF($A664="TRAN",VLOOKUP($B664,TRAN!$B$16:$G$26,2,FALSE),IF($A664="MAT",VLOOKUP($B664,'MAT1'!$B$16:$G$43,2,FALSE),IF($A664="MDEO",VLOOKUP($B664,MDEO!$B$16:$P$27,2,FALSE)))))</f>
        <v xml:space="preserve">ayudante </v>
      </c>
      <c r="D664" s="31">
        <f>IF($A664="EQUI",VLOOKUP($B664,EQUI!B$16:G$35,3,FALSE),IF($A664="TRAN",VLOOKUP($B664,TRAN!$B$16:$G$26,3,FALSE),IF($A664="MAT",VLOOKUP($B664,'MAT1'!$B$16:$G$43,3,FALSE),IF($A664="MDEO",VLOOKUP($B664,MDEO!$B$16:$P$27,3,FALSE)))))</f>
        <v>4833.333333333333</v>
      </c>
      <c r="E664" s="127"/>
      <c r="F664" s="32">
        <f>+D664+D664*E664</f>
        <v>4833.333333333333</v>
      </c>
      <c r="G664" s="130">
        <v>10</v>
      </c>
      <c r="H664" s="128">
        <f>G664*F664</f>
        <v>48333.333333333328</v>
      </c>
      <c r="I664" s="50"/>
    </row>
    <row r="665" spans="1:9" ht="12.75" customHeight="1" x14ac:dyDescent="0.3">
      <c r="A665" s="131" t="s">
        <v>4</v>
      </c>
      <c r="B665" s="131" t="s">
        <v>178</v>
      </c>
      <c r="C665" s="126" t="str">
        <f>IF($A665="EQUI",VLOOKUP($B665,EQUI!B$16:G$37,2,FALSE),IF($A665="TRAN",VLOOKUP($B665,TRAN!$B$16:$G$26,2,FALSE),IF($A665="MAT",VLOOKUP($B665,'MAT1'!$B$16:$G$43,2,FALSE),IF($A665="MDEO",VLOOKUP($B665,MDEO!$B$16:$P$33,2,FALSE)))))</f>
        <v>contra maestro</v>
      </c>
      <c r="D665" s="31">
        <f>IF($A665="EQUI",VLOOKUP($B665,EQUI!B$16:G$35,3,FALSE),IF($A665="TRAN",VLOOKUP($B665,TRAN!$B$16:$G$26,3,FALSE),IF($A665="MAT",VLOOKUP($B665,'MAT1'!$B$16:$G$43,3,FALSE),IF($A665="MDEO",VLOOKUP($B665,MDEO!$B$16:$P$33,3,FALSE)))))</f>
        <v>5208.333333333333</v>
      </c>
      <c r="E665" s="127"/>
      <c r="F665" s="32">
        <f>+D665+D665*E665</f>
        <v>5208.333333333333</v>
      </c>
      <c r="G665" s="130">
        <v>11</v>
      </c>
      <c r="H665" s="128">
        <f>G665*F665</f>
        <v>57291.666666666664</v>
      </c>
      <c r="I665" s="50"/>
    </row>
    <row r="666" spans="1:9" ht="12.75" customHeight="1" x14ac:dyDescent="0.3">
      <c r="A666" s="49"/>
      <c r="B666" s="115"/>
      <c r="C666" s="115"/>
      <c r="D666" s="115"/>
      <c r="E666" s="115"/>
      <c r="F666" s="120" t="s">
        <v>32</v>
      </c>
      <c r="G666" s="121" t="str">
        <f>+B643</f>
        <v>2.14</v>
      </c>
      <c r="H666" s="120" t="s">
        <v>1000</v>
      </c>
      <c r="I666" s="48">
        <f>SUM(H662:H665)</f>
        <v>153958.33333333331</v>
      </c>
    </row>
    <row r="667" spans="1:9" ht="12.75" customHeight="1" x14ac:dyDescent="0.3">
      <c r="A667" s="49" t="s">
        <v>54</v>
      </c>
      <c r="B667" s="115"/>
      <c r="C667" s="115"/>
      <c r="D667" s="115"/>
      <c r="E667" s="115"/>
      <c r="F667" s="115"/>
      <c r="G667" s="115"/>
      <c r="H667" s="116"/>
      <c r="I667" s="48">
        <f>I666*0.05</f>
        <v>7697.9166666666661</v>
      </c>
    </row>
    <row r="668" spans="1:9" ht="12.75" customHeight="1" x14ac:dyDescent="0.3">
      <c r="A668" s="49"/>
      <c r="B668" s="115"/>
      <c r="C668" s="115"/>
      <c r="D668" s="115"/>
      <c r="E668" s="115"/>
      <c r="F668" s="120" t="s">
        <v>55</v>
      </c>
      <c r="G668" s="116"/>
      <c r="H668" s="116"/>
      <c r="I668" s="48">
        <f>ROUND(I666+I667+I655+I648+I659,0)</f>
        <v>925056</v>
      </c>
    </row>
    <row r="669" spans="1:9" ht="12.75" customHeight="1" x14ac:dyDescent="0.3">
      <c r="A669" s="879" t="s">
        <v>56</v>
      </c>
      <c r="B669" s="868"/>
      <c r="C669" s="868"/>
      <c r="D669" s="868"/>
      <c r="E669" s="868" t="s">
        <v>57</v>
      </c>
      <c r="F669" s="868"/>
      <c r="G669" s="875" t="s">
        <v>58</v>
      </c>
      <c r="H669" s="875"/>
      <c r="I669" s="48"/>
    </row>
    <row r="670" spans="1:9" ht="12.75" customHeight="1" x14ac:dyDescent="0.3">
      <c r="A670" s="879" t="s">
        <v>208</v>
      </c>
      <c r="B670" s="868"/>
      <c r="C670" s="868"/>
      <c r="D670" s="868"/>
      <c r="E670" s="876">
        <v>0.02</v>
      </c>
      <c r="F670" s="876"/>
      <c r="G670" s="875">
        <f>+I668*E670</f>
        <v>18501.12</v>
      </c>
      <c r="H670" s="875"/>
      <c r="I670" s="48"/>
    </row>
    <row r="671" spans="1:9" ht="12.75" customHeight="1" x14ac:dyDescent="0.3">
      <c r="A671" s="879" t="s">
        <v>5</v>
      </c>
      <c r="B671" s="868"/>
      <c r="C671" s="868"/>
      <c r="D671" s="868"/>
      <c r="E671" s="876">
        <v>0.23</v>
      </c>
      <c r="F671" s="876"/>
      <c r="G671" s="875">
        <f>+E671*I668</f>
        <v>212762.88</v>
      </c>
      <c r="H671" s="875"/>
      <c r="I671" s="48"/>
    </row>
    <row r="672" spans="1:9" ht="12.75" customHeight="1" x14ac:dyDescent="0.3">
      <c r="A672" s="879" t="s">
        <v>6</v>
      </c>
      <c r="B672" s="868"/>
      <c r="C672" s="868"/>
      <c r="D672" s="868"/>
      <c r="E672" s="876">
        <v>0.05</v>
      </c>
      <c r="F672" s="876"/>
      <c r="G672" s="875">
        <f>+E672*I668</f>
        <v>46252.800000000003</v>
      </c>
      <c r="H672" s="875"/>
      <c r="I672" s="48"/>
    </row>
    <row r="673" spans="1:9" ht="12.75" customHeight="1" x14ac:dyDescent="0.3">
      <c r="A673" s="879" t="s">
        <v>207</v>
      </c>
      <c r="B673" s="868"/>
      <c r="C673" s="868"/>
      <c r="D673" s="868"/>
      <c r="E673" s="876">
        <v>0.02</v>
      </c>
      <c r="F673" s="876"/>
      <c r="G673" s="875">
        <f>+E673*I668</f>
        <v>18501.12</v>
      </c>
      <c r="H673" s="875"/>
      <c r="I673" s="48"/>
    </row>
    <row r="674" spans="1:9" ht="12.75" customHeight="1" x14ac:dyDescent="0.3">
      <c r="A674" s="880" t="s">
        <v>397</v>
      </c>
      <c r="B674" s="867"/>
      <c r="C674" s="867"/>
      <c r="D674" s="867"/>
      <c r="E674" s="867"/>
      <c r="F674" s="867"/>
      <c r="G674" s="867"/>
      <c r="H674" s="867"/>
      <c r="I674" s="48">
        <f>+G673+G671+G672+G670</f>
        <v>296017.91999999998</v>
      </c>
    </row>
    <row r="675" spans="1:9" ht="12.75" customHeight="1" x14ac:dyDescent="0.3">
      <c r="A675" s="880" t="s">
        <v>59</v>
      </c>
      <c r="B675" s="867"/>
      <c r="C675" s="867"/>
      <c r="D675" s="867"/>
      <c r="E675" s="867"/>
      <c r="F675" s="867"/>
      <c r="G675" s="867"/>
      <c r="H675" s="867"/>
      <c r="I675" s="48">
        <f>+I674+I668</f>
        <v>1221073.9199999999</v>
      </c>
    </row>
    <row r="676" spans="1:9" ht="12.75" customHeight="1" x14ac:dyDescent="0.3">
      <c r="A676" s="93"/>
      <c r="B676" s="65"/>
      <c r="C676" s="65"/>
      <c r="D676" s="65"/>
      <c r="E676" s="65"/>
      <c r="F676" s="65"/>
      <c r="G676" s="65"/>
      <c r="H676" s="65"/>
      <c r="I676" s="48"/>
    </row>
    <row r="677" spans="1:9" ht="12.75" customHeight="1" x14ac:dyDescent="0.3">
      <c r="A677" s="881" t="s">
        <v>114</v>
      </c>
      <c r="B677" s="604"/>
      <c r="C677" s="604"/>
      <c r="D677" s="65"/>
      <c r="E677" s="65"/>
      <c r="F677" s="604" t="s">
        <v>396</v>
      </c>
      <c r="G677" s="604"/>
      <c r="H677" s="604"/>
      <c r="I677" s="894"/>
    </row>
    <row r="678" spans="1:9" ht="12.75" customHeight="1" x14ac:dyDescent="0.3">
      <c r="A678" s="92" t="s">
        <v>111</v>
      </c>
      <c r="B678" s="868"/>
      <c r="C678" s="868"/>
      <c r="D678" s="115"/>
      <c r="E678" s="115"/>
      <c r="F678" s="116" t="s">
        <v>111</v>
      </c>
      <c r="G678" s="868"/>
      <c r="H678" s="868"/>
      <c r="I678" s="884"/>
    </row>
    <row r="679" spans="1:9" ht="12.75" customHeight="1" x14ac:dyDescent="0.3">
      <c r="A679" s="132" t="s">
        <v>115</v>
      </c>
      <c r="B679" s="868" t="str">
        <f>VLOOKUP(A679,[12]INICIO!$E$6:$H$26,2,FALSE)</f>
        <v>JHON EMIR GAMBOA MENA</v>
      </c>
      <c r="C679" s="868"/>
      <c r="F679" s="86" t="s">
        <v>112</v>
      </c>
      <c r="G679" s="868"/>
      <c r="H679" s="868"/>
      <c r="I679" s="884"/>
    </row>
    <row r="680" spans="1:9" ht="12.75" customHeight="1" x14ac:dyDescent="0.3">
      <c r="A680" s="132" t="s">
        <v>113</v>
      </c>
      <c r="B680" s="868" t="str">
        <f>VLOOKUP(A679,[12]INICIO!$E$6:$H$26,4,FALSE)</f>
        <v>05202-316814 ANT</v>
      </c>
      <c r="C680" s="868"/>
      <c r="F680" s="86" t="s">
        <v>113</v>
      </c>
      <c r="G680" s="868"/>
      <c r="H680" s="868"/>
      <c r="I680" s="884"/>
    </row>
    <row r="681" spans="1:9" ht="12.75" customHeight="1" x14ac:dyDescent="0.3">
      <c r="A681" s="132"/>
      <c r="B681" s="116"/>
      <c r="C681" s="116"/>
      <c r="F681" s="86"/>
      <c r="G681" s="116"/>
      <c r="H681" s="116"/>
      <c r="I681" s="95"/>
    </row>
    <row r="682" spans="1:9" ht="12.75" customHeight="1" x14ac:dyDescent="0.3">
      <c r="A682" s="872" t="s">
        <v>110</v>
      </c>
      <c r="B682" s="869"/>
      <c r="C682" s="869"/>
      <c r="D682" s="869"/>
      <c r="E682" s="869"/>
      <c r="F682" s="869"/>
      <c r="G682" s="869"/>
      <c r="H682" s="869"/>
      <c r="I682" s="873"/>
    </row>
    <row r="683" spans="1:9" ht="12.75" customHeight="1" x14ac:dyDescent="0.3">
      <c r="A683" s="870"/>
      <c r="B683" s="691"/>
      <c r="C683" s="691"/>
      <c r="D683" s="691"/>
      <c r="E683" s="691"/>
      <c r="F683" s="691"/>
      <c r="G683" s="691"/>
      <c r="H683" s="691"/>
      <c r="I683" s="871"/>
    </row>
    <row r="684" spans="1:9" ht="12.75" customHeight="1" x14ac:dyDescent="0.3">
      <c r="A684" s="872"/>
      <c r="B684" s="869"/>
      <c r="C684" s="869"/>
      <c r="D684" s="869"/>
      <c r="E684" s="869"/>
      <c r="F684" s="869"/>
      <c r="G684" s="869"/>
      <c r="H684" s="869"/>
      <c r="I684" s="873"/>
    </row>
    <row r="685" spans="1:9" ht="12.75" customHeight="1" x14ac:dyDescent="0.3">
      <c r="A685" s="891" t="s">
        <v>68</v>
      </c>
      <c r="B685" s="892"/>
      <c r="C685" s="892"/>
      <c r="D685" s="892"/>
      <c r="E685" s="892"/>
      <c r="F685" s="892"/>
      <c r="G685" s="892"/>
      <c r="H685" s="892"/>
      <c r="I685" s="893"/>
    </row>
    <row r="686" spans="1:9" ht="12.75" customHeight="1" x14ac:dyDescent="0.3">
      <c r="A686" s="94" t="s">
        <v>69</v>
      </c>
      <c r="B686" s="112" t="s">
        <v>243</v>
      </c>
      <c r="C686" s="604" t="s">
        <v>70</v>
      </c>
      <c r="D686" s="868" t="str">
        <f>VLOOKUP(B686,PRESUPUESTO!$A$18:$I$68,3,FALSE)</f>
        <v>EXCAVACION DE LA EXPLANEACION, CANALES Y PRESTAMOS, CAJEOS</v>
      </c>
      <c r="E686" s="868"/>
      <c r="F686" s="868"/>
      <c r="G686" s="868"/>
      <c r="H686" s="868"/>
      <c r="I686" s="884"/>
    </row>
    <row r="687" spans="1:9" ht="12.75" customHeight="1" x14ac:dyDescent="0.3">
      <c r="A687" s="94" t="s">
        <v>71</v>
      </c>
      <c r="B687" s="112" t="str">
        <f>VLOOKUP(B686,[6]PRESUPUESTO!$A$18:$I$90,2,FALSE)</f>
        <v>210-13</v>
      </c>
      <c r="C687" s="604"/>
      <c r="D687" s="140" t="s">
        <v>12</v>
      </c>
      <c r="E687" s="113" t="s">
        <v>124</v>
      </c>
      <c r="F687" s="113" t="s">
        <v>13</v>
      </c>
      <c r="G687" s="113">
        <f>VLOOKUP(B687,PRESUPUESTO!$B$15:$I$1200,5,FALSE)</f>
        <v>2205</v>
      </c>
      <c r="H687" s="114" t="s">
        <v>27</v>
      </c>
      <c r="I687" s="46">
        <f>+I712</f>
        <v>33215</v>
      </c>
    </row>
    <row r="688" spans="1:9" ht="12.75" customHeight="1" x14ac:dyDescent="0.3">
      <c r="A688" s="47" t="s">
        <v>14</v>
      </c>
      <c r="B688" s="3"/>
      <c r="C688" s="115"/>
      <c r="D688" s="115"/>
      <c r="E688" s="115"/>
      <c r="F688" s="115"/>
      <c r="G688" s="115"/>
      <c r="H688" s="115"/>
      <c r="I688" s="48"/>
    </row>
    <row r="689" spans="1:11" ht="12.75" customHeight="1" x14ac:dyDescent="0.3">
      <c r="A689" s="879" t="s">
        <v>19</v>
      </c>
      <c r="B689" s="868"/>
      <c r="C689" s="868"/>
      <c r="D689" s="868"/>
      <c r="E689" s="868"/>
      <c r="F689" s="116" t="s">
        <v>520</v>
      </c>
      <c r="G689" s="116" t="s">
        <v>29</v>
      </c>
      <c r="H689" s="116" t="s">
        <v>30</v>
      </c>
      <c r="I689" s="50"/>
    </row>
    <row r="690" spans="1:11" ht="12.75" customHeight="1" x14ac:dyDescent="0.3">
      <c r="A690" s="116" t="s">
        <v>1</v>
      </c>
      <c r="B690" s="117" t="s">
        <v>77</v>
      </c>
      <c r="C690" s="878" t="str">
        <f>IF($A690="EQUI",VLOOKUP($B690,EQUI!B$16:G$40,2,FALSE),IF($A690="TRAN",VLOOKUP($B690,TRAN!$B$16:$G$26,2,FALSE),IF(A690="MAT",VLOOKUP($B690,'MAT1'!$B$16:$G$43,2,FALSE),IF(A690="MDEO",VLOOKUP($B690,MDEO!$B$16:$P$27,2,FALSE)))))</f>
        <v>Retrocargador</v>
      </c>
      <c r="D690" s="878"/>
      <c r="E690" s="878"/>
      <c r="F690" s="178">
        <f>IF($A690="EQUI",VLOOKUP($B690,EQUI!B$16:G$41,4,FALSE),IF($A690="TRAN",VLOOKUP($B690,[6]TRAN!$B$16:$G$26,4,FALSE),IF($A690="MAT",VLOOKUP($B690,[6]MAT!$B$16:$G$83,4,FALSE),IF($A690="MDEO",VLOOKUP($B690,[6]MDEO!$B$16:$I$21,4,FALSE)))))</f>
        <v>120000</v>
      </c>
      <c r="G690" s="143">
        <v>0.23668639053254434</v>
      </c>
      <c r="H690" s="118">
        <f>+F690*G690</f>
        <v>28402.366863905321</v>
      </c>
      <c r="I690" s="50"/>
      <c r="K690">
        <f>+G690*$G$687</f>
        <v>521.89349112426032</v>
      </c>
    </row>
    <row r="691" spans="1:11" ht="12.75" customHeight="1" x14ac:dyDescent="0.3">
      <c r="A691" s="116" t="s">
        <v>1</v>
      </c>
      <c r="B691" s="117" t="s">
        <v>31</v>
      </c>
      <c r="C691" s="878" t="str">
        <f>IF($A691="EQUI",VLOOKUP($B691,EQUI!B$16:G$40,2,FALSE),IF($A691="TRAN",VLOOKUP($B691,TRAN!$B$16:$G$26,2,FALSE),IF(A691="MAT",VLOOKUP($B691,'MAT1'!$B$16:$G$43,2,FALSE),IF(A691="MDEO",VLOOKUP($B691,MDEO!$B$16:$P$27,2,FALSE)))))</f>
        <v xml:space="preserve">Nivel de precisión </v>
      </c>
      <c r="D691" s="878"/>
      <c r="E691" s="878"/>
      <c r="F691" s="178">
        <f>IF($A691="EQUI",VLOOKUP($B691,EQUI!B$16:G$41,4,FALSE),IF($A691="TRAN",VLOOKUP($B691,[6]TRAN!$B$16:$G$26,4,FALSE),IF($A691="MAT",VLOOKUP($B691,[6]MAT!$B$16:$G$83,4,FALSE),IF($A691="MDEO",VLOOKUP($B691,[6]MDEO!$B$16:$I$21,4,FALSE)))))</f>
        <v>25000</v>
      </c>
      <c r="G691" s="143">
        <f>0.236686390532544/8</f>
        <v>2.9585798816568001E-2</v>
      </c>
      <c r="H691" s="118">
        <f>+F691*G691</f>
        <v>739.64497041419997</v>
      </c>
      <c r="I691" s="50"/>
      <c r="K691">
        <f>+G691*$G$687</f>
        <v>65.236686390532441</v>
      </c>
    </row>
    <row r="692" spans="1:11" ht="12.75" customHeight="1" x14ac:dyDescent="0.3">
      <c r="A692" s="116" t="s">
        <v>1</v>
      </c>
      <c r="B692" s="117" t="s">
        <v>99</v>
      </c>
      <c r="C692" s="878" t="str">
        <f>IF($A692="EQUI",VLOOKUP($B692,EQUI!B$16:G$40,2,FALSE),IF($A692="TRAN",VLOOKUP($B692,TRAN!$B$16:$G$26,2,FALSE),IF(A692="MAT",VLOOKUP($B692,'MAT1'!$B$16:$G$43,2,FALSE),IF(A692="MDEO",VLOOKUP($B692,MDEO!$B$16:$P$27,2,FALSE)))))</f>
        <v>vibro compactador</v>
      </c>
      <c r="D692" s="878"/>
      <c r="E692" s="878"/>
      <c r="F692" s="178">
        <f>IF($A692="EQUI",VLOOKUP($B692,EQUI!B$16:G$41,4,FALSE),IF($A692="TRAN",VLOOKUP($B692,[6]TRAN!$B$16:$G$26,4,FALSE),IF($A692="MAT",VLOOKUP($B692,[6]MAT!$B$16:$G$83,4,FALSE),IF($A692="MDEO",VLOOKUP($B692,[6]MDEO!$B$16:$I$21,4,FALSE)))))</f>
        <v>120000</v>
      </c>
      <c r="G692" s="143">
        <f>0.236686390532544/8</f>
        <v>2.9585798816568001E-2</v>
      </c>
      <c r="H692" s="118">
        <f>+F692*G692</f>
        <v>3550.2958579881602</v>
      </c>
      <c r="I692" s="50"/>
      <c r="K692">
        <f>+G692*$G$687</f>
        <v>65.236686390532441</v>
      </c>
    </row>
    <row r="693" spans="1:11" ht="12.75" customHeight="1" x14ac:dyDescent="0.3">
      <c r="A693" s="49"/>
      <c r="B693" s="115"/>
      <c r="C693" s="115"/>
      <c r="D693" s="115"/>
      <c r="E693" s="115"/>
      <c r="F693" s="120" t="s">
        <v>32</v>
      </c>
      <c r="G693" s="121" t="str">
        <f>+B686</f>
        <v>3.1</v>
      </c>
      <c r="H693" s="121" t="s">
        <v>286</v>
      </c>
      <c r="I693" s="48">
        <f>SUM(H690:H692)</f>
        <v>32692.307692307681</v>
      </c>
      <c r="K693" s="90"/>
    </row>
    <row r="694" spans="1:11" ht="12.75" customHeight="1" x14ac:dyDescent="0.3">
      <c r="A694" s="47" t="s">
        <v>34</v>
      </c>
      <c r="B694" s="3"/>
      <c r="C694" s="115"/>
      <c r="D694" s="115"/>
      <c r="E694" s="115"/>
      <c r="F694" s="115"/>
      <c r="G694" s="115"/>
      <c r="H694" s="115"/>
      <c r="I694" s="50"/>
    </row>
    <row r="695" spans="1:11" ht="12.75" customHeight="1" x14ac:dyDescent="0.3">
      <c r="A695" s="879" t="s">
        <v>35</v>
      </c>
      <c r="B695" s="868"/>
      <c r="C695" s="868"/>
      <c r="D695" s="868"/>
      <c r="E695" s="116" t="s">
        <v>12</v>
      </c>
      <c r="F695" s="116" t="s">
        <v>36</v>
      </c>
      <c r="G695" s="116" t="s">
        <v>37</v>
      </c>
      <c r="H695" s="116" t="s">
        <v>38</v>
      </c>
      <c r="I695" s="50"/>
    </row>
    <row r="696" spans="1:11" ht="12.75" customHeight="1" x14ac:dyDescent="0.3">
      <c r="A696" s="92" t="s">
        <v>0</v>
      </c>
      <c r="B696" s="117"/>
      <c r="C696" s="878"/>
      <c r="D696" s="878"/>
      <c r="E696" s="123"/>
      <c r="F696" s="123"/>
      <c r="G696" s="115"/>
      <c r="H696" s="118">
        <f>G696*F696</f>
        <v>0</v>
      </c>
      <c r="I696" s="50"/>
    </row>
    <row r="697" spans="1:11" ht="12.75" customHeight="1" x14ac:dyDescent="0.3">
      <c r="A697" s="49"/>
      <c r="B697" s="115"/>
      <c r="C697" s="115"/>
      <c r="D697" s="115"/>
      <c r="E697" s="115"/>
      <c r="F697" s="120" t="s">
        <v>32</v>
      </c>
      <c r="G697" s="121" t="str">
        <f>+B686</f>
        <v>3.1</v>
      </c>
      <c r="H697" s="121" t="s">
        <v>287</v>
      </c>
      <c r="I697" s="50">
        <f>SUM(H696:H696)</f>
        <v>0</v>
      </c>
    </row>
    <row r="698" spans="1:11" ht="12.75" customHeight="1" x14ac:dyDescent="0.3">
      <c r="A698" s="47" t="s">
        <v>15</v>
      </c>
      <c r="B698" s="3"/>
      <c r="C698" s="115"/>
      <c r="D698" s="115"/>
      <c r="E698" s="115"/>
      <c r="F698" s="115"/>
      <c r="G698" s="115"/>
      <c r="H698" s="115"/>
      <c r="I698" s="50"/>
    </row>
    <row r="699" spans="1:11" ht="12.75" customHeight="1" x14ac:dyDescent="0.3">
      <c r="A699" s="879" t="s">
        <v>19</v>
      </c>
      <c r="B699" s="868"/>
      <c r="C699" s="868"/>
      <c r="D699" s="116" t="s">
        <v>43</v>
      </c>
      <c r="E699" s="116" t="s">
        <v>44</v>
      </c>
      <c r="F699" s="123" t="s">
        <v>45</v>
      </c>
      <c r="G699" s="116" t="s">
        <v>17</v>
      </c>
      <c r="H699" s="116" t="s">
        <v>30</v>
      </c>
      <c r="I699" s="50"/>
    </row>
    <row r="700" spans="1:11" ht="12.75" customHeight="1" x14ac:dyDescent="0.3">
      <c r="A700" s="51" t="s">
        <v>3</v>
      </c>
      <c r="B700" s="122"/>
      <c r="C700" s="135"/>
      <c r="D700" s="116"/>
      <c r="E700" s="115"/>
      <c r="F700" s="115"/>
      <c r="G700" s="115"/>
      <c r="H700" s="115">
        <f>+G700*F700</f>
        <v>0</v>
      </c>
      <c r="I700" s="50"/>
    </row>
    <row r="701" spans="1:11" ht="12.75" customHeight="1" x14ac:dyDescent="0.3">
      <c r="A701" s="49"/>
      <c r="B701" s="115"/>
      <c r="C701" s="115"/>
      <c r="D701" s="115"/>
      <c r="E701" s="115"/>
      <c r="F701" s="120" t="s">
        <v>32</v>
      </c>
      <c r="G701" s="121" t="str">
        <f>+B686</f>
        <v>3.1</v>
      </c>
      <c r="H701" s="121" t="s">
        <v>288</v>
      </c>
      <c r="I701" s="50">
        <f>SUM(H700:H700)</f>
        <v>0</v>
      </c>
    </row>
    <row r="702" spans="1:11" ht="12.75" customHeight="1" x14ac:dyDescent="0.3">
      <c r="A702" s="47"/>
      <c r="B702" s="3"/>
      <c r="C702" s="115"/>
      <c r="D702" s="115"/>
      <c r="E702" s="115"/>
      <c r="F702" s="115"/>
      <c r="G702" s="115"/>
      <c r="H702" s="115"/>
      <c r="I702" s="50"/>
    </row>
    <row r="703" spans="1:11" ht="12.75" customHeight="1" x14ac:dyDescent="0.3">
      <c r="A703" s="895" t="s">
        <v>47</v>
      </c>
      <c r="B703" s="874"/>
      <c r="C703" s="874"/>
      <c r="D703" s="123" t="s">
        <v>48</v>
      </c>
      <c r="E703" s="123" t="s">
        <v>109</v>
      </c>
      <c r="F703" s="124" t="s">
        <v>49</v>
      </c>
      <c r="G703" s="124" t="s">
        <v>29</v>
      </c>
      <c r="H703" s="123" t="s">
        <v>30</v>
      </c>
      <c r="I703" s="52"/>
    </row>
    <row r="704" spans="1:11" ht="12.75" customHeight="1" x14ac:dyDescent="0.3">
      <c r="A704" s="51" t="s">
        <v>4</v>
      </c>
      <c r="B704" s="131" t="s">
        <v>175</v>
      </c>
      <c r="C704" s="126" t="str">
        <f>IF($A704="EQUI",VLOOKUP($B704,EQUI!B$16:G$37,2,FALSE),IF($A704="TRAN",VLOOKUP($B704,TRAN!$B$16:$G$26,2,FALSE),IF($A704="MAT",VLOOKUP($B704,'MAT1'!$B$16:$G$43,2,FALSE),IF($A704="MDEO",VLOOKUP($B704,MDEO!$B$16:$P$27,2,FALSE)))))</f>
        <v xml:space="preserve">oficial </v>
      </c>
      <c r="D704" s="31">
        <f>IF($A704="EQUI",VLOOKUP($B704,EQUI!B$16:G$35,3,FALSE),IF($A704="TRAN",VLOOKUP($B704,TRAN!$B$16:$G$26,3,FALSE),IF($A704="MAT",VLOOKUP($B704,'MAT1'!$B$16:$G$43,3,FALSE),IF($A704="MDEO",VLOOKUP($B704,MDEO!$B$16:$P$27,3,FALSE)))))</f>
        <v>4833.333333333333</v>
      </c>
      <c r="E704" s="127"/>
      <c r="F704" s="32">
        <f>+D704+D704*E704</f>
        <v>4833.333333333333</v>
      </c>
      <c r="G704" s="130">
        <v>0</v>
      </c>
      <c r="H704" s="128">
        <f>G704*F704</f>
        <v>0</v>
      </c>
      <c r="I704" s="50"/>
      <c r="K704">
        <f>+G704*G685</f>
        <v>0</v>
      </c>
    </row>
    <row r="705" spans="1:11" ht="12.75" customHeight="1" x14ac:dyDescent="0.3">
      <c r="A705" s="51" t="s">
        <v>4</v>
      </c>
      <c r="B705" s="131" t="s">
        <v>178</v>
      </c>
      <c r="C705" s="126" t="str">
        <f>IF($A705="EQUI",VLOOKUP($B705,EQUI!B$16:G$37,2,FALSE),IF($A705="TRAN",VLOOKUP($B705,TRAN!$B$16:$G$26,2,FALSE),IF($A705="MAT",VLOOKUP($B705,'MAT1'!$B$16:$G$43,2,FALSE),IF($A705="MDEO",VLOOKUP($B705,MDEO!$B$16:$P$33,2,FALSE)))))</f>
        <v>contra maestro</v>
      </c>
      <c r="D705" s="31">
        <f>IF($A705="EQUI",VLOOKUP($B705,EQUI!B$16:G$35,3,FALSE),IF($A705="TRAN",VLOOKUP($B705,TRAN!$B$16:$G$26,3,FALSE),IF($A705="MAT",VLOOKUP($B705,'MAT1'!$B$16:$G$43,3,FALSE),IF($A705="MDEO",VLOOKUP($B705,MDEO!$B$16:$P$33,3,FALSE)))))</f>
        <v>5208.333333333333</v>
      </c>
      <c r="E705" s="127"/>
      <c r="F705" s="32">
        <f>+D705+D705*E705</f>
        <v>5208.333333333333</v>
      </c>
      <c r="G705" s="130">
        <f>+G708*0.1</f>
        <v>2.9585798816568003E-3</v>
      </c>
      <c r="H705" s="128">
        <f>G705*F705</f>
        <v>15.409270216962501</v>
      </c>
      <c r="I705" s="50"/>
      <c r="K705">
        <f>+G705*G686</f>
        <v>0</v>
      </c>
    </row>
    <row r="706" spans="1:11" ht="12.75" customHeight="1" x14ac:dyDescent="0.3">
      <c r="A706" s="51" t="s">
        <v>4</v>
      </c>
      <c r="B706" s="131" t="s">
        <v>177</v>
      </c>
      <c r="C706" s="126" t="str">
        <f>IF($A706="EQUI",VLOOKUP($B706,EQUI!B$16:G$37,2,FALSE),IF($A706="TRAN",VLOOKUP($B706,TRAN!$B$16:$G$26,2,FALSE),IF($A706="MAT",VLOOKUP($B706,'MAT1'!$B$16:$G$43,2,FALSE),IF($A706="MDEO",VLOOKUP($B706,MDEO!$B$16:$P$27,2,FALSE)))))</f>
        <v xml:space="preserve">ayudante </v>
      </c>
      <c r="D706" s="31">
        <f>IF($A706="EQUI",VLOOKUP($B706,EQUI!B$16:G$35,3,FALSE),IF($A706="TRAN",VLOOKUP($B706,TRAN!$B$16:$G$26,3,FALSE),IF($A706="MAT",VLOOKUP($B706,'MAT1'!$B$16:$G$43,3,FALSE),IF($A706="MDEO",VLOOKUP($B706,MDEO!$B$16:$P$27,3,FALSE)))))</f>
        <v>4833.333333333333</v>
      </c>
      <c r="E706" s="127"/>
      <c r="F706" s="32">
        <f>+D706+D706*E706</f>
        <v>4833.333333333333</v>
      </c>
      <c r="G706" s="143">
        <f>0.236686390532544/8</f>
        <v>2.9585798816568001E-2</v>
      </c>
      <c r="H706" s="128">
        <f>G706*F706</f>
        <v>142.99802761341201</v>
      </c>
      <c r="I706" s="50"/>
      <c r="K706">
        <f>+G706*$G$687</f>
        <v>65.236686390532441</v>
      </c>
    </row>
    <row r="707" spans="1:11" ht="12.75" customHeight="1" x14ac:dyDescent="0.3">
      <c r="A707" s="51" t="s">
        <v>4</v>
      </c>
      <c r="B707" s="131" t="s">
        <v>51</v>
      </c>
      <c r="C707" s="126" t="str">
        <f>IF($A707="EQUI",VLOOKUP($B707,EQUI!B$16:G$37,2,FALSE),IF($A707="TRAN",VLOOKUP($B707,TRAN!$B$16:$G$26,2,FALSE),IF($A707="MAT",VLOOKUP($B707,'MAT1'!$B$16:$G$43,2,FALSE),IF($A707="MDEO",VLOOKUP($B707,MDEO!$B$16:$P$27,2,FALSE)))))</f>
        <v>cadenero 1</v>
      </c>
      <c r="D707" s="31">
        <f>IF($A707="EQUI",VLOOKUP($B707,EQUI!B$16:G$35,3,FALSE),IF($A707="TRAN",VLOOKUP($B707,TRAN!$B$16:$G$26,3,FALSE),IF($A707="MAT",VLOOKUP($B707,'MAT1'!$B$16:$G$43,3,FALSE),IF($A707="MDEO",VLOOKUP($B707,MDEO!$B$16:$P$27,3,FALSE)))))</f>
        <v>5208.333333333333</v>
      </c>
      <c r="E707" s="127"/>
      <c r="F707" s="32">
        <f>+D707+D707*E707</f>
        <v>5208.333333333333</v>
      </c>
      <c r="G707" s="143">
        <f>0.236686390532544/8</f>
        <v>2.9585798816568001E-2</v>
      </c>
      <c r="H707" s="128">
        <f>G707*F707</f>
        <v>154.092702169625</v>
      </c>
      <c r="I707" s="50"/>
      <c r="K707">
        <f>+G707*$G$687</f>
        <v>65.236686390532441</v>
      </c>
    </row>
    <row r="708" spans="1:11" ht="12.75" customHeight="1" x14ac:dyDescent="0.3">
      <c r="A708" s="51" t="s">
        <v>4</v>
      </c>
      <c r="B708" s="131" t="s">
        <v>50</v>
      </c>
      <c r="C708" s="126" t="str">
        <f>IF($A708="EQUI",VLOOKUP($B708,EQUI!B$16:G$37,2,FALSE),IF($A708="TRAN",VLOOKUP($B708,TRAN!$B$16:$G$26,2,FALSE),IF($A708="MAT",VLOOKUP($B708,'MAT1'!$B$16:$G$43,2,FALSE),IF($A708="MDEO",VLOOKUP($B708,MDEO!$B$16:$P$27,2,FALSE)))))</f>
        <v>topógrafo</v>
      </c>
      <c r="D708" s="31">
        <f>IF($A708="EQUI",VLOOKUP($B708,EQUI!B$16:G$35,3,FALSE),IF($A708="TRAN",VLOOKUP($B708,TRAN!$B$16:$G$26,3,FALSE),IF($A708="MAT",VLOOKUP($B708,'MAT1'!$B$16:$G$43,3,FALSE),IF($A708="MDEO",VLOOKUP($B708,MDEO!$B$16:$P$27,3,FALSE)))))</f>
        <v>6250</v>
      </c>
      <c r="E708" s="127"/>
      <c r="F708" s="32">
        <f>+D708+D708*E708</f>
        <v>6250</v>
      </c>
      <c r="G708" s="143">
        <f>0.236686390532544/8</f>
        <v>2.9585798816568001E-2</v>
      </c>
      <c r="H708" s="128">
        <f>G708*F708</f>
        <v>184.91124260354999</v>
      </c>
      <c r="I708" s="50"/>
      <c r="K708">
        <f>+G708*$G$687</f>
        <v>65.236686390532441</v>
      </c>
    </row>
    <row r="709" spans="1:11" ht="12.75" customHeight="1" x14ac:dyDescent="0.3">
      <c r="A709" s="879"/>
      <c r="B709" s="868"/>
      <c r="C709" s="115"/>
      <c r="D709" s="115"/>
      <c r="E709" s="115"/>
      <c r="F709" s="115"/>
      <c r="G709" s="115"/>
      <c r="H709" s="115"/>
      <c r="I709" s="50"/>
    </row>
    <row r="710" spans="1:11" ht="12.75" customHeight="1" x14ac:dyDescent="0.3">
      <c r="A710" s="49"/>
      <c r="B710" s="115"/>
      <c r="C710" s="115"/>
      <c r="D710" s="115"/>
      <c r="E710" s="115"/>
      <c r="F710" s="120" t="s">
        <v>32</v>
      </c>
      <c r="G710" s="121" t="str">
        <f>+B686</f>
        <v>3.1</v>
      </c>
      <c r="H710" s="120" t="s">
        <v>289</v>
      </c>
      <c r="I710" s="48">
        <f>SUM(H704:H709)</f>
        <v>497.41124260354957</v>
      </c>
    </row>
    <row r="711" spans="1:11" ht="12.75" customHeight="1" x14ac:dyDescent="0.3">
      <c r="A711" s="49" t="s">
        <v>54</v>
      </c>
      <c r="B711" s="115"/>
      <c r="C711" s="115"/>
      <c r="D711" s="115"/>
      <c r="E711" s="115"/>
      <c r="F711" s="115"/>
      <c r="G711" s="115"/>
      <c r="H711" s="116"/>
      <c r="I711" s="48">
        <f>I710*0.05</f>
        <v>24.870562130177479</v>
      </c>
    </row>
    <row r="712" spans="1:11" ht="12.75" customHeight="1" x14ac:dyDescent="0.3">
      <c r="A712" s="49"/>
      <c r="B712" s="115"/>
      <c r="C712" s="115"/>
      <c r="D712" s="115"/>
      <c r="E712" s="115"/>
      <c r="F712" s="120" t="s">
        <v>55</v>
      </c>
      <c r="G712" s="116"/>
      <c r="H712" s="116"/>
      <c r="I712" s="48">
        <f>ROUND(I710+I711+I697+I693+I701,0)</f>
        <v>33215</v>
      </c>
    </row>
    <row r="713" spans="1:11" ht="12.75" customHeight="1" x14ac:dyDescent="0.3">
      <c r="A713" s="879" t="s">
        <v>56</v>
      </c>
      <c r="B713" s="868"/>
      <c r="C713" s="868"/>
      <c r="D713" s="868"/>
      <c r="E713" s="868" t="s">
        <v>57</v>
      </c>
      <c r="F713" s="868"/>
      <c r="G713" s="875" t="s">
        <v>58</v>
      </c>
      <c r="H713" s="875"/>
      <c r="I713" s="48"/>
    </row>
    <row r="714" spans="1:11" ht="12.75" customHeight="1" x14ac:dyDescent="0.3">
      <c r="A714" s="879" t="s">
        <v>208</v>
      </c>
      <c r="B714" s="868"/>
      <c r="C714" s="868"/>
      <c r="D714" s="868"/>
      <c r="E714" s="876">
        <v>0.02</v>
      </c>
      <c r="F714" s="876"/>
      <c r="G714" s="875">
        <f>+I712*E714</f>
        <v>664.30000000000007</v>
      </c>
      <c r="H714" s="875"/>
      <c r="I714" s="48"/>
    </row>
    <row r="715" spans="1:11" ht="12.75" customHeight="1" x14ac:dyDescent="0.3">
      <c r="A715" s="879" t="s">
        <v>5</v>
      </c>
      <c r="B715" s="868"/>
      <c r="C715" s="868"/>
      <c r="D715" s="868"/>
      <c r="E715" s="876">
        <v>0.23</v>
      </c>
      <c r="F715" s="876"/>
      <c r="G715" s="875">
        <f>+E715*I712</f>
        <v>7639.4500000000007</v>
      </c>
      <c r="H715" s="875"/>
      <c r="I715" s="48"/>
    </row>
    <row r="716" spans="1:11" ht="12.75" customHeight="1" x14ac:dyDescent="0.3">
      <c r="A716" s="879" t="s">
        <v>6</v>
      </c>
      <c r="B716" s="868"/>
      <c r="C716" s="868"/>
      <c r="D716" s="868"/>
      <c r="E716" s="876">
        <v>0.05</v>
      </c>
      <c r="F716" s="876"/>
      <c r="G716" s="875">
        <f>+E716*I712</f>
        <v>1660.75</v>
      </c>
      <c r="H716" s="875"/>
      <c r="I716" s="48"/>
    </row>
    <row r="717" spans="1:11" ht="12.75" customHeight="1" x14ac:dyDescent="0.3">
      <c r="A717" s="879" t="s">
        <v>207</v>
      </c>
      <c r="B717" s="868"/>
      <c r="C717" s="868"/>
      <c r="D717" s="868"/>
      <c r="E717" s="876">
        <v>0.02</v>
      </c>
      <c r="F717" s="876"/>
      <c r="G717" s="875">
        <f>+E717*I712</f>
        <v>664.30000000000007</v>
      </c>
      <c r="H717" s="875"/>
      <c r="I717" s="48"/>
    </row>
    <row r="718" spans="1:11" ht="12.75" customHeight="1" x14ac:dyDescent="0.3">
      <c r="A718" s="880" t="s">
        <v>397</v>
      </c>
      <c r="B718" s="867"/>
      <c r="C718" s="867"/>
      <c r="D718" s="867"/>
      <c r="E718" s="867"/>
      <c r="F718" s="867"/>
      <c r="G718" s="867"/>
      <c r="H718" s="867"/>
      <c r="I718" s="48">
        <f>+G717+G715+G716+G714</f>
        <v>10628.8</v>
      </c>
    </row>
    <row r="719" spans="1:11" ht="12.75" customHeight="1" x14ac:dyDescent="0.3">
      <c r="A719" s="880" t="s">
        <v>59</v>
      </c>
      <c r="B719" s="867"/>
      <c r="C719" s="867"/>
      <c r="D719" s="867"/>
      <c r="E719" s="867"/>
      <c r="F719" s="867"/>
      <c r="G719" s="867"/>
      <c r="H719" s="867"/>
      <c r="I719" s="48">
        <f>+I718+I712</f>
        <v>43843.8</v>
      </c>
    </row>
    <row r="720" spans="1:11" ht="12.75" customHeight="1" x14ac:dyDescent="0.3">
      <c r="A720" s="93"/>
      <c r="B720" s="65"/>
      <c r="C720" s="65"/>
      <c r="D720" s="65"/>
      <c r="E720" s="65"/>
      <c r="F720" s="65"/>
      <c r="G720" s="65"/>
      <c r="H720" s="65"/>
      <c r="I720" s="48"/>
    </row>
    <row r="721" spans="1:9" ht="12.75" customHeight="1" x14ac:dyDescent="0.3">
      <c r="A721" s="881" t="s">
        <v>114</v>
      </c>
      <c r="B721" s="604"/>
      <c r="C721" s="604"/>
      <c r="D721" s="65"/>
      <c r="E721" s="65"/>
      <c r="F721" s="604" t="s">
        <v>396</v>
      </c>
      <c r="G721" s="604"/>
      <c r="H721" s="604"/>
      <c r="I721" s="894"/>
    </row>
    <row r="722" spans="1:9" ht="12.75" customHeight="1" x14ac:dyDescent="0.3">
      <c r="A722" s="92" t="s">
        <v>111</v>
      </c>
      <c r="B722" s="868"/>
      <c r="C722" s="868"/>
      <c r="D722" s="115"/>
      <c r="E722" s="115"/>
      <c r="F722" s="116" t="s">
        <v>111</v>
      </c>
      <c r="G722" s="868"/>
      <c r="H722" s="868"/>
      <c r="I722" s="884"/>
    </row>
    <row r="723" spans="1:9" ht="12.75" customHeight="1" x14ac:dyDescent="0.3">
      <c r="A723" s="132" t="s">
        <v>115</v>
      </c>
      <c r="B723" s="868" t="str">
        <f>VLOOKUP(A723,[6]INICIO!$E$6:$H$26,2,FALSE)</f>
        <v>LINA MARCELA</v>
      </c>
      <c r="C723" s="868"/>
      <c r="F723" s="86" t="s">
        <v>112</v>
      </c>
      <c r="G723" s="868"/>
      <c r="H723" s="868"/>
      <c r="I723" s="884"/>
    </row>
    <row r="724" spans="1:9" ht="12.75" customHeight="1" x14ac:dyDescent="0.3">
      <c r="A724" s="132" t="s">
        <v>113</v>
      </c>
      <c r="B724" s="868" t="str">
        <f>VLOOKUP(A723,[6]INICIO!$E$6:$H$26,4,FALSE)</f>
        <v>05202-316814 ANT</v>
      </c>
      <c r="C724" s="868"/>
      <c r="F724" s="86" t="s">
        <v>113</v>
      </c>
      <c r="G724" s="868"/>
      <c r="H724" s="868"/>
      <c r="I724" s="884"/>
    </row>
    <row r="725" spans="1:9" ht="12.75" customHeight="1" x14ac:dyDescent="0.3">
      <c r="A725" s="132"/>
      <c r="B725" s="116"/>
      <c r="C725" s="116"/>
      <c r="F725" s="86"/>
      <c r="G725" s="116"/>
      <c r="H725" s="116"/>
      <c r="I725" s="95"/>
    </row>
    <row r="726" spans="1:9" ht="12.75" customHeight="1" x14ac:dyDescent="0.3">
      <c r="A726" s="872" t="s">
        <v>110</v>
      </c>
      <c r="B726" s="869"/>
      <c r="C726" s="869"/>
      <c r="D726" s="869"/>
      <c r="E726" s="869"/>
      <c r="F726" s="869"/>
      <c r="G726" s="869"/>
      <c r="H726" s="869"/>
      <c r="I726" s="873"/>
    </row>
    <row r="727" spans="1:9" ht="12.75" customHeight="1" x14ac:dyDescent="0.3">
      <c r="A727" s="870"/>
      <c r="B727" s="691"/>
      <c r="C727" s="691"/>
      <c r="D727" s="691"/>
      <c r="E727" s="691"/>
      <c r="F727" s="691"/>
      <c r="G727" s="691"/>
      <c r="H727" s="691"/>
      <c r="I727" s="871"/>
    </row>
    <row r="728" spans="1:9" ht="12.75" customHeight="1" x14ac:dyDescent="0.3">
      <c r="A728" s="872"/>
      <c r="B728" s="869"/>
      <c r="C728" s="869"/>
      <c r="D728" s="869"/>
      <c r="E728" s="869"/>
      <c r="F728" s="869"/>
      <c r="G728" s="869"/>
      <c r="H728" s="869"/>
      <c r="I728" s="873"/>
    </row>
    <row r="729" spans="1:9" ht="12.75" customHeight="1" x14ac:dyDescent="0.3">
      <c r="A729" s="891" t="s">
        <v>68</v>
      </c>
      <c r="B729" s="892"/>
      <c r="C729" s="892"/>
      <c r="D729" s="892"/>
      <c r="E729" s="892"/>
      <c r="F729" s="892"/>
      <c r="G729" s="892"/>
      <c r="H729" s="892"/>
      <c r="I729" s="893"/>
    </row>
    <row r="730" spans="1:9" ht="12.75" customHeight="1" x14ac:dyDescent="0.3">
      <c r="A730" s="94" t="s">
        <v>69</v>
      </c>
      <c r="B730" s="144" t="s">
        <v>249</v>
      </c>
      <c r="C730" s="604" t="s">
        <v>70</v>
      </c>
      <c r="D730" s="868" t="str">
        <f>VLOOKUP(B730,PRESUPUESTO!$A$18:$I$68,3,FALSE)</f>
        <v>ESTABILIZACION DE LOS SUELOS DE SUBRASANTE  CON GEOTEXTIL TEJIDO 2400</v>
      </c>
      <c r="E730" s="868"/>
      <c r="F730" s="868"/>
      <c r="G730" s="868"/>
      <c r="H730" s="868"/>
      <c r="I730" s="884"/>
    </row>
    <row r="731" spans="1:9" ht="12.75" customHeight="1" x14ac:dyDescent="0.3">
      <c r="A731" s="94" t="s">
        <v>71</v>
      </c>
      <c r="B731" s="112" t="str">
        <f>VLOOKUP(B730,[6]PRESUPUESTO!$A$18:$I$90,2,FALSE)</f>
        <v>232-13</v>
      </c>
      <c r="C731" s="604"/>
      <c r="D731" s="140" t="s">
        <v>12</v>
      </c>
      <c r="E731" s="113" t="s">
        <v>26</v>
      </c>
      <c r="F731" s="113" t="s">
        <v>13</v>
      </c>
      <c r="G731" s="113">
        <f>VLOOKUP(B731,PRESUPUESTO!$B$15:$I$1200,5,FALSE)</f>
        <v>14703</v>
      </c>
      <c r="H731" s="114" t="s">
        <v>27</v>
      </c>
      <c r="I731" s="46">
        <f>+I754</f>
        <v>9220</v>
      </c>
    </row>
    <row r="732" spans="1:9" ht="12.75" customHeight="1" x14ac:dyDescent="0.3">
      <c r="A732" s="47" t="s">
        <v>14</v>
      </c>
      <c r="B732" s="3"/>
      <c r="C732" s="115"/>
      <c r="D732" s="115"/>
      <c r="E732" s="115"/>
      <c r="F732" s="115"/>
      <c r="G732" s="115"/>
      <c r="H732" s="115"/>
      <c r="I732" s="48"/>
    </row>
    <row r="733" spans="1:9" ht="12.75" customHeight="1" x14ac:dyDescent="0.3">
      <c r="A733" s="879" t="s">
        <v>19</v>
      </c>
      <c r="B733" s="868"/>
      <c r="C733" s="868"/>
      <c r="D733" s="868"/>
      <c r="E733" s="868"/>
      <c r="F733" s="116" t="s">
        <v>28</v>
      </c>
      <c r="G733" s="116" t="s">
        <v>29</v>
      </c>
      <c r="H733" s="116" t="s">
        <v>30</v>
      </c>
      <c r="I733" s="50"/>
    </row>
    <row r="734" spans="1:9" ht="12.75" customHeight="1" x14ac:dyDescent="0.3">
      <c r="A734" s="92" t="s">
        <v>1</v>
      </c>
      <c r="B734" s="117"/>
      <c r="C734" s="878"/>
      <c r="D734" s="878"/>
      <c r="E734" s="878"/>
      <c r="F734" s="123"/>
      <c r="G734" s="115"/>
      <c r="H734" s="118">
        <f>+F734*G734</f>
        <v>0</v>
      </c>
      <c r="I734" s="50"/>
    </row>
    <row r="735" spans="1:9" ht="12.75" customHeight="1" x14ac:dyDescent="0.3">
      <c r="A735" s="49"/>
      <c r="B735" s="115"/>
      <c r="C735" s="115"/>
      <c r="D735" s="115"/>
      <c r="E735" s="115"/>
      <c r="F735" s="120" t="s">
        <v>32</v>
      </c>
      <c r="G735" s="121" t="str">
        <f>+B730</f>
        <v>3.2</v>
      </c>
      <c r="H735" s="121" t="s">
        <v>323</v>
      </c>
      <c r="I735" s="48">
        <f>SUM(H734:H734)</f>
        <v>0</v>
      </c>
    </row>
    <row r="736" spans="1:9" ht="12.75" customHeight="1" x14ac:dyDescent="0.3">
      <c r="A736" s="47" t="s">
        <v>34</v>
      </c>
      <c r="B736" s="3"/>
      <c r="C736" s="115"/>
      <c r="D736" s="115"/>
      <c r="E736" s="115"/>
      <c r="F736" s="115"/>
      <c r="G736" s="115"/>
      <c r="H736" s="115"/>
      <c r="I736" s="50"/>
    </row>
    <row r="737" spans="1:9" ht="12.75" customHeight="1" x14ac:dyDescent="0.3">
      <c r="A737" s="879" t="s">
        <v>35</v>
      </c>
      <c r="B737" s="868"/>
      <c r="C737" s="868"/>
      <c r="D737" s="868"/>
      <c r="E737" s="116" t="s">
        <v>12</v>
      </c>
      <c r="F737" s="116" t="s">
        <v>36</v>
      </c>
      <c r="G737" s="116" t="s">
        <v>37</v>
      </c>
      <c r="H737" s="116" t="s">
        <v>38</v>
      </c>
      <c r="I737" s="50"/>
    </row>
    <row r="738" spans="1:9" ht="12.75" customHeight="1" x14ac:dyDescent="0.3">
      <c r="A738" s="92" t="s">
        <v>522</v>
      </c>
      <c r="B738" s="117" t="s">
        <v>144</v>
      </c>
      <c r="C738" s="878" t="str">
        <f>IF($A738="EQUI",VLOOKUP($B738,EQUI!B$16:G$35,2,FALSE),IF($A738="TRAN",VLOOKUP($B738,TRAN!$B$16:$G$26,2,FALSE),IF($A738="MAT1",VLOOKUP($B738,'MAT1'!$B$16:$G$43,2,FALSE),IF($A738="MAT2",VLOOKUP($B738,'MAT2'!$B$16:$G$55,2,FALSE),IF($A738="MDEO",VLOOKUP($B738,MDEO!$B$16:$P$27,2,FALSE))))))</f>
        <v>geotextil tejido 2400 t</v>
      </c>
      <c r="D738" s="878"/>
      <c r="E738" s="123" t="str">
        <f>IF($A738="EQUI",VLOOKUP($B738,EQUI!B$16:G$35,3,FALSE),IF($A738="TRAN",VLOOKUP($B738,TRAN!$B$16:$G$26,3,FALSE),IF($A738="MAT1",VLOOKUP($B738,'MAT1'!$B$16:$G$43,3,FALSE),IF($A738="MAT2",VLOOKUP($B738,'MAT2'!$B$16:$G$55,3,FALSE),IF($A738="MDEO",VLOOKUP($B738,MDEO!$B$16:$P$27,3,FALSE))))))</f>
        <v>M2</v>
      </c>
      <c r="F738" s="123">
        <f>IF($A738="EQUI",VLOOKUP($B738,EQUI!B$16:G$35,4,FALSE),IF($A738="TRAN",VLOOKUP($B738,TRAN!$B$16:$G$26,4,FALSE),IF($A738="MAT1",VLOOKUP($B738,'MAT1'!$B$16:$G$43,4,FALSE),IF($A738="MAT2",VLOOKUP($B738,'MAT2'!$B$16:$G$53,4,FALSE),IF($A738="MDEO",VLOOKUP($B738,MDEO!$B$16:$P$27,4,FALSE))))))</f>
        <v>8500</v>
      </c>
      <c r="G738" s="115">
        <v>1</v>
      </c>
      <c r="H738" s="118">
        <f>+F738*G738</f>
        <v>8500</v>
      </c>
      <c r="I738" s="50"/>
    </row>
    <row r="739" spans="1:9" ht="12.75" customHeight="1" x14ac:dyDescent="0.3">
      <c r="A739" s="92" t="s">
        <v>522</v>
      </c>
      <c r="B739" s="117" t="s">
        <v>147</v>
      </c>
      <c r="C739" s="878" t="str">
        <f>IF($A739="EQUI",VLOOKUP($B739,EQUI!B$16:G$35,2,FALSE),IF($A739="TRAN",VLOOKUP($B739,TRAN!$B$16:$G$26,2,FALSE),IF($A739="MAT1",VLOOKUP($B739,'MAT1'!$B$16:$G$43,2,FALSE),IF($A739="MAT2",VLOOKUP($B739,'MAT2'!$B$16:$G$55,2,FALSE),IF($A739="MDEO",VLOOKUP($B739,MDEO!$B$16:$P$27,2,FALSE))))))</f>
        <v>listón 2*2 madera tipo choiba</v>
      </c>
      <c r="D739" s="878"/>
      <c r="E739" s="123" t="str">
        <f>IF($A739="EQUI",VLOOKUP($B739,EQUI!B$16:G$35,3,FALSE),IF($A739="TRAN",VLOOKUP($B739,TRAN!$B$16:$G$26,3,FALSE),IF($A739="MAT1",VLOOKUP($B739,'MAT1'!$B$16:$G$43,3,FALSE),IF($A739="MAT2",VLOOKUP($B739,'MAT2'!$B$16:$G$55,3,FALSE),IF($A739="MDEO",VLOOKUP($B739,MDEO!$B$16:$P$27,3,FALSE))))))</f>
        <v>UNIDAD</v>
      </c>
      <c r="F739" s="123">
        <f>IF($A739="EQUI",VLOOKUP($B739,EQUI!B$16:G$35,4,FALSE),IF($A739="TRAN",VLOOKUP($B739,TRAN!$B$16:$G$26,4,FALSE),IF($A739="MAT1",VLOOKUP($B739,'MAT1'!$B$16:$G$43,4,FALSE),IF($A739="MAT2",VLOOKUP($B739,'MAT2'!$B$16:$G$53,4,FALSE),IF($A739="MDEO",VLOOKUP($B739,MDEO!$B$16:$P$27,4,FALSE))))))</f>
        <v>10000</v>
      </c>
      <c r="G739" s="115">
        <f>1/20/50</f>
        <v>1E-3</v>
      </c>
      <c r="H739" s="118">
        <f>+F739*G739</f>
        <v>10</v>
      </c>
      <c r="I739" s="50"/>
    </row>
    <row r="740" spans="1:9" ht="12.75" customHeight="1" x14ac:dyDescent="0.3">
      <c r="A740" s="49"/>
      <c r="B740" s="115"/>
      <c r="C740" s="115"/>
      <c r="D740" s="115"/>
      <c r="E740" s="115"/>
      <c r="F740" s="120" t="s">
        <v>32</v>
      </c>
      <c r="G740" s="121" t="str">
        <f>+B730</f>
        <v>3.2</v>
      </c>
      <c r="H740" s="121" t="s">
        <v>324</v>
      </c>
      <c r="I740" s="50">
        <f>SUM(H738:H739)</f>
        <v>8510</v>
      </c>
    </row>
    <row r="741" spans="1:9" ht="12.75" customHeight="1" x14ac:dyDescent="0.3">
      <c r="A741" s="47" t="s">
        <v>15</v>
      </c>
      <c r="B741" s="3"/>
      <c r="C741" s="115"/>
      <c r="D741" s="115"/>
      <c r="E741" s="115"/>
      <c r="F741" s="115"/>
      <c r="G741" s="115"/>
      <c r="H741" s="115"/>
      <c r="I741" s="50"/>
    </row>
    <row r="742" spans="1:9" ht="12.75" customHeight="1" x14ac:dyDescent="0.3">
      <c r="A742" s="879" t="s">
        <v>19</v>
      </c>
      <c r="B742" s="868"/>
      <c r="C742" s="868"/>
      <c r="D742" s="116" t="s">
        <v>43</v>
      </c>
      <c r="E742" s="116" t="s">
        <v>44</v>
      </c>
      <c r="F742" s="123" t="s">
        <v>45</v>
      </c>
      <c r="G742" s="116" t="s">
        <v>17</v>
      </c>
      <c r="H742" s="116" t="s">
        <v>30</v>
      </c>
      <c r="I742" s="50"/>
    </row>
    <row r="743" spans="1:9" ht="12.75" customHeight="1" x14ac:dyDescent="0.3">
      <c r="A743" s="51" t="s">
        <v>3</v>
      </c>
      <c r="B743" s="117"/>
      <c r="C743" s="133"/>
      <c r="D743" s="133"/>
      <c r="E743" s="133"/>
      <c r="F743" s="123"/>
      <c r="G743" s="115"/>
      <c r="H743" s="118"/>
      <c r="I743" s="50"/>
    </row>
    <row r="744" spans="1:9" ht="12.75" customHeight="1" x14ac:dyDescent="0.3">
      <c r="A744" s="49"/>
      <c r="B744" s="115"/>
      <c r="C744" s="115"/>
      <c r="D744" s="115"/>
      <c r="E744" s="115"/>
      <c r="F744" s="120" t="s">
        <v>32</v>
      </c>
      <c r="G744" s="121" t="str">
        <f>+B730</f>
        <v>3.2</v>
      </c>
      <c r="H744" s="121" t="s">
        <v>325</v>
      </c>
      <c r="I744" s="50">
        <f>SUM(H743:H743)</f>
        <v>0</v>
      </c>
    </row>
    <row r="745" spans="1:9" ht="12.75" customHeight="1" x14ac:dyDescent="0.3">
      <c r="A745" s="47"/>
      <c r="B745" s="3"/>
      <c r="C745" s="115"/>
      <c r="D745" s="115"/>
      <c r="E745" s="115"/>
      <c r="F745" s="115"/>
      <c r="G745" s="115"/>
      <c r="H745" s="115"/>
      <c r="I745" s="50"/>
    </row>
    <row r="746" spans="1:9" ht="12.75" customHeight="1" x14ac:dyDescent="0.3">
      <c r="A746" s="882" t="s">
        <v>18</v>
      </c>
      <c r="B746" s="883"/>
      <c r="C746" s="883"/>
      <c r="D746" s="140" t="s">
        <v>48</v>
      </c>
      <c r="E746" s="140" t="s">
        <v>109</v>
      </c>
      <c r="F746" s="141" t="s">
        <v>250</v>
      </c>
      <c r="G746" s="142" t="s">
        <v>251</v>
      </c>
      <c r="H746" s="140" t="s">
        <v>252</v>
      </c>
      <c r="I746" s="52"/>
    </row>
    <row r="747" spans="1:9" ht="12.75" customHeight="1" x14ac:dyDescent="0.3">
      <c r="A747" s="51" t="s">
        <v>4</v>
      </c>
      <c r="B747" s="131" t="s">
        <v>175</v>
      </c>
      <c r="C747" s="126" t="str">
        <f>IF($A747="EQUI",VLOOKUP($B747,EQUI!B$16:G$37,2,FALSE),IF($A747="TRAN",VLOOKUP($B747,TRAN!$B$16:$G$26,2,FALSE),IF($A747="MAT",VLOOKUP($B747,'MAT1'!$B$16:$G$43,2,FALSE),IF($A747="MDEO",VLOOKUP($B747,MDEO!$B$16:$P$27,2,FALSE)))))</f>
        <v xml:space="preserve">oficial </v>
      </c>
      <c r="D747" s="31">
        <f>IF($A747="EQUI",VLOOKUP($B747,EQUI!B$16:G$35,3,FALSE),IF($A747="TRAN",VLOOKUP($B747,TRAN!$B$16:$G$26,3,FALSE),IF($A747="MAT",VLOOKUP($B747,'MAT1'!$B$16:$G$43,3,FALSE),IF($A747="MDEO",VLOOKUP($B747,MDEO!$B$16:$P$27,3,FALSE)))))</f>
        <v>4833.333333333333</v>
      </c>
      <c r="E747" s="127">
        <f>IF($A747="EQUI",VLOOKUP($B747,[6]EQUI!B$16:G$46,4,FALSE),IF($A747="TRAN",VLOOKUP($B747,[6]TRAN!$B$16:$G$26,4,FALSE),IF($A747="MAT",VLOOKUP($B747,[6]MAT!$B$16:$G$83,4,FALSE),IF($A747="MDEO",VLOOKUP($B747,[6]MDEO!$B$16:$I$21,4,FALSE)))))</f>
        <v>0</v>
      </c>
      <c r="F747" s="32">
        <f>+D747+D747*E747</f>
        <v>4833.333333333333</v>
      </c>
      <c r="G747" s="130">
        <v>4.4999999999999998E-2</v>
      </c>
      <c r="H747" s="128">
        <f>G747*F747</f>
        <v>217.49999999999997</v>
      </c>
      <c r="I747" s="50"/>
    </row>
    <row r="748" spans="1:9" ht="12.75" customHeight="1" x14ac:dyDescent="0.3">
      <c r="A748" s="51" t="s">
        <v>4</v>
      </c>
      <c r="B748" s="131" t="s">
        <v>176</v>
      </c>
      <c r="C748" s="126" t="str">
        <f>IF($A748="EQUI",VLOOKUP($B748,EQUI!B$16:G$37,2,FALSE),IF($A748="TRAN",VLOOKUP($B748,TRAN!$B$16:$G$26,2,FALSE),IF($A748="MAT",VLOOKUP($B748,'MAT1'!$B$16:$G$43,2,FALSE),IF($A748="MDEO",VLOOKUP($B748,MDEO!$B$16:$P$33,2,FALSE)))))</f>
        <v xml:space="preserve">ayudante entendido </v>
      </c>
      <c r="D748" s="31">
        <f>IF($A748="EQUI",VLOOKUP($B748,EQUI!B$16:G$35,3,FALSE),IF($A748="TRAN",VLOOKUP($B748,TRAN!$B$16:$G$26,3,FALSE),IF($A748="MAT",VLOOKUP($B748,'MAT1'!$B$16:$G$43,3,FALSE),IF($A748="MDEO",VLOOKUP($B748,MDEO!$B$16:$P$33,3,FALSE)))))</f>
        <v>4833.333333333333</v>
      </c>
      <c r="E748" s="127">
        <f>IF($A748="EQUI",VLOOKUP($B748,[6]EQUI!B$16:G$46,4,FALSE),IF($A748="TRAN",VLOOKUP($B748,[6]TRAN!$B$16:$G$26,4,FALSE),IF($A748="MAT",VLOOKUP($B748,[6]MAT!$B$16:$G$83,4,FALSE),IF($A748="MDEO",VLOOKUP($B748,[6]MDEO!$B$16:$I$21,4,FALSE)))))</f>
        <v>0</v>
      </c>
      <c r="F748" s="32">
        <f>+D748+D748*E748</f>
        <v>4833.333333333333</v>
      </c>
      <c r="G748" s="130">
        <v>4.4999999999999998E-2</v>
      </c>
      <c r="H748" s="128">
        <f>G748*F748</f>
        <v>217.49999999999997</v>
      </c>
      <c r="I748" s="50"/>
    </row>
    <row r="749" spans="1:9" ht="12.75" customHeight="1" x14ac:dyDescent="0.3">
      <c r="A749" s="51" t="s">
        <v>4</v>
      </c>
      <c r="B749" s="131" t="s">
        <v>177</v>
      </c>
      <c r="C749" s="126" t="str">
        <f>IF($A749="EQUI",VLOOKUP($B749,EQUI!B$16:G$37,2,FALSE),IF($A749="TRAN",VLOOKUP($B749,TRAN!$B$16:$G$26,2,FALSE),IF($A749="MAT",VLOOKUP($B749,'MAT1'!$B$16:$G$43,2,FALSE),IF($A749="MDEO",VLOOKUP($B749,MDEO!$B$16:$P$27,2,FALSE)))))</f>
        <v xml:space="preserve">ayudante </v>
      </c>
      <c r="D749" s="31">
        <f>IF($A749="EQUI",VLOOKUP($B749,EQUI!B$16:G$35,3,FALSE),IF($A749="TRAN",VLOOKUP($B749,TRAN!$B$16:$G$26,3,FALSE),IF($A749="MAT",VLOOKUP($B749,'MAT1'!$B$16:$G$43,3,FALSE),IF($A749="MDEO",VLOOKUP($B749,MDEO!$B$16:$P$27,3,FALSE)))))</f>
        <v>4833.333333333333</v>
      </c>
      <c r="E749" s="127">
        <f>IF($A749="EQUI",VLOOKUP($B749,[6]EQUI!B$16:G$46,4,FALSE),IF($A749="TRAN",VLOOKUP($B749,[6]TRAN!$B$16:$G$26,4,FALSE),IF($A749="MAT",VLOOKUP($B749,[6]MAT!$B$16:$G$83,4,FALSE),IF($A749="MDEO",VLOOKUP($B749,[6]MDEO!$B$16:$I$21,4,FALSE)))))</f>
        <v>0</v>
      </c>
      <c r="F749" s="32">
        <f>+D749+D749*E749</f>
        <v>4833.333333333333</v>
      </c>
      <c r="G749" s="130">
        <v>4.4999999999999998E-2</v>
      </c>
      <c r="H749" s="128">
        <f>G749*F749</f>
        <v>217.49999999999997</v>
      </c>
      <c r="I749" s="50"/>
    </row>
    <row r="750" spans="1:9" ht="12.75" customHeight="1" x14ac:dyDescent="0.3">
      <c r="A750" s="51" t="s">
        <v>4</v>
      </c>
      <c r="B750" s="131" t="s">
        <v>178</v>
      </c>
      <c r="C750" s="126" t="str">
        <f>IF($A750="EQUI",VLOOKUP($B750,EQUI!B$16:G$37,2,FALSE),IF($A750="TRAN",VLOOKUP($B750,TRAN!$B$16:$G$26,2,FALSE),IF($A750="MAT",VLOOKUP($B750,'MAT1'!$B$16:$G$43,2,FALSE),IF($A750="MDEO",VLOOKUP($B750,MDEO!$B$16:$P$33,2,FALSE)))))</f>
        <v>contra maestro</v>
      </c>
      <c r="D750" s="31">
        <f>IF($A750="EQUI",VLOOKUP($B750,EQUI!B$16:G$35,3,FALSE),IF($A750="TRAN",VLOOKUP($B750,TRAN!$B$16:$G$26,3,FALSE),IF($A750="MAT",VLOOKUP($B750,'MAT1'!$B$16:$G$43,3,FALSE),IF($A750="MDEO",VLOOKUP($B750,MDEO!$B$16:$P$33,3,FALSE)))))</f>
        <v>5208.333333333333</v>
      </c>
      <c r="E750" s="127"/>
      <c r="F750" s="32">
        <f>+D750+D750*E750</f>
        <v>5208.333333333333</v>
      </c>
      <c r="G750" s="130">
        <f>+G747*0.1</f>
        <v>4.4999999999999997E-3</v>
      </c>
      <c r="H750" s="128">
        <f>G750*F750</f>
        <v>23.437499999999996</v>
      </c>
      <c r="I750" s="50"/>
    </row>
    <row r="751" spans="1:9" ht="12.75" customHeight="1" x14ac:dyDescent="0.3">
      <c r="A751" s="879"/>
      <c r="B751" s="868"/>
      <c r="C751" s="115"/>
      <c r="D751" s="115"/>
      <c r="E751" s="115"/>
      <c r="F751" s="115"/>
      <c r="G751" s="115"/>
      <c r="H751" s="115"/>
      <c r="I751" s="50"/>
    </row>
    <row r="752" spans="1:9" ht="12.75" customHeight="1" x14ac:dyDescent="0.3">
      <c r="A752" s="49"/>
      <c r="B752" s="115"/>
      <c r="C752" s="115"/>
      <c r="D752" s="115"/>
      <c r="E752" s="115"/>
      <c r="F752" s="120" t="s">
        <v>32</v>
      </c>
      <c r="G752" s="121" t="str">
        <f>+B730</f>
        <v>3.2</v>
      </c>
      <c r="H752" s="120" t="s">
        <v>326</v>
      </c>
      <c r="I752" s="48">
        <f>SUM(H747:H751)</f>
        <v>675.93749999999989</v>
      </c>
    </row>
    <row r="753" spans="1:9" ht="12.75" customHeight="1" x14ac:dyDescent="0.3">
      <c r="A753" s="49" t="s">
        <v>54</v>
      </c>
      <c r="B753" s="115"/>
      <c r="C753" s="115"/>
      <c r="D753" s="115"/>
      <c r="E753" s="115"/>
      <c r="F753" s="115"/>
      <c r="G753" s="115"/>
      <c r="H753" s="116"/>
      <c r="I753" s="48">
        <f>I752*0.05</f>
        <v>33.796874999999993</v>
      </c>
    </row>
    <row r="754" spans="1:9" ht="12.75" customHeight="1" x14ac:dyDescent="0.3">
      <c r="A754" s="49"/>
      <c r="B754" s="115"/>
      <c r="C754" s="115"/>
      <c r="D754" s="115"/>
      <c r="E754" s="115"/>
      <c r="F754" s="120" t="s">
        <v>55</v>
      </c>
      <c r="G754" s="116"/>
      <c r="H754" s="116"/>
      <c r="I754" s="48">
        <f>ROUND(I752+I753+I740+I735+I744,0)</f>
        <v>9220</v>
      </c>
    </row>
    <row r="755" spans="1:9" ht="12.75" customHeight="1" x14ac:dyDescent="0.3">
      <c r="A755" s="879" t="s">
        <v>56</v>
      </c>
      <c r="B755" s="868"/>
      <c r="C755" s="868"/>
      <c r="D755" s="868"/>
      <c r="E755" s="868" t="s">
        <v>57</v>
      </c>
      <c r="F755" s="868"/>
      <c r="G755" s="875" t="s">
        <v>58</v>
      </c>
      <c r="H755" s="875"/>
      <c r="I755" s="48"/>
    </row>
    <row r="756" spans="1:9" ht="12.75" customHeight="1" x14ac:dyDescent="0.3">
      <c r="A756" s="879" t="s">
        <v>208</v>
      </c>
      <c r="B756" s="868"/>
      <c r="C756" s="868"/>
      <c r="D756" s="868"/>
      <c r="E756" s="876">
        <v>0.02</v>
      </c>
      <c r="F756" s="876"/>
      <c r="G756" s="875">
        <f>+I754*E756</f>
        <v>184.4</v>
      </c>
      <c r="H756" s="875"/>
      <c r="I756" s="48"/>
    </row>
    <row r="757" spans="1:9" ht="12.75" customHeight="1" x14ac:dyDescent="0.3">
      <c r="A757" s="879" t="s">
        <v>5</v>
      </c>
      <c r="B757" s="868"/>
      <c r="C757" s="868"/>
      <c r="D757" s="868"/>
      <c r="E757" s="876">
        <v>0.23</v>
      </c>
      <c r="F757" s="876"/>
      <c r="G757" s="875">
        <f>+E757*I754</f>
        <v>2120.6</v>
      </c>
      <c r="H757" s="875"/>
      <c r="I757" s="48"/>
    </row>
    <row r="758" spans="1:9" ht="12.75" customHeight="1" x14ac:dyDescent="0.3">
      <c r="A758" s="879" t="s">
        <v>6</v>
      </c>
      <c r="B758" s="868"/>
      <c r="C758" s="868"/>
      <c r="D758" s="868"/>
      <c r="E758" s="876">
        <v>0.05</v>
      </c>
      <c r="F758" s="876"/>
      <c r="G758" s="875">
        <f>+E758*I754</f>
        <v>461</v>
      </c>
      <c r="H758" s="875"/>
      <c r="I758" s="48"/>
    </row>
    <row r="759" spans="1:9" ht="12.75" customHeight="1" x14ac:dyDescent="0.3">
      <c r="A759" s="879" t="s">
        <v>207</v>
      </c>
      <c r="B759" s="868"/>
      <c r="C759" s="868"/>
      <c r="D759" s="868"/>
      <c r="E759" s="876">
        <v>0.02</v>
      </c>
      <c r="F759" s="876"/>
      <c r="G759" s="875">
        <f>+E759*I754</f>
        <v>184.4</v>
      </c>
      <c r="H759" s="875"/>
      <c r="I759" s="48"/>
    </row>
    <row r="760" spans="1:9" ht="12.75" customHeight="1" x14ac:dyDescent="0.3">
      <c r="A760" s="880" t="s">
        <v>397</v>
      </c>
      <c r="B760" s="867"/>
      <c r="C760" s="867"/>
      <c r="D760" s="867"/>
      <c r="E760" s="867"/>
      <c r="F760" s="867"/>
      <c r="G760" s="867"/>
      <c r="H760" s="867"/>
      <c r="I760" s="48">
        <f>+G759+G757+G758+G756</f>
        <v>2950.4</v>
      </c>
    </row>
    <row r="761" spans="1:9" ht="12.75" customHeight="1" x14ac:dyDescent="0.3">
      <c r="A761" s="880" t="s">
        <v>59</v>
      </c>
      <c r="B761" s="867"/>
      <c r="C761" s="867"/>
      <c r="D761" s="867"/>
      <c r="E761" s="867"/>
      <c r="F761" s="867"/>
      <c r="G761" s="867"/>
      <c r="H761" s="867"/>
      <c r="I761" s="48">
        <f>+I760+I754</f>
        <v>12170.4</v>
      </c>
    </row>
    <row r="762" spans="1:9" ht="12.75" customHeight="1" x14ac:dyDescent="0.3">
      <c r="A762" s="93"/>
      <c r="B762" s="65"/>
      <c r="C762" s="65"/>
      <c r="D762" s="65"/>
      <c r="E762" s="65"/>
      <c r="F762" s="65"/>
      <c r="G762" s="65"/>
      <c r="H762" s="65"/>
      <c r="I762" s="48"/>
    </row>
    <row r="763" spans="1:9" ht="12.75" customHeight="1" x14ac:dyDescent="0.3">
      <c r="A763" s="881" t="s">
        <v>114</v>
      </c>
      <c r="B763" s="604"/>
      <c r="C763" s="604"/>
      <c r="D763" s="65"/>
      <c r="E763" s="65"/>
      <c r="F763" s="604" t="s">
        <v>396</v>
      </c>
      <c r="G763" s="604"/>
      <c r="H763" s="604"/>
      <c r="I763" s="894"/>
    </row>
    <row r="764" spans="1:9" ht="12.75" customHeight="1" x14ac:dyDescent="0.3">
      <c r="A764" s="92" t="s">
        <v>111</v>
      </c>
      <c r="B764" s="868"/>
      <c r="C764" s="868"/>
      <c r="D764" s="115"/>
      <c r="E764" s="115"/>
      <c r="F764" s="116" t="s">
        <v>111</v>
      </c>
      <c r="G764" s="868"/>
      <c r="H764" s="868"/>
      <c r="I764" s="884"/>
    </row>
    <row r="765" spans="1:9" ht="12.75" customHeight="1" x14ac:dyDescent="0.3">
      <c r="A765" s="132" t="s">
        <v>115</v>
      </c>
      <c r="B765" s="868" t="str">
        <f>VLOOKUP(A765,[6]INICIO!$E$6:$H$26,2,FALSE)</f>
        <v>LINA MARCELA</v>
      </c>
      <c r="C765" s="868"/>
      <c r="F765" s="86" t="s">
        <v>112</v>
      </c>
      <c r="G765" s="868"/>
      <c r="H765" s="868"/>
      <c r="I765" s="884"/>
    </row>
    <row r="766" spans="1:9" ht="12.75" customHeight="1" x14ac:dyDescent="0.3">
      <c r="A766" s="132" t="s">
        <v>113</v>
      </c>
      <c r="B766" s="868" t="str">
        <f>VLOOKUP(A765,[6]INICIO!$E$6:$H$26,4,FALSE)</f>
        <v>05202-316814 ANT</v>
      </c>
      <c r="C766" s="868"/>
      <c r="F766" s="86" t="s">
        <v>113</v>
      </c>
      <c r="G766" s="868"/>
      <c r="H766" s="868"/>
      <c r="I766" s="884"/>
    </row>
    <row r="767" spans="1:9" ht="12.75" customHeight="1" x14ac:dyDescent="0.3">
      <c r="A767" s="132"/>
      <c r="B767" s="116"/>
      <c r="C767" s="116"/>
      <c r="F767" s="86"/>
      <c r="G767" s="116"/>
      <c r="H767" s="116"/>
      <c r="I767" s="95"/>
    </row>
    <row r="768" spans="1:9" ht="12.75" customHeight="1" x14ac:dyDescent="0.3">
      <c r="A768" s="872" t="s">
        <v>110</v>
      </c>
      <c r="B768" s="869"/>
      <c r="C768" s="869"/>
      <c r="D768" s="869"/>
      <c r="E768" s="869"/>
      <c r="F768" s="869"/>
      <c r="G768" s="869"/>
      <c r="H768" s="869"/>
      <c r="I768" s="873"/>
    </row>
    <row r="769" spans="1:11" ht="12.75" customHeight="1" x14ac:dyDescent="0.3">
      <c r="A769" s="870"/>
      <c r="B769" s="691"/>
      <c r="C769" s="691"/>
      <c r="D769" s="691"/>
      <c r="E769" s="691"/>
      <c r="F769" s="691"/>
      <c r="G769" s="691"/>
      <c r="H769" s="691"/>
      <c r="I769" s="871"/>
    </row>
    <row r="770" spans="1:11" ht="12.75" customHeight="1" x14ac:dyDescent="0.3">
      <c r="A770" s="872"/>
      <c r="B770" s="869"/>
      <c r="C770" s="869"/>
      <c r="D770" s="869"/>
      <c r="E770" s="869"/>
      <c r="F770" s="869"/>
      <c r="G770" s="869"/>
      <c r="H770" s="869"/>
      <c r="I770" s="873"/>
    </row>
    <row r="771" spans="1:11" ht="12.75" customHeight="1" x14ac:dyDescent="0.3">
      <c r="A771" s="891" t="s">
        <v>68</v>
      </c>
      <c r="B771" s="892"/>
      <c r="C771" s="892"/>
      <c r="D771" s="892"/>
      <c r="E771" s="892"/>
      <c r="F771" s="892"/>
      <c r="G771" s="892"/>
      <c r="H771" s="892"/>
      <c r="I771" s="893"/>
    </row>
    <row r="772" spans="1:11" ht="25.5" customHeight="1" x14ac:dyDescent="0.3">
      <c r="A772" s="94" t="s">
        <v>69</v>
      </c>
      <c r="B772" s="144" t="s">
        <v>253</v>
      </c>
      <c r="C772" s="604" t="s">
        <v>70</v>
      </c>
      <c r="D772" s="874" t="str">
        <f>VLOOKUP(B772,PRESUPUESTO!$A$18:$I$68,3,FALSE)</f>
        <v xml:space="preserve">MEJORAMIENTO DE LA SUBRASANTE CON ADICION DE MATEIRALES GRANULAR DE PRESTAMO PARA REMPLAZO </v>
      </c>
      <c r="E772" s="874"/>
      <c r="F772" s="874"/>
      <c r="G772" s="874"/>
      <c r="H772" s="874"/>
      <c r="I772" s="877"/>
    </row>
    <row r="773" spans="1:11" ht="12.75" customHeight="1" x14ac:dyDescent="0.3">
      <c r="A773" s="94" t="s">
        <v>71</v>
      </c>
      <c r="B773" s="112" t="str">
        <f>VLOOKUP(B772,[6]PRESUPUESTO!$A$18:$I$90,2,FALSE)</f>
        <v>230-13</v>
      </c>
      <c r="C773" s="604"/>
      <c r="D773" s="140" t="s">
        <v>12</v>
      </c>
      <c r="E773" s="113" t="s">
        <v>124</v>
      </c>
      <c r="F773" s="113" t="s">
        <v>13</v>
      </c>
      <c r="G773" s="113">
        <f>VLOOKUP(B773,PRESUPUESTO!$B$15:$I$1200,5,FALSE)</f>
        <v>2205</v>
      </c>
      <c r="H773" s="114" t="s">
        <v>27</v>
      </c>
      <c r="I773" s="46">
        <f>+I803</f>
        <v>116586</v>
      </c>
    </row>
    <row r="774" spans="1:11" ht="12.75" customHeight="1" x14ac:dyDescent="0.3">
      <c r="A774" s="47" t="s">
        <v>14</v>
      </c>
      <c r="B774" s="3"/>
      <c r="C774" s="115"/>
      <c r="D774" s="115"/>
      <c r="E774" s="115"/>
      <c r="F774" s="115"/>
      <c r="G774" s="115"/>
      <c r="H774" s="115"/>
      <c r="I774" s="48"/>
    </row>
    <row r="775" spans="1:11" ht="12.75" customHeight="1" x14ac:dyDescent="0.3">
      <c r="A775" s="879" t="s">
        <v>19</v>
      </c>
      <c r="B775" s="868"/>
      <c r="C775" s="868"/>
      <c r="D775" s="868"/>
      <c r="E775" s="868"/>
      <c r="F775" s="116" t="s">
        <v>28</v>
      </c>
      <c r="G775" s="116" t="s">
        <v>29</v>
      </c>
      <c r="H775" s="116" t="s">
        <v>30</v>
      </c>
      <c r="I775" s="50"/>
    </row>
    <row r="776" spans="1:11" ht="12.75" customHeight="1" x14ac:dyDescent="0.3">
      <c r="A776" s="92" t="s">
        <v>1</v>
      </c>
      <c r="B776" s="117" t="s">
        <v>91</v>
      </c>
      <c r="C776" s="878" t="str">
        <f>IF($A776="EQUI",VLOOKUP($B776,EQUI!B$16:G$40,2,FALSE),IF($A776="TRAN",VLOOKUP($B776,TRAN!$B$16:$G$26,2,FALSE),IF(A776="MAT",VLOOKUP($B776,'MAT1'!$B$16:$G$43,2,FALSE),IF(A776="MDEO",VLOOKUP($B776,MDEO!$B$16:$P$27,2,FALSE)))))</f>
        <v>motoniveladora</v>
      </c>
      <c r="D776" s="878"/>
      <c r="E776" s="878"/>
      <c r="F776" s="123">
        <f>IF($A776="EQUI",VLOOKUP($B776,EQUI!B$16:G$41,4,FALSE),IF($A776="TRAN",VLOOKUP($B776,[6]TRAN!$B$16:$G$26,4,FALSE),IF($A776="MAT",VLOOKUP($B776,'MAT1'!$B$16:$G$45,4,FALSE),IF($A776="MDEO",VLOOKUP($B776,[6]MDEO!$B$16:$I$21,4,FALSE)))))</f>
        <v>155000</v>
      </c>
      <c r="G776" s="115">
        <v>0.05</v>
      </c>
      <c r="H776" s="118">
        <f>+F776*G776</f>
        <v>7750</v>
      </c>
      <c r="I776" s="50"/>
      <c r="K776">
        <f>+G776*$G$773</f>
        <v>110.25</v>
      </c>
    </row>
    <row r="777" spans="1:11" ht="12.75" customHeight="1" x14ac:dyDescent="0.3">
      <c r="A777" s="92" t="s">
        <v>1</v>
      </c>
      <c r="B777" s="117" t="s">
        <v>99</v>
      </c>
      <c r="C777" s="878" t="str">
        <f>IF($A777="EQUI",VLOOKUP($B777,EQUI!B$16:G$40,2,FALSE),IF($A777="TRAN",VLOOKUP($B777,TRAN!$B$16:$G$26,2,FALSE),IF(A777="MAT",VLOOKUP($B777,'MAT1'!$B$16:$G$43,2,FALSE),IF(A777="MDEO",VLOOKUP($B777,MDEO!$B$16:$P$27,2,FALSE)))))</f>
        <v>vibro compactador</v>
      </c>
      <c r="D777" s="878"/>
      <c r="E777" s="878"/>
      <c r="F777" s="123">
        <f>IF($A777="EQUI",VLOOKUP($B777,EQUI!B$16:G$41,4,FALSE),IF($A777="TRAN",VLOOKUP($B777,[6]TRAN!$B$16:$G$26,4,FALSE),IF($A777="MAT",VLOOKUP($B777,'MAT1'!$B$16:$G$45,4,FALSE),IF($A777="MDEO",VLOOKUP($B777,[6]MDEO!$B$16:$I$21,4,FALSE)))))</f>
        <v>120000</v>
      </c>
      <c r="G777" s="115">
        <v>0.05</v>
      </c>
      <c r="H777" s="118">
        <f>+F777*G777</f>
        <v>6000</v>
      </c>
      <c r="I777" s="50"/>
      <c r="K777">
        <f>+G777*$G$773</f>
        <v>110.25</v>
      </c>
    </row>
    <row r="778" spans="1:11" ht="12.75" customHeight="1" x14ac:dyDescent="0.3">
      <c r="A778" s="92" t="s">
        <v>1</v>
      </c>
      <c r="B778" s="117" t="s">
        <v>97</v>
      </c>
      <c r="C778" s="878" t="str">
        <f>IF($A778="EQUI",VLOOKUP($B778,EQUI!B$16:G$40,2,FALSE),IF($A778="TRAN",VLOOKUP($B778,TRAN!$B$16:$G$26,2,FALSE),IF(A778="MAT",VLOOKUP($B778,'MAT1'!$B$16:$G$43,2,FALSE),IF(A778="MDEO",VLOOKUP($B778,MDEO!$B$16:$P$27,2,FALSE)))))</f>
        <v>tanque de almacenamiento de agua</v>
      </c>
      <c r="D778" s="878"/>
      <c r="E778" s="878"/>
      <c r="F778" s="123">
        <f>IF($A778="EQUI",VLOOKUP($B778,EQUI!B$16:G$41,4,FALSE),IF($A778="TRAN",VLOOKUP($B778,[6]TRAN!$B$16:$G$26,4,FALSE),IF($A778="MAT",VLOOKUP($B778,'MAT1'!$B$16:$G$45,4,FALSE),IF($A778="MDEO",VLOOKUP($B778,[6]MDEO!$B$16:$I$21,4,FALSE)))))</f>
        <v>1000</v>
      </c>
      <c r="G778" s="115">
        <v>0.04</v>
      </c>
      <c r="H778" s="118">
        <f>+F778*G778</f>
        <v>40</v>
      </c>
      <c r="I778" s="50"/>
      <c r="K778">
        <f>+G778*$G$773</f>
        <v>88.2</v>
      </c>
    </row>
    <row r="779" spans="1:11" ht="12.75" customHeight="1" x14ac:dyDescent="0.3">
      <c r="A779" s="92" t="s">
        <v>1</v>
      </c>
      <c r="B779" s="117" t="s">
        <v>31</v>
      </c>
      <c r="C779" s="878" t="str">
        <f>IF($A779="EQUI",VLOOKUP($B779,EQUI!B$16:G$40,2,FALSE),IF($A779="TRAN",VLOOKUP($B779,TRAN!$B$16:$G$26,2,FALSE),IF(A779="MAT",VLOOKUP($B779,'MAT1'!$B$16:$G$43,2,FALSE),IF(A779="MDEO",VLOOKUP($B779,MDEO!$B$16:$P$27,2,FALSE)))))</f>
        <v xml:space="preserve">Nivel de precisión </v>
      </c>
      <c r="D779" s="878"/>
      <c r="E779" s="878"/>
      <c r="F779" s="123">
        <f>IF($A779="EQUI",VLOOKUP($B779,EQUI!B$16:G$41,4,FALSE),IF($A779="TRAN",VLOOKUP($B779,[6]TRAN!$B$16:$G$26,4,FALSE),IF($A779="MAT",VLOOKUP($B779,'MAT1'!$B$16:$G$45,4,FALSE),IF($A779="MDEO",VLOOKUP($B779,[6]MDEO!$B$16:$I$21,4,FALSE)))))</f>
        <v>25000</v>
      </c>
      <c r="G779" s="115">
        <v>0.04</v>
      </c>
      <c r="H779" s="118">
        <f>+F779*G779</f>
        <v>1000</v>
      </c>
      <c r="I779" s="50"/>
      <c r="K779">
        <f>+G779*$G$773</f>
        <v>88.2</v>
      </c>
    </row>
    <row r="780" spans="1:11" ht="12.75" customHeight="1" x14ac:dyDescent="0.3">
      <c r="A780" s="49"/>
      <c r="B780" s="115"/>
      <c r="C780" s="115"/>
      <c r="D780" s="115"/>
      <c r="E780" s="115"/>
      <c r="F780" s="120" t="s">
        <v>32</v>
      </c>
      <c r="G780" s="121" t="str">
        <f>+B772</f>
        <v>3.3</v>
      </c>
      <c r="H780" s="121" t="s">
        <v>327</v>
      </c>
      <c r="I780" s="48">
        <f>SUM(H776:H779)</f>
        <v>14790</v>
      </c>
    </row>
    <row r="781" spans="1:11" ht="12.75" customHeight="1" x14ac:dyDescent="0.3">
      <c r="A781" s="47" t="s">
        <v>34</v>
      </c>
      <c r="B781" s="3"/>
      <c r="C781" s="115"/>
      <c r="D781" s="115"/>
      <c r="E781" s="115"/>
      <c r="F781" s="115"/>
      <c r="G781" s="115"/>
      <c r="H781" s="115"/>
      <c r="I781" s="50"/>
    </row>
    <row r="782" spans="1:11" ht="12.75" customHeight="1" x14ac:dyDescent="0.3">
      <c r="A782" s="879" t="s">
        <v>35</v>
      </c>
      <c r="B782" s="868"/>
      <c r="C782" s="868"/>
      <c r="D782" s="868"/>
      <c r="E782" s="116" t="s">
        <v>12</v>
      </c>
      <c r="F782" s="116" t="s">
        <v>36</v>
      </c>
      <c r="G782" s="116" t="s">
        <v>37</v>
      </c>
      <c r="H782" s="116" t="s">
        <v>38</v>
      </c>
      <c r="I782" s="50"/>
    </row>
    <row r="783" spans="1:11" ht="12.75" customHeight="1" x14ac:dyDescent="0.3">
      <c r="A783" s="92" t="s">
        <v>522</v>
      </c>
      <c r="B783" s="117" t="s">
        <v>134</v>
      </c>
      <c r="C783" s="878" t="str">
        <f>IF($A783="EQUI",VLOOKUP($B783,EQUI!B$16:G$35,2,FALSE),IF($A783="TRAN",VLOOKUP($B783,TRAN!$B$16:$G$26,2,FALSE),IF($A783="MAT1",VLOOKUP($B783,'MAT1'!$B$16:$G$43,2,FALSE),IF($A783="MAT2",VLOOKUP($B783,'MAT2'!$B$16:$G$55,2,FALSE),IF($A783="MDEO",VLOOKUP($B783,MDEO!$B$16:$P$27,2,FALSE))))))</f>
        <v>agua</v>
      </c>
      <c r="D783" s="878"/>
      <c r="E783" s="123" t="str">
        <f>IF($A783="EQUI",VLOOKUP($B783,EQUI!B$16:G$35,3,FALSE),IF($A783="TRAN",VLOOKUP($B783,TRAN!$B$16:$G$26,3,FALSE),IF($A783="MAT1",VLOOKUP($B783,'MAT1'!$B$16:$G$43,3,FALSE),IF($A783="MAT2",VLOOKUP($B783,'MAT2'!$B$16:$G$55,3,FALSE),IF($A783="MDEO",VLOOKUP($B783,MDEO!$B$16:$P$27,3,FALSE))))))</f>
        <v>M3</v>
      </c>
      <c r="F783" s="123">
        <f>IF($A783="EQUI",VLOOKUP($B783,EQUI!B$16:G$35,4,FALSE),IF($A783="TRAN",VLOOKUP($B783,TRAN!$B$16:$G$26,4,FALSE),IF($A783="MAT1",VLOOKUP($B783,'MAT1'!$B$16:$G$43,4,FALSE),IF($A783="MAT2",VLOOKUP($B783,'MAT2'!$B$16:$G$53,4,FALSE),IF($A783="MDEO",VLOOKUP($B783,MDEO!$B$16:$P$27,4,FALSE))))))</f>
        <v>2750</v>
      </c>
      <c r="G783" s="115">
        <v>0.2</v>
      </c>
      <c r="H783" s="118">
        <f>+F783*G783</f>
        <v>550</v>
      </c>
      <c r="I783" s="50"/>
      <c r="K783">
        <f>+G783*$G$773</f>
        <v>441</v>
      </c>
    </row>
    <row r="784" spans="1:11" ht="12.75" customHeight="1" x14ac:dyDescent="0.3">
      <c r="A784" s="92" t="s">
        <v>523</v>
      </c>
      <c r="B784" s="117" t="s">
        <v>524</v>
      </c>
      <c r="C784" s="878" t="str">
        <f>IF($A784="EQUI",VLOOKUP($B784,EQUI!B$16:G$35,2,FALSE),IF($A784="TRAN",VLOOKUP($B784,TRAN!$B$16:$G$26,2,FALSE),IF($A784="MAT1",VLOOKUP($B784,'MAT1'!$B$16:$G$43,2,FALSE),IF($A784="MAT2",VLOOKUP($B784,'MAT2'!$B$16:$G$55,2,FALSE),IF($A784="MDEO",VLOOKUP($B784,MDEO!$B$16:$P$27,2,FALSE))))))</f>
        <v>Material granular de préstamo</v>
      </c>
      <c r="D784" s="878"/>
      <c r="E784" s="123" t="str">
        <f>IF($A784="EQUI",VLOOKUP($B784,EQUI!B$16:G$35,3,FALSE),IF($A784="TRAN",VLOOKUP($B784,TRAN!$B$16:$G$26,3,FALSE),IF($A784="MAT1",VLOOKUP($B784,'MAT1'!$B$16:$G$43,3,FALSE),IF($A784="MAT2",VLOOKUP($B784,'MAT2'!$B$16:$G$55,3,FALSE),IF($A784="MDEO",VLOOKUP($B784,MDEO!$B$16:$P$27,3,FALSE))))))</f>
        <v>M3</v>
      </c>
      <c r="F784" s="123">
        <f>IF($A784="EQUI",VLOOKUP($B784,EQUI!B$16:G$35,4,FALSE),IF($A784="TRAN",VLOOKUP($B784,TRAN!$B$16:$G$26,4,FALSE),IF($A784="MAT1",VLOOKUP($B784,'MAT1'!$B$16:$G$43,4,FALSE),IF($A784="MAT2",VLOOKUP($B784,'MAT2'!$B$16:$G$53,4,FALSE),IF($A784="MDEO",VLOOKUP($B784,MDEO!$B$16:$P$27,4,FALSE))))))</f>
        <v>29500</v>
      </c>
      <c r="G784" s="115">
        <f>1.3*0.6</f>
        <v>0.78</v>
      </c>
      <c r="H784" s="118">
        <f>+F784*G784</f>
        <v>23010</v>
      </c>
      <c r="I784" s="50"/>
      <c r="K784">
        <f>+G784*$G$773</f>
        <v>1719.9</v>
      </c>
    </row>
    <row r="785" spans="1:11" ht="12.75" customHeight="1" x14ac:dyDescent="0.3">
      <c r="A785" s="92" t="s">
        <v>523</v>
      </c>
      <c r="B785" s="117" t="s">
        <v>142</v>
      </c>
      <c r="C785" s="878" t="str">
        <f>IF($A785="EQUI",VLOOKUP($B785,EQUI!B$16:G$35,2,FALSE),IF($A785="TRAN",VLOOKUP($B785,TRAN!$B$16:$G$26,2,FALSE),IF($A785="MAT1",VLOOKUP($B785,'MAT1'!$B$16:$G$43,2,FALSE),IF($A785="MAT2",VLOOKUP($B785,'MAT2'!$B$16:$G$55,2,FALSE),IF($A785="MDEO",VLOOKUP($B785,MDEO!$B$16:$P$27,2,FALSE))))))</f>
        <v>Material granular piedra &gt;3"</v>
      </c>
      <c r="D785" s="878"/>
      <c r="E785" s="123" t="str">
        <f>IF($A785="EQUI",VLOOKUP($B785,EQUI!B$16:G$35,3,FALSE),IF($A785="TRAN",VLOOKUP($B785,TRAN!$B$16:$G$26,3,FALSE),IF($A785="MAT1",VLOOKUP($B785,'MAT1'!$B$16:$G$43,3,FALSE),IF($A785="MAT2",VLOOKUP($B785,'MAT2'!$B$16:$G$55,3,FALSE),IF($A785="MDEO",VLOOKUP($B785,MDEO!$B$16:$P$27,3,FALSE))))))</f>
        <v>M3</v>
      </c>
      <c r="F785" s="123">
        <f>IF($A785="EQUI",VLOOKUP($B785,EQUI!B$16:G$35,4,FALSE),IF($A785="TRAN",VLOOKUP($B785,TRAN!$B$16:$G$26,4,FALSE),IF($A785="MAT1",VLOOKUP($B785,'MAT1'!$B$16:$G$43,4,FALSE),IF($A785="MAT2",VLOOKUP($B785,'MAT2'!$B$16:$G$53,4,FALSE),IF($A785="MDEO",VLOOKUP($B785,MDEO!$B$16:$P$27,4,FALSE))))))</f>
        <v>44000</v>
      </c>
      <c r="G785" s="115">
        <f>1.3*0.4</f>
        <v>0.52</v>
      </c>
      <c r="H785" s="118">
        <f>+F785*G785</f>
        <v>22880</v>
      </c>
      <c r="I785" s="50"/>
      <c r="K785">
        <f>+G785*$G$773</f>
        <v>1146.6000000000001</v>
      </c>
    </row>
    <row r="786" spans="1:11" ht="12.75" customHeight="1" x14ac:dyDescent="0.3">
      <c r="A786" s="49"/>
      <c r="B786" s="115"/>
      <c r="C786" s="115"/>
      <c r="D786" s="115"/>
      <c r="E786" s="115"/>
      <c r="F786" s="120" t="s">
        <v>32</v>
      </c>
      <c r="G786" s="121" t="str">
        <f>+B772</f>
        <v>3.3</v>
      </c>
      <c r="H786" s="121" t="s">
        <v>328</v>
      </c>
      <c r="I786" s="48">
        <f>SUM(H783:H785)</f>
        <v>46440</v>
      </c>
    </row>
    <row r="787" spans="1:11" ht="12.75" customHeight="1" x14ac:dyDescent="0.3">
      <c r="A787" s="47" t="s">
        <v>15</v>
      </c>
      <c r="B787" s="3"/>
      <c r="C787" s="115"/>
      <c r="D787" s="115"/>
      <c r="E787" s="115"/>
      <c r="F787" s="115"/>
      <c r="G787" s="115"/>
      <c r="H787" s="115"/>
      <c r="I787" s="50"/>
    </row>
    <row r="788" spans="1:11" ht="12.75" customHeight="1" x14ac:dyDescent="0.3">
      <c r="A788" s="879" t="s">
        <v>19</v>
      </c>
      <c r="B788" s="868"/>
      <c r="C788" s="868"/>
      <c r="D788" s="116" t="s">
        <v>43</v>
      </c>
      <c r="E788" s="116" t="s">
        <v>44</v>
      </c>
      <c r="F788" s="123" t="s">
        <v>45</v>
      </c>
      <c r="G788" s="116" t="s">
        <v>17</v>
      </c>
      <c r="H788" s="116" t="s">
        <v>30</v>
      </c>
      <c r="I788" s="50"/>
    </row>
    <row r="789" spans="1:11" ht="12.75" customHeight="1" x14ac:dyDescent="0.3">
      <c r="A789" s="51" t="s">
        <v>3</v>
      </c>
      <c r="B789" s="117" t="s">
        <v>166</v>
      </c>
      <c r="C789" s="133" t="str">
        <f>IF($A789="EQUI",VLOOKUP($B789,EQUI!B$16:G$40,2,FALSE),IF($A789="TRAN",VLOOKUP($B789,TRAN!$B$16:$G$26,2,FALSE),IF(A789="MAT",VLOOKUP($B789,'MAT1'!$B$16:$G$43,2,FALSE),IF(A789="MDEO",VLOOKUP($B789,MDEO!$B$16:$P$27,2,FALSE)))))</f>
        <v>trans agua 0-5km</v>
      </c>
      <c r="D789" s="133">
        <f>+G783</f>
        <v>0.2</v>
      </c>
      <c r="E789" s="133">
        <v>5</v>
      </c>
      <c r="F789" s="123">
        <f>+E789*D789</f>
        <v>1</v>
      </c>
      <c r="G789" s="115">
        <f>IF($A789="EQUI",VLOOKUP($B789,[6]EQUI!B$16:G$46,4,FALSE),IF($A789="TRAN",VLOOKUP($B789,[6]TRAN!$B$16:$G$26,4,FALSE),IF($A789="MAT",VLOOKUP($B789,[6]MAT!$B$16:$G$83,4,FALSE),IF($A789="MDEO",VLOOKUP($B789,[6]MDEO!$B$16:$I$21,4,FALSE)))))</f>
        <v>1095</v>
      </c>
      <c r="H789" s="118">
        <f>+F789*G789</f>
        <v>1095</v>
      </c>
      <c r="I789" s="50"/>
      <c r="K789">
        <f>+F789*$G$773</f>
        <v>2205</v>
      </c>
    </row>
    <row r="790" spans="1:11" ht="12.75" customHeight="1" x14ac:dyDescent="0.3">
      <c r="A790" s="51" t="s">
        <v>3</v>
      </c>
      <c r="B790" s="117" t="s">
        <v>428</v>
      </c>
      <c r="C790" s="133" t="str">
        <f>IF($A790="EQUI",VLOOKUP($B790,EQUI!B$16:G$40,2,FALSE),IF($A790="TRAN",VLOOKUP($B790,TRAN!$B$16:$G$37,2,FALSE),IF(A790="MAT",VLOOKUP($B790,'MAT1'!$B$16:$G$43,2,FALSE),IF(A790="MDEO",VLOOKUP($B790,MDEO!$B$16:$P$27,2,FALSE)))))</f>
        <v>trans material necocli &gt; 10 km</v>
      </c>
      <c r="D790" s="133">
        <f>+G784</f>
        <v>0.78</v>
      </c>
      <c r="E790" s="133">
        <v>50</v>
      </c>
      <c r="F790" s="123">
        <f>+E790*D790</f>
        <v>39</v>
      </c>
      <c r="G790" s="115">
        <f>IF($A790="EQUI",VLOOKUP($B790,[6]EQUI!B$16:G$46,4,FALSE),IF($A790="TRAN",VLOOKUP($B790,TRAN!$B$16:$G$37,4,FALSE),IF($A790="MAT",VLOOKUP($B790,[6]MAT!$B$16:$G$83,4,FALSE),IF($A790="MDEO",VLOOKUP($B790,[6]MDEO!$B$16:$I$21,4,FALSE)))))</f>
        <v>650</v>
      </c>
      <c r="H790" s="118">
        <f>+F790*G790</f>
        <v>25350</v>
      </c>
      <c r="I790" s="50"/>
      <c r="K790">
        <f>+F790*$G$773</f>
        <v>85995</v>
      </c>
    </row>
    <row r="791" spans="1:11" ht="12.75" customHeight="1" x14ac:dyDescent="0.3">
      <c r="A791" s="51" t="s">
        <v>3</v>
      </c>
      <c r="B791" s="117" t="s">
        <v>171</v>
      </c>
      <c r="C791" s="133" t="str">
        <f>IF($A791="EQUI",VLOOKUP($B791,EQUI!B$16:G$40,2,FALSE),IF($A791="TRAN",VLOOKUP($B791,TRAN!$B$16:$G$26,2,FALSE),IF(A791="MAT",VLOOKUP($B791,'MAT1'!$B$16:$G$43,2,FALSE),IF(A791="MDEO",VLOOKUP($B791,MDEO!$B$16:$P$27,2,FALSE)))))</f>
        <v>trans material &gt; 10 km</v>
      </c>
      <c r="D791" s="133">
        <f>+G785</f>
        <v>0.52</v>
      </c>
      <c r="E791" s="133">
        <v>55</v>
      </c>
      <c r="F791" s="123">
        <f>+E791*D791</f>
        <v>28.6</v>
      </c>
      <c r="G791" s="115">
        <f>IF($A791="EQUI",VLOOKUP($B791,[6]EQUI!B$16:G$46,4,FALSE),IF($A791="TRAN",VLOOKUP($B791,[6]TRAN!$B$16:$G$26,4,FALSE),IF($A791="MAT",VLOOKUP($B791,[6]MAT!$B$16:$G$83,4,FALSE),IF($A791="MDEO",VLOOKUP($B791,[6]MDEO!$B$16:$I$21,4,FALSE)))))</f>
        <v>980</v>
      </c>
      <c r="H791" s="118">
        <f>+F791*G791</f>
        <v>28028</v>
      </c>
      <c r="I791" s="50"/>
      <c r="K791">
        <f>+F791*$G$773</f>
        <v>63063</v>
      </c>
    </row>
    <row r="792" spans="1:11" ht="12.75" customHeight="1" x14ac:dyDescent="0.3">
      <c r="A792" s="49"/>
      <c r="B792" s="115"/>
      <c r="C792" s="115"/>
      <c r="D792" s="115"/>
      <c r="E792" s="115"/>
      <c r="F792" s="120" t="s">
        <v>32</v>
      </c>
      <c r="G792" s="121" t="str">
        <f>+B772</f>
        <v>3.3</v>
      </c>
      <c r="H792" s="121" t="s">
        <v>329</v>
      </c>
      <c r="I792" s="48">
        <f>SUM(H789:H791)</f>
        <v>54473</v>
      </c>
    </row>
    <row r="793" spans="1:11" ht="12.75" customHeight="1" x14ac:dyDescent="0.3">
      <c r="A793" s="47"/>
      <c r="B793" s="3"/>
      <c r="C793" s="115"/>
      <c r="D793" s="115"/>
      <c r="E793" s="115"/>
      <c r="F793" s="115"/>
      <c r="G793" s="115"/>
      <c r="H793" s="115"/>
      <c r="I793" s="50"/>
    </row>
    <row r="794" spans="1:11" ht="12.75" customHeight="1" x14ac:dyDescent="0.3">
      <c r="A794" s="882" t="s">
        <v>18</v>
      </c>
      <c r="B794" s="883"/>
      <c r="C794" s="883"/>
      <c r="D794" s="140" t="s">
        <v>48</v>
      </c>
      <c r="E794" s="140" t="s">
        <v>109</v>
      </c>
      <c r="F794" s="141" t="s">
        <v>250</v>
      </c>
      <c r="G794" s="142" t="s">
        <v>251</v>
      </c>
      <c r="H794" s="140" t="s">
        <v>252</v>
      </c>
      <c r="I794" s="52"/>
    </row>
    <row r="795" spans="1:11" ht="12.75" customHeight="1" x14ac:dyDescent="0.3">
      <c r="A795" s="51" t="s">
        <v>4</v>
      </c>
      <c r="B795" s="131" t="s">
        <v>175</v>
      </c>
      <c r="C795" s="126" t="str">
        <f>IF($A795="EQUI",VLOOKUP($B795,EQUI!B$16:G$37,2,FALSE),IF($A795="TRAN",VLOOKUP($B795,TRAN!$B$16:$G$26,2,FALSE),IF($A795="MAT",VLOOKUP($B795,'MAT1'!$B$16:$G$43,2,FALSE),IF($A795="MDEO",VLOOKUP($B795,MDEO!$B$16:$P$27,2,FALSE)))))</f>
        <v xml:space="preserve">oficial </v>
      </c>
      <c r="D795" s="31">
        <f>IF($A795="EQUI",VLOOKUP($B795,EQUI!B$16:G$35,3,FALSE),IF($A795="TRAN",VLOOKUP($B795,TRAN!$B$16:$G$26,3,FALSE),IF($A795="MAT",VLOOKUP($B795,'MAT1'!$B$16:$G$43,3,FALSE),IF($A795="MDEO",VLOOKUP($B795,MDEO!$B$16:$P$27,3,FALSE)))))</f>
        <v>4833.333333333333</v>
      </c>
      <c r="E795" s="127"/>
      <c r="F795" s="32">
        <f>+D795+D795*E795</f>
        <v>4833.333333333333</v>
      </c>
      <c r="G795" s="115">
        <v>0</v>
      </c>
      <c r="H795" s="128">
        <f>G795*F795</f>
        <v>0</v>
      </c>
      <c r="I795" s="50"/>
      <c r="K795">
        <f>+G795*$G$773</f>
        <v>0</v>
      </c>
    </row>
    <row r="796" spans="1:11" ht="12.75" customHeight="1" x14ac:dyDescent="0.3">
      <c r="A796" s="51" t="s">
        <v>4</v>
      </c>
      <c r="B796" s="131" t="s">
        <v>176</v>
      </c>
      <c r="C796" s="126" t="str">
        <f>IF($A796="EQUI",VLOOKUP($B796,EQUI!B$16:G$37,2,FALSE),IF($A796="TRAN",VLOOKUP($B796,TRAN!$B$16:$G$26,2,FALSE),IF($A796="MAT",VLOOKUP($B796,'MAT1'!$B$16:$G$43,2,FALSE),IF($A796="MDEO",VLOOKUP($B796,MDEO!$B$16:$P$33,2,FALSE)))))</f>
        <v xml:space="preserve">ayudante entendido </v>
      </c>
      <c r="D796" s="31">
        <f>IF($A796="EQUI",VLOOKUP($B796,EQUI!B$16:G$35,3,FALSE),IF($A796="TRAN",VLOOKUP($B796,TRAN!$B$16:$G$26,3,FALSE),IF($A796="MAT",VLOOKUP($B796,'MAT1'!$B$16:$G$43,3,FALSE),IF($A796="MDEO",VLOOKUP($B796,MDEO!$B$16:$P$33,3,FALSE)))))</f>
        <v>4833.333333333333</v>
      </c>
      <c r="E796" s="127"/>
      <c r="F796" s="32">
        <f>+D796+D796*E796</f>
        <v>4833.333333333333</v>
      </c>
      <c r="G796" s="115">
        <v>0</v>
      </c>
      <c r="H796" s="128">
        <f>G796*F796</f>
        <v>0</v>
      </c>
      <c r="I796" s="50"/>
      <c r="K796">
        <f>+G796*$G$773</f>
        <v>0</v>
      </c>
    </row>
    <row r="797" spans="1:11" ht="12.75" customHeight="1" x14ac:dyDescent="0.3">
      <c r="A797" s="51" t="s">
        <v>4</v>
      </c>
      <c r="B797" s="131" t="s">
        <v>177</v>
      </c>
      <c r="C797" s="126" t="str">
        <f>IF($A797="EQUI",VLOOKUP($B797,EQUI!B$16:G$37,2,FALSE),IF($A797="TRAN",VLOOKUP($B797,TRAN!$B$16:$G$26,2,FALSE),IF($A797="MAT",VLOOKUP($B797,'MAT1'!$B$16:$G$43,2,FALSE),IF($A797="MDEO",VLOOKUP($B797,MDEO!$B$16:$P$27,2,FALSE)))))</f>
        <v xml:space="preserve">ayudante </v>
      </c>
      <c r="D797" s="31">
        <f>IF($A797="EQUI",VLOOKUP($B797,EQUI!B$16:G$35,3,FALSE),IF($A797="TRAN",VLOOKUP($B797,TRAN!$B$16:$G$26,3,FALSE),IF($A797="MAT",VLOOKUP($B797,'MAT1'!$B$16:$G$43,3,FALSE),IF($A797="MDEO",VLOOKUP($B797,MDEO!$B$16:$P$27,3,FALSE)))))</f>
        <v>4833.333333333333</v>
      </c>
      <c r="E797" s="127"/>
      <c r="F797" s="32">
        <f>+D797+D797*E797</f>
        <v>4833.333333333333</v>
      </c>
      <c r="G797" s="115">
        <v>0.04</v>
      </c>
      <c r="H797" s="128">
        <f>G797*F797</f>
        <v>193.33333333333331</v>
      </c>
      <c r="I797" s="50"/>
      <c r="K797">
        <f>+G797*$G$773</f>
        <v>88.2</v>
      </c>
    </row>
    <row r="798" spans="1:11" ht="12.75" customHeight="1" x14ac:dyDescent="0.3">
      <c r="A798" s="51" t="s">
        <v>4</v>
      </c>
      <c r="B798" s="131" t="s">
        <v>178</v>
      </c>
      <c r="C798" s="126" t="str">
        <f>IF($A798="EQUI",VLOOKUP($B798,EQUI!B$16:G$37,2,FALSE),IF($A798="TRAN",VLOOKUP($B798,TRAN!$B$16:$G$26,2,FALSE),IF($A798="MAT",VLOOKUP($B798,'MAT1'!$B$16:$G$43,2,FALSE),IF($A798="MDEO",VLOOKUP($B798,MDEO!$B$16:$P$33,2,FALSE)))))</f>
        <v>contra maestro</v>
      </c>
      <c r="D798" s="31">
        <f>IF($A798="EQUI",VLOOKUP($B798,EQUI!B$16:G$35,3,FALSE),IF($A798="TRAN",VLOOKUP($B798,TRAN!$B$16:$G$26,3,FALSE),IF($A798="MAT",VLOOKUP($B798,'MAT1'!$B$16:$G$43,3,FALSE),IF($A798="MDEO",VLOOKUP($B798,MDEO!$B$16:$P$33,3,FALSE)))))</f>
        <v>5208.333333333333</v>
      </c>
      <c r="E798" s="127"/>
      <c r="F798" s="32">
        <f>+D798+D798*E798</f>
        <v>5208.333333333333</v>
      </c>
      <c r="G798" s="115">
        <v>0.04</v>
      </c>
      <c r="H798" s="128">
        <f>G798*F798</f>
        <v>208.33333333333331</v>
      </c>
      <c r="I798" s="50"/>
      <c r="K798">
        <f>+G798*$G$773</f>
        <v>88.2</v>
      </c>
    </row>
    <row r="799" spans="1:11" ht="12.75" customHeight="1" x14ac:dyDescent="0.3">
      <c r="A799" s="51" t="s">
        <v>4</v>
      </c>
      <c r="B799" s="131" t="s">
        <v>51</v>
      </c>
      <c r="C799" s="126" t="str">
        <f>IF($A799="EQUI",VLOOKUP($B799,[6]EQUI!B$16:G$46,2,FALSE),IF($A799="TRAN",VLOOKUP($B799,[6]TRAN!$B$16:$G$26,2,FALSE),IF($A799="MAT",VLOOKUP($B799,[6]MAT!$B$16:$G$83,2,FALSE),IF($A799="MDEO",VLOOKUP($B799,[6]MDEO!$B$16:$I$21,2,FALSE)))))</f>
        <v>CADENERO 1</v>
      </c>
      <c r="D799" s="31">
        <f>IF($A799="EQUI",VLOOKUP($B799,[6]EQUI!B$16:G$46,3,FALSE),IF($A799="TRAN",VLOOKUP($B799,[6]TRAN!$B$16:$G$26,3,FALSE),IF($A799="MAT",VLOOKUP($B799,[6]MAT!$B$16:$G$83,3,FALSE),IF($A799="MDEO",VLOOKUP($B799,[6]MDEO!$B$16:$I$21,3,FALSE)))))</f>
        <v>10985.571938383713</v>
      </c>
      <c r="E799" s="127"/>
      <c r="F799" s="32">
        <f>+D799+D799*E799</f>
        <v>10985.571938383713</v>
      </c>
      <c r="G799" s="115">
        <v>0.04</v>
      </c>
      <c r="H799" s="128">
        <f>G799*F799</f>
        <v>439.42287753534856</v>
      </c>
      <c r="I799" s="50"/>
      <c r="K799">
        <f>+G799*$G$773</f>
        <v>88.2</v>
      </c>
    </row>
    <row r="800" spans="1:11" ht="12.75" customHeight="1" x14ac:dyDescent="0.3">
      <c r="A800" s="879"/>
      <c r="B800" s="868"/>
      <c r="C800" s="115"/>
      <c r="D800" s="115"/>
      <c r="E800" s="115"/>
      <c r="F800" s="115"/>
      <c r="G800" s="115"/>
      <c r="H800" s="115"/>
      <c r="I800" s="50"/>
    </row>
    <row r="801" spans="1:9" ht="12.75" customHeight="1" x14ac:dyDescent="0.3">
      <c r="A801" s="49"/>
      <c r="B801" s="115"/>
      <c r="C801" s="115"/>
      <c r="D801" s="115"/>
      <c r="E801" s="115"/>
      <c r="F801" s="120" t="s">
        <v>32</v>
      </c>
      <c r="G801" s="121" t="str">
        <f>+B772</f>
        <v>3.3</v>
      </c>
      <c r="H801" s="120" t="s">
        <v>330</v>
      </c>
      <c r="I801" s="48">
        <f>SUM(H795:H800)</f>
        <v>841.08954420201519</v>
      </c>
    </row>
    <row r="802" spans="1:9" ht="12.75" customHeight="1" x14ac:dyDescent="0.3">
      <c r="A802" s="49" t="s">
        <v>54</v>
      </c>
      <c r="B802" s="115"/>
      <c r="C802" s="115"/>
      <c r="D802" s="115"/>
      <c r="E802" s="115"/>
      <c r="F802" s="115"/>
      <c r="G802" s="115"/>
      <c r="H802" s="116"/>
      <c r="I802" s="48">
        <f>I801*0.05</f>
        <v>42.054477210100764</v>
      </c>
    </row>
    <row r="803" spans="1:9" ht="12.75" customHeight="1" x14ac:dyDescent="0.3">
      <c r="A803" s="49"/>
      <c r="B803" s="115"/>
      <c r="C803" s="115"/>
      <c r="D803" s="115"/>
      <c r="E803" s="115"/>
      <c r="F803" s="120" t="s">
        <v>55</v>
      </c>
      <c r="G803" s="116"/>
      <c r="H803" s="116"/>
      <c r="I803" s="48">
        <f>ROUND(I801+I802+I786+I780+I792,0)</f>
        <v>116586</v>
      </c>
    </row>
    <row r="804" spans="1:9" ht="12.75" customHeight="1" x14ac:dyDescent="0.3">
      <c r="A804" s="879" t="s">
        <v>56</v>
      </c>
      <c r="B804" s="868"/>
      <c r="C804" s="868"/>
      <c r="D804" s="868"/>
      <c r="E804" s="868" t="s">
        <v>57</v>
      </c>
      <c r="F804" s="868"/>
      <c r="G804" s="875" t="s">
        <v>58</v>
      </c>
      <c r="H804" s="875"/>
      <c r="I804" s="48"/>
    </row>
    <row r="805" spans="1:9" ht="12.75" customHeight="1" x14ac:dyDescent="0.3">
      <c r="A805" s="879" t="s">
        <v>208</v>
      </c>
      <c r="B805" s="868"/>
      <c r="C805" s="868"/>
      <c r="D805" s="868"/>
      <c r="E805" s="876">
        <v>0.02</v>
      </c>
      <c r="F805" s="876"/>
      <c r="G805" s="875">
        <f>+I803*E805</f>
        <v>2331.7200000000003</v>
      </c>
      <c r="H805" s="875"/>
      <c r="I805" s="48"/>
    </row>
    <row r="806" spans="1:9" ht="12.75" customHeight="1" x14ac:dyDescent="0.3">
      <c r="A806" s="879" t="s">
        <v>5</v>
      </c>
      <c r="B806" s="868"/>
      <c r="C806" s="868"/>
      <c r="D806" s="868"/>
      <c r="E806" s="876">
        <v>0.23</v>
      </c>
      <c r="F806" s="876"/>
      <c r="G806" s="875">
        <f>+E806*I803</f>
        <v>26814.780000000002</v>
      </c>
      <c r="H806" s="875"/>
      <c r="I806" s="48"/>
    </row>
    <row r="807" spans="1:9" ht="12.75" customHeight="1" x14ac:dyDescent="0.3">
      <c r="A807" s="879" t="s">
        <v>6</v>
      </c>
      <c r="B807" s="868"/>
      <c r="C807" s="868"/>
      <c r="D807" s="868"/>
      <c r="E807" s="876">
        <v>0.05</v>
      </c>
      <c r="F807" s="876"/>
      <c r="G807" s="875">
        <f>+E807*I803</f>
        <v>5829.3</v>
      </c>
      <c r="H807" s="875"/>
      <c r="I807" s="48"/>
    </row>
    <row r="808" spans="1:9" ht="12.75" customHeight="1" x14ac:dyDescent="0.3">
      <c r="A808" s="879" t="s">
        <v>207</v>
      </c>
      <c r="B808" s="868"/>
      <c r="C808" s="868"/>
      <c r="D808" s="868"/>
      <c r="E808" s="876">
        <v>0.02</v>
      </c>
      <c r="F808" s="876"/>
      <c r="G808" s="875">
        <f>+E808*I803</f>
        <v>2331.7200000000003</v>
      </c>
      <c r="H808" s="875"/>
      <c r="I808" s="48"/>
    </row>
    <row r="809" spans="1:9" ht="12.75" customHeight="1" x14ac:dyDescent="0.3">
      <c r="A809" s="880" t="s">
        <v>397</v>
      </c>
      <c r="B809" s="867"/>
      <c r="C809" s="867"/>
      <c r="D809" s="867"/>
      <c r="E809" s="867"/>
      <c r="F809" s="867"/>
      <c r="G809" s="867"/>
      <c r="H809" s="867"/>
      <c r="I809" s="48">
        <f>+G808+G806+G807+G805</f>
        <v>37307.520000000004</v>
      </c>
    </row>
    <row r="810" spans="1:9" ht="12.75" customHeight="1" x14ac:dyDescent="0.3">
      <c r="A810" s="880" t="s">
        <v>59</v>
      </c>
      <c r="B810" s="867"/>
      <c r="C810" s="867"/>
      <c r="D810" s="867"/>
      <c r="E810" s="867"/>
      <c r="F810" s="867"/>
      <c r="G810" s="867"/>
      <c r="H810" s="867"/>
      <c r="I810" s="48">
        <f>+I809+I803</f>
        <v>153893.52000000002</v>
      </c>
    </row>
    <row r="811" spans="1:9" ht="12.75" customHeight="1" x14ac:dyDescent="0.3">
      <c r="A811" s="93"/>
      <c r="B811" s="65"/>
      <c r="C811" s="65"/>
      <c r="D811" s="65"/>
      <c r="E811" s="65"/>
      <c r="F811" s="65"/>
      <c r="G811" s="65"/>
      <c r="H811" s="65"/>
      <c r="I811" s="48"/>
    </row>
    <row r="812" spans="1:9" ht="12.75" customHeight="1" x14ac:dyDescent="0.3">
      <c r="A812" s="881" t="s">
        <v>114</v>
      </c>
      <c r="B812" s="604"/>
      <c r="C812" s="604"/>
      <c r="D812" s="65"/>
      <c r="E812" s="65"/>
      <c r="F812" s="604" t="s">
        <v>396</v>
      </c>
      <c r="G812" s="604"/>
      <c r="H812" s="604"/>
      <c r="I812" s="894"/>
    </row>
    <row r="813" spans="1:9" ht="12.75" customHeight="1" x14ac:dyDescent="0.3">
      <c r="A813" s="92" t="s">
        <v>111</v>
      </c>
      <c r="B813" s="868"/>
      <c r="C813" s="868"/>
      <c r="D813" s="115"/>
      <c r="E813" s="115"/>
      <c r="F813" s="116" t="s">
        <v>111</v>
      </c>
      <c r="G813" s="868"/>
      <c r="H813" s="868"/>
      <c r="I813" s="884"/>
    </row>
    <row r="814" spans="1:9" ht="12.75" customHeight="1" x14ac:dyDescent="0.3">
      <c r="A814" s="132" t="s">
        <v>115</v>
      </c>
      <c r="B814" s="868" t="str">
        <f>VLOOKUP(A814,[6]INICIO!$E$6:$H$26,2,FALSE)</f>
        <v>LINA MARCELA</v>
      </c>
      <c r="C814" s="868"/>
      <c r="F814" s="86" t="s">
        <v>112</v>
      </c>
      <c r="G814" s="868"/>
      <c r="H814" s="868"/>
      <c r="I814" s="884"/>
    </row>
    <row r="815" spans="1:9" ht="12.75" customHeight="1" x14ac:dyDescent="0.3">
      <c r="A815" s="132" t="s">
        <v>113</v>
      </c>
      <c r="B815" s="868" t="str">
        <f>VLOOKUP(A814,[6]INICIO!$E$6:$H$26,4,FALSE)</f>
        <v>05202-316814 ANT</v>
      </c>
      <c r="C815" s="868"/>
      <c r="F815" s="86" t="s">
        <v>113</v>
      </c>
      <c r="G815" s="868"/>
      <c r="H815" s="868"/>
      <c r="I815" s="884"/>
    </row>
    <row r="816" spans="1:9" ht="12.75" customHeight="1" x14ac:dyDescent="0.3">
      <c r="A816" s="132"/>
      <c r="B816" s="116"/>
      <c r="C816" s="116"/>
      <c r="F816" s="86"/>
      <c r="G816" s="116"/>
      <c r="H816" s="116"/>
      <c r="I816" s="95"/>
    </row>
    <row r="817" spans="1:12" ht="12.75" customHeight="1" x14ac:dyDescent="0.3">
      <c r="A817" s="872" t="s">
        <v>110</v>
      </c>
      <c r="B817" s="869"/>
      <c r="C817" s="869"/>
      <c r="D817" s="869"/>
      <c r="E817" s="869"/>
      <c r="F817" s="869"/>
      <c r="G817" s="869"/>
      <c r="H817" s="869"/>
      <c r="I817" s="873"/>
    </row>
    <row r="818" spans="1:12" ht="12.75" customHeight="1" x14ac:dyDescent="0.3">
      <c r="A818" s="870"/>
      <c r="B818" s="691"/>
      <c r="C818" s="691"/>
      <c r="D818" s="691"/>
      <c r="E818" s="691"/>
      <c r="F818" s="691"/>
      <c r="G818" s="691"/>
      <c r="H818" s="691"/>
      <c r="I818" s="871"/>
    </row>
    <row r="819" spans="1:12" ht="12.75" customHeight="1" x14ac:dyDescent="0.3">
      <c r="A819" s="872"/>
      <c r="B819" s="869"/>
      <c r="C819" s="869"/>
      <c r="D819" s="869"/>
      <c r="E819" s="869"/>
      <c r="F819" s="869"/>
      <c r="G819" s="869"/>
      <c r="H819" s="869"/>
      <c r="I819" s="873"/>
    </row>
    <row r="820" spans="1:12" s="68" customFormat="1" ht="9.75" customHeight="1" x14ac:dyDescent="0.2">
      <c r="A820" s="891" t="s">
        <v>68</v>
      </c>
      <c r="B820" s="892"/>
      <c r="C820" s="892"/>
      <c r="D820" s="892"/>
      <c r="E820" s="892"/>
      <c r="F820" s="892"/>
      <c r="G820" s="892"/>
      <c r="H820" s="892"/>
      <c r="I820" s="893"/>
      <c r="L820" s="199"/>
    </row>
    <row r="821" spans="1:12" s="68" customFormat="1" ht="9.75" customHeight="1" x14ac:dyDescent="0.2">
      <c r="A821" s="94" t="s">
        <v>69</v>
      </c>
      <c r="B821" s="144" t="s">
        <v>254</v>
      </c>
      <c r="C821" s="604" t="s">
        <v>70</v>
      </c>
      <c r="D821" s="924" t="str">
        <f>VLOOKUP(B821,PRESUPUESTO!$A$18:$I$68,3,FALSE)</f>
        <v>MEJORAMIENTO CON CEMENTO SUB BASE GRANUALAR MATERIAL GRANULAR EXISTENTE</v>
      </c>
      <c r="E821" s="924"/>
      <c r="F821" s="924"/>
      <c r="G821" s="924"/>
      <c r="H821" s="924"/>
      <c r="I821" s="925"/>
      <c r="L821" s="199"/>
    </row>
    <row r="822" spans="1:12" s="68" customFormat="1" ht="9.75" customHeight="1" x14ac:dyDescent="0.2">
      <c r="A822" s="94" t="s">
        <v>71</v>
      </c>
      <c r="B822" s="112" t="str">
        <f>VLOOKUP(B821,[6]PRESUPUESTO!$A$18:$I$90,2,FALSE)</f>
        <v>330-1</v>
      </c>
      <c r="C822" s="604"/>
      <c r="D822" s="123" t="s">
        <v>12</v>
      </c>
      <c r="E822" s="113" t="s">
        <v>124</v>
      </c>
      <c r="F822" s="113" t="s">
        <v>13</v>
      </c>
      <c r="G822" s="113">
        <f>VLOOKUP(B822,PRESUPUESTO!$B$15:$I$1200,5,FALSE)</f>
        <v>6888</v>
      </c>
      <c r="H822" s="145" t="s">
        <v>27</v>
      </c>
      <c r="I822" s="46">
        <f>+I849</f>
        <v>92551</v>
      </c>
      <c r="L822" s="199"/>
    </row>
    <row r="823" spans="1:12" s="68" customFormat="1" ht="9.75" customHeight="1" x14ac:dyDescent="0.2">
      <c r="A823" s="47" t="s">
        <v>14</v>
      </c>
      <c r="B823" s="3"/>
      <c r="C823" s="115"/>
      <c r="D823" s="115"/>
      <c r="E823" s="115"/>
      <c r="F823" s="115"/>
      <c r="G823" s="115"/>
      <c r="H823" s="115"/>
      <c r="I823" s="48"/>
      <c r="L823" s="199"/>
    </row>
    <row r="824" spans="1:12" s="68" customFormat="1" ht="9.75" customHeight="1" x14ac:dyDescent="0.2">
      <c r="A824" s="879" t="s">
        <v>19</v>
      </c>
      <c r="B824" s="868"/>
      <c r="C824" s="868"/>
      <c r="D824" s="868"/>
      <c r="E824" s="868"/>
      <c r="F824" s="116" t="s">
        <v>28</v>
      </c>
      <c r="G824" s="116" t="s">
        <v>29</v>
      </c>
      <c r="H824" s="116" t="s">
        <v>30</v>
      </c>
      <c r="I824" s="50"/>
      <c r="L824" s="199"/>
    </row>
    <row r="825" spans="1:12" s="68" customFormat="1" ht="9.75" customHeight="1" x14ac:dyDescent="0.2">
      <c r="A825" s="92" t="s">
        <v>1</v>
      </c>
      <c r="B825" s="117" t="s">
        <v>91</v>
      </c>
      <c r="C825" s="878" t="str">
        <f>IF($A825="EQUI",VLOOKUP($B825,[6]EQUI!B$16:G$149,2,FALSE),IF($A825="TRAN",VLOOKUP($B825,[6]TRAN!$B$16:$G$26,2,FALSE),IF(A825="MAT",VLOOKUP($B825,[6]MAT!$B$16:$G$83,2,FALSE),IF(A825="MDEO",VLOOKUP($B825,[6]MDEO!$B$16:$I$21,2,FALSE)))))</f>
        <v>MOTONIVELADORA</v>
      </c>
      <c r="D825" s="878"/>
      <c r="E825" s="878"/>
      <c r="F825" s="123">
        <f>IF($A825="EQUI",VLOOKUP($B825,EQUI!B$16:G$144,4,FALSE),IF($A825="TRAN",VLOOKUP($B825,TRAN!$B$16:$G$26,4,FALSE),IF($A825="MAT",VLOOKUP($B825,'MAT1'!$B$16:$G$45,4,FALSE),IF($A825="MDEO",VLOOKUP($B825,MDEO!$B$16:$P$27,4,FALSE)))))</f>
        <v>155000</v>
      </c>
      <c r="G825" s="175">
        <v>4.6012269938650305E-2</v>
      </c>
      <c r="H825" s="118">
        <f>+F825*G825</f>
        <v>7131.9018404907974</v>
      </c>
      <c r="I825" s="50"/>
      <c r="K825" s="68">
        <f>+G825*$G$822</f>
        <v>316.9325153374233</v>
      </c>
      <c r="L825" s="199"/>
    </row>
    <row r="826" spans="1:12" s="68" customFormat="1" ht="9.75" customHeight="1" x14ac:dyDescent="0.2">
      <c r="A826" s="92" t="s">
        <v>1</v>
      </c>
      <c r="B826" s="117" t="s">
        <v>432</v>
      </c>
      <c r="C826" s="878" t="str">
        <f>IF($A826="EQUI",VLOOKUP($B826,[6]EQUI!B$16:G$149,2,FALSE),IF($A826="TRAN",VLOOKUP($B826,[6]TRAN!$B$16:$G$26,2,FALSE),IF(A826="MAT",VLOOKUP($B826,[6]MAT!$B$16:$G$83,2,FALSE),IF(A826="MDEO",VLOOKUP($B826,[6]MDEO!$B$16:$I$21,2,FALSE)))))</f>
        <v>VIBROCOMPACTADOR  (15 TON)</v>
      </c>
      <c r="D826" s="878"/>
      <c r="E826" s="878"/>
      <c r="F826" s="123">
        <f>IF($A826="EQUI",VLOOKUP($B826,EQUI!B$16:G$144,4,FALSE),IF($A826="TRAN",VLOOKUP($B826,TRAN!$B$16:$G$26,4,FALSE),IF($A826="MAT",VLOOKUP($B826,'MAT1'!$B$16:$G$45,4,FALSE),IF($A826="MDEO",VLOOKUP($B826,MDEO!$B$16:$P$27,4,FALSE)))))</f>
        <v>127302</v>
      </c>
      <c r="G826" s="175">
        <v>4.6012269938650305E-2</v>
      </c>
      <c r="H826" s="118">
        <f>+F826*G826</f>
        <v>5857.4539877300613</v>
      </c>
      <c r="I826" s="50"/>
      <c r="K826" s="68">
        <f t="shared" ref="K826:K831" si="0">+G826*$G$822</f>
        <v>316.9325153374233</v>
      </c>
      <c r="L826" s="199"/>
    </row>
    <row r="827" spans="1:12" s="68" customFormat="1" ht="9.75" customHeight="1" x14ac:dyDescent="0.2">
      <c r="A827" s="92" t="s">
        <v>1</v>
      </c>
      <c r="B827" s="117" t="s">
        <v>435</v>
      </c>
      <c r="C827" s="878" t="str">
        <f>IF($A827="EQUI",VLOOKUP($B827,[6]EQUI!B$16:G$149,2,FALSE),IF($A827="TRAN",VLOOKUP($B827,[6]TRAN!$B$16:$G$26,2,FALSE),IF(A827="MAT",VLOOKUP($B827,[6]MAT!$B$16:$G$83,2,FALSE),IF(A827="MDEO",VLOOKUP($B827,[6]MDEO!$B$16:$I$21,2,FALSE)))))</f>
        <v>CARROTANQUE DE AGUA 10000 LITROS</v>
      </c>
      <c r="D827" s="878"/>
      <c r="E827" s="878"/>
      <c r="F827" s="123">
        <f>IF($A827="EQUI",VLOOKUP($B827,EQUI!B$16:G$144,4,FALSE),IF($A827="TRAN",VLOOKUP($B827,TRAN!$B$16:$G$26,4,FALSE),IF($A827="MAT",VLOOKUP($B827,'MAT1'!$B$16:$G$45,4,FALSE),IF($A827="MDEO",VLOOKUP($B827,MDEO!$B$16:$P$27,4,FALSE)))))</f>
        <v>90000</v>
      </c>
      <c r="G827" s="175">
        <v>4.6012269938650305E-2</v>
      </c>
      <c r="H827" s="118">
        <f>+F827*G827</f>
        <v>4141.1042944785277</v>
      </c>
      <c r="I827" s="50"/>
      <c r="K827" s="68">
        <f t="shared" si="0"/>
        <v>316.9325153374233</v>
      </c>
      <c r="L827" s="199"/>
    </row>
    <row r="828" spans="1:12" s="68" customFormat="1" ht="9.75" customHeight="1" x14ac:dyDescent="0.2">
      <c r="A828" s="49"/>
      <c r="B828" s="115"/>
      <c r="C828" s="115"/>
      <c r="D828" s="115"/>
      <c r="E828" s="115"/>
      <c r="F828" s="120" t="s">
        <v>32</v>
      </c>
      <c r="G828" s="121" t="str">
        <f>+B821</f>
        <v>3.4</v>
      </c>
      <c r="H828" s="121" t="s">
        <v>331</v>
      </c>
      <c r="I828" s="48">
        <f>SUM(H825:H827)</f>
        <v>17130.460122699384</v>
      </c>
      <c r="L828" s="199"/>
    </row>
    <row r="829" spans="1:12" s="68" customFormat="1" ht="9.75" customHeight="1" x14ac:dyDescent="0.2">
      <c r="A829" s="47" t="s">
        <v>34</v>
      </c>
      <c r="B829" s="3"/>
      <c r="C829" s="115"/>
      <c r="D829" s="115"/>
      <c r="E829" s="115"/>
      <c r="F829" s="115"/>
      <c r="G829" s="115"/>
      <c r="H829" s="115"/>
      <c r="I829" s="50"/>
      <c r="L829" s="199"/>
    </row>
    <row r="830" spans="1:12" s="68" customFormat="1" ht="9.75" customHeight="1" x14ac:dyDescent="0.2">
      <c r="A830" s="879" t="s">
        <v>35</v>
      </c>
      <c r="B830" s="868"/>
      <c r="C830" s="868"/>
      <c r="D830" s="868"/>
      <c r="E830" s="116" t="s">
        <v>12</v>
      </c>
      <c r="F830" s="116" t="s">
        <v>36</v>
      </c>
      <c r="G830" s="116" t="s">
        <v>37</v>
      </c>
      <c r="H830" s="116" t="s">
        <v>38</v>
      </c>
      <c r="I830" s="50"/>
      <c r="L830" s="199"/>
    </row>
    <row r="831" spans="1:12" s="68" customFormat="1" ht="9.75" customHeight="1" x14ac:dyDescent="0.2">
      <c r="A831" s="92" t="s">
        <v>522</v>
      </c>
      <c r="B831" s="117" t="s">
        <v>134</v>
      </c>
      <c r="C831" s="878" t="str">
        <f>IF($A831="EQUI",VLOOKUP($B831,EQUI!B$16:G$35,2,FALSE),IF($A831="TRAN",VLOOKUP($B831,TRAN!$B$16:$G$26,2,FALSE),IF($A831="MAT1",VLOOKUP($B831,'MAT1'!$B$16:$G$43,2,FALSE),IF($A831="MAT2",VLOOKUP($B831,'MAT2'!$B$16:$G$65,2,FALSE),IF($A831="MDEO",VLOOKUP($B831,MDEO!$B$16:$P$27,2,FALSE))))))</f>
        <v>agua</v>
      </c>
      <c r="D831" s="878"/>
      <c r="E831" s="123" t="str">
        <f>IF($A831="EQUI",VLOOKUP($B831,EQUI!B$16:G$35,3,FALSE),IF($A831="TRAN",VLOOKUP($B831,TRAN!$B$16:$G$26,3,FALSE),IF($A831="MAT1",VLOOKUP($B831,'MAT1'!$B$16:$G$43,3,FALSE),IF($A831="MAT2",VLOOKUP($B831,'MAT2'!$B$16:$G$55,3,FALSE),IF($A831="MDEO",VLOOKUP($B831,MDEO!$B$16:$P$27,3,FALSE))))))</f>
        <v>M3</v>
      </c>
      <c r="F831" s="123">
        <f>IF($A831="EQUI",VLOOKUP($B831,EQUI!B$16:G$35,4,FALSE),IF($A831="TRAN",VLOOKUP($B831,TRAN!$B$16:$G$26,4,FALSE),IF($A831="MAT1",VLOOKUP($B831,'MAT1'!$B$16:$G$43,4,FALSE),IF($A831="MAT2",VLOOKUP($B831,'MAT2'!$B$16:$G$53,4,FALSE),IF($A831="MDEO",VLOOKUP($B831,MDEO!$B$16:$P$27,4,FALSE))))))</f>
        <v>2750</v>
      </c>
      <c r="G831" s="115">
        <v>0.2</v>
      </c>
      <c r="H831" s="118">
        <f>+F831*G831</f>
        <v>550</v>
      </c>
      <c r="I831" s="50"/>
      <c r="K831" s="68">
        <f t="shared" si="0"/>
        <v>1377.6000000000001</v>
      </c>
      <c r="L831" s="199"/>
    </row>
    <row r="832" spans="1:12" s="68" customFormat="1" ht="9.75" customHeight="1" x14ac:dyDescent="0.2">
      <c r="A832" s="92" t="s">
        <v>523</v>
      </c>
      <c r="B832" s="117" t="s">
        <v>525</v>
      </c>
      <c r="C832" s="878" t="str">
        <f>IF($A832="EQUI",VLOOKUP($B832,EQUI!B$16:G$35,2,FALSE),IF($A832="TRAN",VLOOKUP($B832,TRAN!$B$16:$G$26,2,FALSE),IF($A832="MAT1",VLOOKUP($B832,'MAT1'!$B$16:$G$43,2,FALSE),IF($A832="MAT2",VLOOKUP($B832,'MAT2'!$B$16:$G$55,2,FALSE),IF($A832="MDEO",VLOOKUP($B832,MDEO!$B$16:$P$27,2,FALSE))))))</f>
        <v xml:space="preserve">Subbase granular </v>
      </c>
      <c r="D832" s="878"/>
      <c r="E832" s="123" t="str">
        <f>IF($A832="EQUI",VLOOKUP($B832,EQUI!B$16:G$35,3,FALSE),IF($A832="TRAN",VLOOKUP($B832,TRAN!$B$16:$G$26,3,FALSE),IF($A832="MAT1",VLOOKUP($B832,'MAT1'!$B$16:$G$43,3,FALSE),IF($A832="MAT2",VLOOKUP($B832,'MAT2'!$B$16:$G$55,3,FALSE),IF($A832="MDEO",VLOOKUP($B832,MDEO!$B$16:$P$27,3,FALSE))))))</f>
        <v>M3</v>
      </c>
      <c r="F832" s="123">
        <f>IF($A832="EQUI",VLOOKUP($B832,EQUI!B$16:G$35,4,FALSE),IF($A832="TRAN",VLOOKUP($B832,TRAN!$B$16:$G$26,4,FALSE),IF($A832="MAT1",VLOOKUP($B832,'MAT1'!$B$16:$G$43,4,FALSE),IF($A832="MAT2",VLOOKUP($B832,'MAT2'!$B$16:$G$53,4,FALSE),IF($A832="MDEO",VLOOKUP($B832,MDEO!$B$16:$P$27,4,FALSE))))))</f>
        <v>39000</v>
      </c>
      <c r="G832" s="115">
        <f>1.25*0.6</f>
        <v>0.75</v>
      </c>
      <c r="H832" s="118">
        <f>+F832*G832</f>
        <v>29250</v>
      </c>
      <c r="I832" s="50"/>
      <c r="K832" s="188">
        <f>+G832*$G$822</f>
        <v>5166</v>
      </c>
      <c r="L832" s="199"/>
    </row>
    <row r="833" spans="1:12" s="68" customFormat="1" ht="9.75" customHeight="1" x14ac:dyDescent="0.2">
      <c r="A833" s="92" t="s">
        <v>523</v>
      </c>
      <c r="B833" s="117" t="s">
        <v>137</v>
      </c>
      <c r="C833" s="878" t="str">
        <f>IF($A833="EQUI",VLOOKUP($B833,EQUI!B$16:G$35,2,FALSE),IF($A833="TRAN",VLOOKUP($B833,TRAN!$B$16:$G$26,2,FALSE),IF($A833="MAT1",VLOOKUP($B833,'MAT1'!$B$16:$G$43,2,FALSE),IF($A833="MAT2",VLOOKUP($B833,'MAT2'!$B$16:$G$55,2,FALSE),IF($A833="MDEO",VLOOKUP($B833,MDEO!$B$16:$P$27,2,FALSE))))))</f>
        <v>Cemento gris</v>
      </c>
      <c r="D833" s="878"/>
      <c r="E833" s="123" t="str">
        <f>IF($A833="EQUI",VLOOKUP($B833,EQUI!B$16:G$35,3,FALSE),IF($A833="TRAN",VLOOKUP($B833,TRAN!$B$16:$G$26,3,FALSE),IF($A833="MAT1",VLOOKUP($B833,'MAT1'!$B$16:$G$43,3,FALSE),IF($A833="MAT2",VLOOKUP($B833,'MAT2'!$B$16:$G$55,3,FALSE),IF($A833="MDEO",VLOOKUP($B833,MDEO!$B$16:$P$27,3,FALSE))))))</f>
        <v>SACO</v>
      </c>
      <c r="F833" s="123">
        <f>IF($A833="EQUI",VLOOKUP($B833,EQUI!B$16:G$35,4,FALSE),IF($A833="TRAN",VLOOKUP($B833,TRAN!$B$16:$G$26,4,FALSE),IF($A833="MAT1",VLOOKUP($B833,'MAT1'!$B$16:$G$43,4,FALSE),IF($A833="MAT2",VLOOKUP($B833,'MAT2'!$B$16:$G$53,4,FALSE),IF($A833="MDEO",VLOOKUP($B833,MDEO!$B$16:$P$27,4,FALSE))))))</f>
        <v>32700</v>
      </c>
      <c r="G833" s="115">
        <v>1</v>
      </c>
      <c r="H833" s="118">
        <f>+F833*G833</f>
        <v>32700</v>
      </c>
      <c r="I833" s="50"/>
      <c r="K833" s="188">
        <f>+G833*$G$822</f>
        <v>6888</v>
      </c>
      <c r="L833" s="199"/>
    </row>
    <row r="834" spans="1:12" s="68" customFormat="1" ht="9.75" customHeight="1" x14ac:dyDescent="0.2">
      <c r="A834" s="49"/>
      <c r="B834" s="115"/>
      <c r="C834" s="115"/>
      <c r="D834" s="115"/>
      <c r="E834" s="115"/>
      <c r="F834" s="120" t="s">
        <v>32</v>
      </c>
      <c r="G834" s="121" t="str">
        <f>+B821</f>
        <v>3.4</v>
      </c>
      <c r="H834" s="121" t="s">
        <v>332</v>
      </c>
      <c r="I834" s="48">
        <f>SUM(H831:H833)</f>
        <v>62500</v>
      </c>
      <c r="L834" s="199"/>
    </row>
    <row r="835" spans="1:12" s="68" customFormat="1" ht="9.75" customHeight="1" x14ac:dyDescent="0.2">
      <c r="A835" s="47" t="s">
        <v>15</v>
      </c>
      <c r="B835" s="3"/>
      <c r="C835" s="115"/>
      <c r="D835" s="115"/>
      <c r="E835" s="115"/>
      <c r="F835" s="115"/>
      <c r="G835" s="115"/>
      <c r="H835" s="115"/>
      <c r="I835" s="50"/>
      <c r="L835" s="199"/>
    </row>
    <row r="836" spans="1:12" s="68" customFormat="1" ht="9.75" customHeight="1" x14ac:dyDescent="0.2">
      <c r="A836" s="879" t="s">
        <v>19</v>
      </c>
      <c r="B836" s="868"/>
      <c r="C836" s="868"/>
      <c r="D836" s="116" t="s">
        <v>43</v>
      </c>
      <c r="E836" s="116" t="s">
        <v>44</v>
      </c>
      <c r="F836" s="123" t="s">
        <v>45</v>
      </c>
      <c r="G836" s="116" t="s">
        <v>17</v>
      </c>
      <c r="H836" s="116" t="s">
        <v>30</v>
      </c>
      <c r="I836" s="50"/>
      <c r="L836" s="199"/>
    </row>
    <row r="837" spans="1:12" s="68" customFormat="1" ht="9.75" customHeight="1" x14ac:dyDescent="0.2">
      <c r="A837" s="51" t="s">
        <v>3</v>
      </c>
      <c r="B837" s="117" t="s">
        <v>171</v>
      </c>
      <c r="C837" s="133" t="str">
        <f>IF($A837="EQUI",VLOOKUP($B837,[6]EQUI!B$16:G$46,2,FALSE),IF($A837="TRAN",VLOOKUP($B837,[6]TRAN!$B$16:$G$26,2,FALSE),IF(A837="MAT",VLOOKUP($B837,[6]MAT!$B$16:$G$83,2,FALSE),IF(A837="MDEO",VLOOKUP($B837,[6]MDEO!$B$16:$I$21,2,FALSE)))))</f>
        <v>TRANS MATERIAL &gt; 10 KM</v>
      </c>
      <c r="D837" s="123">
        <f>+G831</f>
        <v>0.2</v>
      </c>
      <c r="E837" s="123">
        <v>55</v>
      </c>
      <c r="F837" s="123">
        <f>+E837*D837</f>
        <v>11</v>
      </c>
      <c r="G837" s="116">
        <f>IF($A837="EQUI",VLOOKUP($B837,[6]EQUI!B$16:G$46,4,FALSE),IF($A837="TRAN",VLOOKUP($B837,[6]TRAN!$B$16:$G$26,4,FALSE),IF($A837="MAT",VLOOKUP($B837,[6]MAT!$B$16:$G$83,4,FALSE),IF($A837="MDEO",VLOOKUP($B837,[6]MDEO!$B$16:$I$21,4,FALSE)))))</f>
        <v>980</v>
      </c>
      <c r="H837" s="118">
        <f>+F837*G837</f>
        <v>10780</v>
      </c>
      <c r="I837" s="50"/>
      <c r="L837" s="199"/>
    </row>
    <row r="838" spans="1:12" s="86" customFormat="1" ht="12.75" customHeight="1" x14ac:dyDescent="0.3">
      <c r="A838" s="51" t="s">
        <v>3</v>
      </c>
      <c r="B838" s="117" t="s">
        <v>166</v>
      </c>
      <c r="C838" s="139" t="str">
        <f>IF($A838="EQUI",VLOOKUP($B838,[6]EQUI!B$16:G$46,2,FALSE),IF($A838="TRAN",VLOOKUP($B838,[6]TRAN!$B$16:$G$26,2,FALSE),IF(A838="MAT",VLOOKUP($B838,[6]MAT!$B$16:$G$83,2,FALSE),IF(A838="MDEO",VLOOKUP($B838,[6]MDEO!$B$16:$I$21,2,FALSE)))))</f>
        <v>TRANS AGUA 0-5KM</v>
      </c>
      <c r="D838" s="123">
        <f>+G831</f>
        <v>0.2</v>
      </c>
      <c r="E838" s="123">
        <v>5</v>
      </c>
      <c r="F838" s="123">
        <f>+E838*D838</f>
        <v>1</v>
      </c>
      <c r="G838" s="116">
        <f>IF($A838="EQUI",VLOOKUP($B838,[6]EQUI!B$16:G$46,4,FALSE),IF($A838="TRAN",VLOOKUP($B838,[6]TRAN!$B$16:$G$26,4,FALSE),IF($A838="MAT",VLOOKUP($B838,[6]MAT!$B$16:$G$83,4,FALSE),IF($A838="MDEO",VLOOKUP($B838,[6]MDEO!$B$16:$I$21,4,FALSE)))))</f>
        <v>1095</v>
      </c>
      <c r="H838" s="146">
        <f>+F838*G838</f>
        <v>1095</v>
      </c>
      <c r="I838" s="95"/>
      <c r="L838" s="201"/>
    </row>
    <row r="839" spans="1:12" s="68" customFormat="1" ht="9.75" customHeight="1" x14ac:dyDescent="0.2">
      <c r="A839" s="49"/>
      <c r="B839" s="115"/>
      <c r="C839" s="115"/>
      <c r="D839" s="115"/>
      <c r="E839" s="115"/>
      <c r="F839" s="120" t="s">
        <v>32</v>
      </c>
      <c r="G839" s="121" t="str">
        <f>+B821</f>
        <v>3.4</v>
      </c>
      <c r="H839" s="121" t="s">
        <v>333</v>
      </c>
      <c r="I839" s="48">
        <f>SUM(H837:H838)</f>
        <v>11875</v>
      </c>
      <c r="L839" s="199"/>
    </row>
    <row r="840" spans="1:12" s="68" customFormat="1" ht="9.75" customHeight="1" x14ac:dyDescent="0.2">
      <c r="A840" s="47"/>
      <c r="B840" s="3"/>
      <c r="C840" s="115"/>
      <c r="D840" s="115"/>
      <c r="E840" s="115"/>
      <c r="F840" s="115"/>
      <c r="G840" s="115"/>
      <c r="H840" s="115"/>
      <c r="I840" s="50"/>
      <c r="L840" s="199"/>
    </row>
    <row r="841" spans="1:12" s="68" customFormat="1" ht="9.75" customHeight="1" x14ac:dyDescent="0.2">
      <c r="A841" s="895" t="s">
        <v>18</v>
      </c>
      <c r="B841" s="874"/>
      <c r="C841" s="874"/>
      <c r="D841" s="123" t="s">
        <v>48</v>
      </c>
      <c r="E841" s="123" t="s">
        <v>109</v>
      </c>
      <c r="F841" s="124" t="s">
        <v>250</v>
      </c>
      <c r="G841" s="124" t="s">
        <v>251</v>
      </c>
      <c r="H841" s="123" t="s">
        <v>252</v>
      </c>
      <c r="I841" s="52"/>
      <c r="L841" s="199"/>
    </row>
    <row r="842" spans="1:12" s="68" customFormat="1" ht="9.75" customHeight="1" x14ac:dyDescent="0.2">
      <c r="A842" s="51" t="s">
        <v>4</v>
      </c>
      <c r="B842" s="131" t="s">
        <v>175</v>
      </c>
      <c r="C842" s="126" t="str">
        <f>IF($A842="EQUI",VLOOKUP($B842,[6]EQUI!B$16:G$46,2,FALSE),IF($A842="TRAN",VLOOKUP($B842,[6]TRAN!$B$16:$G$26,2,FALSE),IF($A842="MAT",VLOOKUP($B842,[6]MAT!$B$16:$G$83,2,FALSE),IF($A842="MDEO",VLOOKUP($B842,MDEO!$B$16:$P$33,2,FALSE)))))</f>
        <v xml:space="preserve">oficial </v>
      </c>
      <c r="D842" s="31">
        <f>IF($A842="EQUI",VLOOKUP($B842,[6]EQUI!B$16:G$46,3,FALSE),IF($A842="TRAN",VLOOKUP($B842,[6]TRAN!$B$16:$G$26,3,FALSE),IF($A842="MAT",VLOOKUP($B842,[6]MAT!$B$16:$G$83,3,FALSE),IF($A842="MDEO",VLOOKUP($B842,MDEO!$B$16:$P$33,3,FALSE)))))</f>
        <v>4833.333333333333</v>
      </c>
      <c r="E842" s="127"/>
      <c r="F842" s="32">
        <f>+D842+D842*E842</f>
        <v>4833.333333333333</v>
      </c>
      <c r="G842" s="175">
        <v>4.6012269938650305E-2</v>
      </c>
      <c r="H842" s="128">
        <f>G842*F842</f>
        <v>222.39263803680979</v>
      </c>
      <c r="I842" s="50"/>
      <c r="K842" s="68">
        <f>+G842*$G$822</f>
        <v>316.9325153374233</v>
      </c>
      <c r="L842" s="199"/>
    </row>
    <row r="843" spans="1:12" s="68" customFormat="1" ht="9.75" customHeight="1" x14ac:dyDescent="0.2">
      <c r="A843" s="51" t="s">
        <v>4</v>
      </c>
      <c r="B843" s="131" t="s">
        <v>178</v>
      </c>
      <c r="C843" s="126" t="str">
        <f>IF($A843="EQUI",VLOOKUP($B843,[6]EQUI!B$16:G$46,2,FALSE),IF($A843="TRAN",VLOOKUP($B843,[6]TRAN!$B$16:$G$26,2,FALSE),IF($A843="MAT",VLOOKUP($B843,[6]MAT!$B$16:$G$83,2,FALSE),IF($A843="MDEO",VLOOKUP($B843,MDEO!$B$16:$P$33,2,FALSE)))))</f>
        <v>contra maestro</v>
      </c>
      <c r="D843" s="31">
        <f>IF($A843="EQUI",VLOOKUP($B843,[6]EQUI!B$16:G$46,3,FALSE),IF($A843="TRAN",VLOOKUP($B843,[6]TRAN!$B$16:$G$26,3,FALSE),IF($A843="MAT",VLOOKUP($B843,[6]MAT!$B$16:$G$83,3,FALSE),IF($A843="MDEO",VLOOKUP($B843,MDEO!$B$16:$P$33,3,FALSE)))))</f>
        <v>5208.333333333333</v>
      </c>
      <c r="E843" s="127"/>
      <c r="F843" s="32">
        <f>+D843+D843*E843</f>
        <v>5208.333333333333</v>
      </c>
      <c r="G843" s="175">
        <f>+G842*0.1</f>
        <v>4.601226993865031E-3</v>
      </c>
      <c r="H843" s="128">
        <f>G843*F843</f>
        <v>23.964723926380369</v>
      </c>
      <c r="I843" s="50"/>
      <c r="K843" s="68">
        <f>+G843*$G$822</f>
        <v>31.693251533742334</v>
      </c>
      <c r="L843" s="199"/>
    </row>
    <row r="844" spans="1:12" s="68" customFormat="1" ht="9.75" customHeight="1" x14ac:dyDescent="0.2">
      <c r="A844" s="51" t="s">
        <v>4</v>
      </c>
      <c r="B844" s="131" t="s">
        <v>177</v>
      </c>
      <c r="C844" s="126" t="str">
        <f>IF($A844="EQUI",VLOOKUP($B844,[6]EQUI!B$16:G$46,2,FALSE),IF($A844="TRAN",VLOOKUP($B844,[6]TRAN!$B$16:$G$26,2,FALSE),IF($A844="MAT",VLOOKUP($B844,[6]MAT!$B$16:$G$83,2,FALSE),IF($A844="MDEO",VLOOKUP($B844,MDEO!$B$16:$P$33,2,FALSE)))))</f>
        <v xml:space="preserve">ayudante </v>
      </c>
      <c r="D844" s="31">
        <f>IF($A844="EQUI",VLOOKUP($B844,[6]EQUI!B$16:G$46,3,FALSE),IF($A844="TRAN",VLOOKUP($B844,[6]TRAN!$B$16:$G$26,3,FALSE),IF($A844="MAT",VLOOKUP($B844,[6]MAT!$B$16:$G$83,3,FALSE),IF($A844="MDEO",VLOOKUP($B844,MDEO!$B$16:$P$33,3,FALSE)))))</f>
        <v>4833.333333333333</v>
      </c>
      <c r="E844" s="127"/>
      <c r="F844" s="32">
        <f>+D844+D844*E844</f>
        <v>4833.333333333333</v>
      </c>
      <c r="G844" s="175">
        <v>4.6012269938650305E-2</v>
      </c>
      <c r="H844" s="128">
        <f>G844*F844</f>
        <v>222.39263803680979</v>
      </c>
      <c r="I844" s="50"/>
      <c r="K844" s="68">
        <f>+G844*$G$822</f>
        <v>316.9325153374233</v>
      </c>
      <c r="L844" s="199"/>
    </row>
    <row r="845" spans="1:12" s="68" customFormat="1" ht="9.75" customHeight="1" x14ac:dyDescent="0.2">
      <c r="A845" s="51" t="s">
        <v>4</v>
      </c>
      <c r="B845" s="131" t="s">
        <v>50</v>
      </c>
      <c r="C845" s="126" t="str">
        <f>IF($A845="EQUI",VLOOKUP($B845,[6]EQUI!B$16:G$46,2,FALSE),IF($A845="TRAN",VLOOKUP($B845,[6]TRAN!$B$16:$G$26,2,FALSE),IF($A845="MAT",VLOOKUP($B845,[6]MAT!$B$16:$G$83,2,FALSE),IF($A845="MDEO",VLOOKUP($B845,MDEO!$B$16:$P$33,2,FALSE)))))</f>
        <v>topógrafo</v>
      </c>
      <c r="D845" s="31">
        <f>IF($A845="EQUI",VLOOKUP($B845,[6]EQUI!B$16:G$46,3,FALSE),IF($A845="TRAN",VLOOKUP($B845,[6]TRAN!$B$16:$G$26,3,FALSE),IF($A845="MAT",VLOOKUP($B845,[6]MAT!$B$16:$G$83,3,FALSE),IF($A845="MDEO",VLOOKUP($B845,MDEO!$B$16:$P$33,3,FALSE)))))</f>
        <v>6250</v>
      </c>
      <c r="E845" s="127"/>
      <c r="F845" s="32">
        <f>+D845+D845*E845</f>
        <v>6250</v>
      </c>
      <c r="G845" s="175">
        <v>4.6012269938650305E-2</v>
      </c>
      <c r="H845" s="128">
        <f>G845*F845</f>
        <v>287.57668711656441</v>
      </c>
      <c r="I845" s="50"/>
      <c r="K845" s="68">
        <f>+G845*$G$822</f>
        <v>316.9325153374233</v>
      </c>
      <c r="L845" s="199"/>
    </row>
    <row r="846" spans="1:12" s="68" customFormat="1" ht="9.75" customHeight="1" x14ac:dyDescent="0.2">
      <c r="A846" s="51" t="s">
        <v>4</v>
      </c>
      <c r="B846" s="131" t="s">
        <v>51</v>
      </c>
      <c r="C846" s="126" t="str">
        <f>IF($A846="EQUI",VLOOKUP($B846,[6]EQUI!B$16:G$46,2,FALSE),IF($A846="TRAN",VLOOKUP($B846,[6]TRAN!$B$16:$G$26,2,FALSE),IF($A846="MAT",VLOOKUP($B846,[6]MAT!$B$16:$G$83,2,FALSE),IF($A846="MDEO",VLOOKUP($B846,MDEO!$B$16:$P$33,2,FALSE)))))</f>
        <v>cadenero 1</v>
      </c>
      <c r="D846" s="31">
        <f>IF($A846="EQUI",VLOOKUP($B846,[6]EQUI!B$16:G$46,3,FALSE),IF($A846="TRAN",VLOOKUP($B846,[6]TRAN!$B$16:$G$26,3,FALSE),IF($A846="MAT",VLOOKUP($B846,[6]MAT!$B$16:$G$83,3,FALSE),IF($A846="MDEO",VLOOKUP($B846,MDEO!$B$16:$P$33,3,FALSE)))))</f>
        <v>5208.333333333333</v>
      </c>
      <c r="E846" s="127"/>
      <c r="F846" s="32">
        <f>+D846+D846*E846</f>
        <v>5208.333333333333</v>
      </c>
      <c r="G846" s="175">
        <v>4.6012269938650305E-2</v>
      </c>
      <c r="H846" s="128">
        <f>G846*F846</f>
        <v>239.64723926380367</v>
      </c>
      <c r="I846" s="50"/>
      <c r="K846" s="68">
        <f>+G846*$G$822</f>
        <v>316.9325153374233</v>
      </c>
      <c r="L846" s="199"/>
    </row>
    <row r="847" spans="1:12" s="68" customFormat="1" ht="9.75" customHeight="1" x14ac:dyDescent="0.2">
      <c r="A847" s="49"/>
      <c r="B847" s="115"/>
      <c r="C847" s="115"/>
      <c r="D847" s="115"/>
      <c r="E847" s="115"/>
      <c r="F847" s="120" t="s">
        <v>32</v>
      </c>
      <c r="G847" s="121" t="str">
        <f>+B821</f>
        <v>3.4</v>
      </c>
      <c r="H847" s="120" t="s">
        <v>334</v>
      </c>
      <c r="I847" s="48">
        <f>SUM(H842:H846)</f>
        <v>995.97392638036808</v>
      </c>
      <c r="L847" s="199"/>
    </row>
    <row r="848" spans="1:12" s="68" customFormat="1" ht="9.75" customHeight="1" x14ac:dyDescent="0.2">
      <c r="A848" s="49" t="s">
        <v>54</v>
      </c>
      <c r="B848" s="115"/>
      <c r="C848" s="115"/>
      <c r="D848" s="115"/>
      <c r="E848" s="115"/>
      <c r="F848" s="115"/>
      <c r="G848" s="115"/>
      <c r="H848" s="116"/>
      <c r="I848" s="48">
        <f>I847*0.05</f>
        <v>49.798696319018404</v>
      </c>
      <c r="L848" s="199"/>
    </row>
    <row r="849" spans="1:12" s="68" customFormat="1" ht="9.75" customHeight="1" x14ac:dyDescent="0.2">
      <c r="A849" s="49"/>
      <c r="B849" s="115"/>
      <c r="C849" s="115"/>
      <c r="D849" s="115"/>
      <c r="E849" s="115"/>
      <c r="F849" s="120" t="s">
        <v>55</v>
      </c>
      <c r="G849" s="116"/>
      <c r="H849" s="116"/>
      <c r="I849" s="48">
        <f>ROUND(I847+I848+I834+I828+I839,0)</f>
        <v>92551</v>
      </c>
      <c r="L849" s="199"/>
    </row>
    <row r="850" spans="1:12" s="68" customFormat="1" ht="9.75" customHeight="1" x14ac:dyDescent="0.2">
      <c r="A850" s="879" t="s">
        <v>56</v>
      </c>
      <c r="B850" s="868"/>
      <c r="C850" s="868"/>
      <c r="D850" s="868"/>
      <c r="E850" s="868" t="s">
        <v>57</v>
      </c>
      <c r="F850" s="868"/>
      <c r="G850" s="875" t="s">
        <v>58</v>
      </c>
      <c r="H850" s="875"/>
      <c r="I850" s="48"/>
      <c r="L850" s="199"/>
    </row>
    <row r="851" spans="1:12" s="68" customFormat="1" ht="9.75" customHeight="1" x14ac:dyDescent="0.2">
      <c r="A851" s="879" t="s">
        <v>208</v>
      </c>
      <c r="B851" s="868"/>
      <c r="C851" s="868"/>
      <c r="D851" s="868"/>
      <c r="E851" s="876">
        <v>0.02</v>
      </c>
      <c r="F851" s="876"/>
      <c r="G851" s="875">
        <f>+I849*E851</f>
        <v>1851.02</v>
      </c>
      <c r="H851" s="875"/>
      <c r="I851" s="48"/>
      <c r="L851" s="199"/>
    </row>
    <row r="852" spans="1:12" s="68" customFormat="1" ht="9.75" customHeight="1" x14ac:dyDescent="0.2">
      <c r="A852" s="879" t="s">
        <v>5</v>
      </c>
      <c r="B852" s="868"/>
      <c r="C852" s="868"/>
      <c r="D852" s="868"/>
      <c r="E852" s="876">
        <v>0.23</v>
      </c>
      <c r="F852" s="876"/>
      <c r="G852" s="875">
        <f>+E852*I849</f>
        <v>21286.73</v>
      </c>
      <c r="H852" s="875"/>
      <c r="I852" s="48"/>
      <c r="L852" s="199"/>
    </row>
    <row r="853" spans="1:12" s="68" customFormat="1" ht="9.75" customHeight="1" x14ac:dyDescent="0.2">
      <c r="A853" s="879" t="s">
        <v>6</v>
      </c>
      <c r="B853" s="868"/>
      <c r="C853" s="868"/>
      <c r="D853" s="868"/>
      <c r="E853" s="876">
        <v>0.05</v>
      </c>
      <c r="F853" s="876"/>
      <c r="G853" s="875">
        <f>+E853*I849</f>
        <v>4627.55</v>
      </c>
      <c r="H853" s="875"/>
      <c r="I853" s="48"/>
      <c r="L853" s="199"/>
    </row>
    <row r="854" spans="1:12" s="68" customFormat="1" ht="9.75" customHeight="1" x14ac:dyDescent="0.2">
      <c r="A854" s="879" t="s">
        <v>207</v>
      </c>
      <c r="B854" s="868"/>
      <c r="C854" s="868"/>
      <c r="D854" s="868"/>
      <c r="E854" s="876">
        <v>0.02</v>
      </c>
      <c r="F854" s="876"/>
      <c r="G854" s="875">
        <f>+E854*I849</f>
        <v>1851.02</v>
      </c>
      <c r="H854" s="875"/>
      <c r="I854" s="48"/>
      <c r="L854" s="199"/>
    </row>
    <row r="855" spans="1:12" s="68" customFormat="1" ht="9.75" customHeight="1" x14ac:dyDescent="0.2">
      <c r="A855" s="880" t="s">
        <v>397</v>
      </c>
      <c r="B855" s="867"/>
      <c r="C855" s="867"/>
      <c r="D855" s="867"/>
      <c r="E855" s="867"/>
      <c r="F855" s="867"/>
      <c r="G855" s="867"/>
      <c r="H855" s="867"/>
      <c r="I855" s="48">
        <f>+G854+G852+G853+G851</f>
        <v>29616.32</v>
      </c>
      <c r="L855" s="199"/>
    </row>
    <row r="856" spans="1:12" s="68" customFormat="1" ht="9.75" customHeight="1" x14ac:dyDescent="0.2">
      <c r="A856" s="880" t="s">
        <v>59</v>
      </c>
      <c r="B856" s="867"/>
      <c r="C856" s="867"/>
      <c r="D856" s="867"/>
      <c r="E856" s="867"/>
      <c r="F856" s="867"/>
      <c r="G856" s="867"/>
      <c r="H856" s="867"/>
      <c r="I856" s="48">
        <f>+I855+I849</f>
        <v>122167.32</v>
      </c>
      <c r="L856" s="199"/>
    </row>
    <row r="857" spans="1:12" s="68" customFormat="1" ht="9.75" customHeight="1" x14ac:dyDescent="0.2">
      <c r="A857" s="93"/>
      <c r="B857" s="65"/>
      <c r="C857" s="65"/>
      <c r="D857" s="65"/>
      <c r="E857" s="65"/>
      <c r="F857" s="65"/>
      <c r="G857" s="65"/>
      <c r="H857" s="65"/>
      <c r="I857" s="48"/>
      <c r="L857" s="199"/>
    </row>
    <row r="858" spans="1:12" s="68" customFormat="1" ht="9.75" customHeight="1" x14ac:dyDescent="0.2">
      <c r="A858" s="881" t="s">
        <v>114</v>
      </c>
      <c r="B858" s="604"/>
      <c r="C858" s="604"/>
      <c r="D858" s="65"/>
      <c r="E858" s="65"/>
      <c r="F858" s="604" t="s">
        <v>396</v>
      </c>
      <c r="G858" s="604"/>
      <c r="H858" s="604"/>
      <c r="I858" s="894"/>
      <c r="L858" s="199"/>
    </row>
    <row r="859" spans="1:12" s="68" customFormat="1" ht="9.75" customHeight="1" x14ac:dyDescent="0.2">
      <c r="A859" s="92" t="s">
        <v>111</v>
      </c>
      <c r="B859" s="868"/>
      <c r="C859" s="868"/>
      <c r="D859" s="115"/>
      <c r="E859" s="115"/>
      <c r="F859" s="116" t="s">
        <v>111</v>
      </c>
      <c r="G859" s="868"/>
      <c r="H859" s="868"/>
      <c r="I859" s="884"/>
      <c r="L859" s="199"/>
    </row>
    <row r="860" spans="1:12" s="68" customFormat="1" ht="9.75" customHeight="1" x14ac:dyDescent="0.2">
      <c r="A860" s="147" t="s">
        <v>115</v>
      </c>
      <c r="B860" s="868" t="str">
        <f>VLOOKUP(A860,[6]INICIO!$E$6:$H$26,2,FALSE)</f>
        <v>LINA MARCELA</v>
      </c>
      <c r="C860" s="868"/>
      <c r="F860" s="45" t="s">
        <v>112</v>
      </c>
      <c r="G860" s="868"/>
      <c r="H860" s="868"/>
      <c r="I860" s="884"/>
      <c r="L860" s="199"/>
    </row>
    <row r="861" spans="1:12" s="68" customFormat="1" ht="9.75" customHeight="1" x14ac:dyDescent="0.2">
      <c r="A861" s="147" t="s">
        <v>113</v>
      </c>
      <c r="B861" s="868" t="str">
        <f>VLOOKUP(A860,[6]INICIO!$E$6:$H$26,4,FALSE)</f>
        <v>05202-316814 ANT</v>
      </c>
      <c r="C861" s="868"/>
      <c r="F861" s="45" t="s">
        <v>113</v>
      </c>
      <c r="G861" s="868"/>
      <c r="H861" s="868"/>
      <c r="I861" s="884"/>
      <c r="L861" s="199"/>
    </row>
    <row r="862" spans="1:12" s="68" customFormat="1" ht="9.75" customHeight="1" x14ac:dyDescent="0.2">
      <c r="A862" s="147"/>
      <c r="B862" s="116"/>
      <c r="C862" s="116"/>
      <c r="F862" s="45"/>
      <c r="G862" s="116"/>
      <c r="H862" s="116"/>
      <c r="I862" s="95"/>
      <c r="L862" s="199"/>
    </row>
    <row r="863" spans="1:12" s="68" customFormat="1" ht="9.75" customHeight="1" x14ac:dyDescent="0.2">
      <c r="A863" s="885" t="s">
        <v>110</v>
      </c>
      <c r="B863" s="886"/>
      <c r="C863" s="886"/>
      <c r="D863" s="886"/>
      <c r="E863" s="886"/>
      <c r="F863" s="886"/>
      <c r="G863" s="886"/>
      <c r="H863" s="886"/>
      <c r="I863" s="887"/>
      <c r="L863" s="199"/>
    </row>
    <row r="864" spans="1:12" s="68" customFormat="1" ht="9.75" customHeight="1" x14ac:dyDescent="0.2">
      <c r="A864" s="888"/>
      <c r="B864" s="889"/>
      <c r="C864" s="889"/>
      <c r="D864" s="889"/>
      <c r="E864" s="889"/>
      <c r="F864" s="889"/>
      <c r="G864" s="889"/>
      <c r="H864" s="889"/>
      <c r="I864" s="890"/>
      <c r="L864" s="199"/>
    </row>
    <row r="865" spans="1:16" s="68" customFormat="1" ht="9.75" customHeight="1" x14ac:dyDescent="0.2">
      <c r="A865" s="885"/>
      <c r="B865" s="886"/>
      <c r="C865" s="886"/>
      <c r="D865" s="886"/>
      <c r="E865" s="886"/>
      <c r="F865" s="886"/>
      <c r="G865" s="886"/>
      <c r="H865" s="886"/>
      <c r="I865" s="887"/>
      <c r="L865" s="199"/>
    </row>
    <row r="866" spans="1:16" s="68" customFormat="1" ht="12.75" customHeight="1" x14ac:dyDescent="0.2">
      <c r="A866" s="891" t="s">
        <v>68</v>
      </c>
      <c r="B866" s="892"/>
      <c r="C866" s="892"/>
      <c r="D866" s="892"/>
      <c r="E866" s="892"/>
      <c r="F866" s="892"/>
      <c r="G866" s="892"/>
      <c r="H866" s="892"/>
      <c r="I866" s="893"/>
      <c r="L866" s="199"/>
    </row>
    <row r="867" spans="1:16" s="68" customFormat="1" ht="12.75" customHeight="1" x14ac:dyDescent="0.2">
      <c r="A867" s="94" t="s">
        <v>69</v>
      </c>
      <c r="B867" s="144" t="s">
        <v>255</v>
      </c>
      <c r="C867" s="604" t="s">
        <v>70</v>
      </c>
      <c r="D867" s="868" t="str">
        <f>VLOOKUP(B867,PRESUPUESTO!$A$18:$I$87,3,FALSE)</f>
        <v>PAVIMENTO EN CONCRETO HIDRAULICO MR 39 Mpa</v>
      </c>
      <c r="E867" s="868"/>
      <c r="F867" s="868"/>
      <c r="G867" s="868"/>
      <c r="H867" s="868"/>
      <c r="I867" s="884"/>
      <c r="L867" s="199"/>
    </row>
    <row r="868" spans="1:16" s="68" customFormat="1" ht="12.75" customHeight="1" x14ac:dyDescent="0.2">
      <c r="A868" s="94" t="s">
        <v>71</v>
      </c>
      <c r="B868" s="21" t="s">
        <v>248</v>
      </c>
      <c r="C868" s="604"/>
      <c r="D868" s="123" t="s">
        <v>12</v>
      </c>
      <c r="E868" s="113" t="s">
        <v>124</v>
      </c>
      <c r="F868" s="113" t="s">
        <v>13</v>
      </c>
      <c r="G868" s="113">
        <f>VLOOKUP(B868,PRESUPUESTO!$B$15:$I$1200,5,FALSE)</f>
        <v>9134</v>
      </c>
      <c r="H868" s="145" t="s">
        <v>27</v>
      </c>
      <c r="I868" s="46">
        <f>+I904</f>
        <v>808486</v>
      </c>
      <c r="L868" s="199"/>
    </row>
    <row r="869" spans="1:16" s="68" customFormat="1" ht="12.75" customHeight="1" x14ac:dyDescent="0.2">
      <c r="A869" s="47" t="s">
        <v>14</v>
      </c>
      <c r="B869" s="3"/>
      <c r="C869" s="115"/>
      <c r="D869" s="115"/>
      <c r="E869" s="115"/>
      <c r="F869" s="115"/>
      <c r="G869" s="115"/>
      <c r="H869" s="115"/>
      <c r="I869" s="48"/>
      <c r="L869" s="199"/>
    </row>
    <row r="870" spans="1:16" s="68" customFormat="1" ht="12.75" customHeight="1" x14ac:dyDescent="0.2">
      <c r="A870" s="879" t="s">
        <v>19</v>
      </c>
      <c r="B870" s="868"/>
      <c r="C870" s="868"/>
      <c r="D870" s="868"/>
      <c r="E870" s="868"/>
      <c r="F870" s="116" t="s">
        <v>520</v>
      </c>
      <c r="G870" s="116" t="s">
        <v>29</v>
      </c>
      <c r="H870" s="116" t="s">
        <v>30</v>
      </c>
      <c r="I870" s="50"/>
      <c r="L870" s="199"/>
    </row>
    <row r="871" spans="1:16" s="68" customFormat="1" ht="12.75" customHeight="1" x14ac:dyDescent="0.2">
      <c r="A871" s="92" t="s">
        <v>1</v>
      </c>
      <c r="B871" s="117" t="s">
        <v>97</v>
      </c>
      <c r="C871" s="878" t="str">
        <f>IF($A871="EQUI",VLOOKUP($B871,EQUI!B$16:G$145,2,FALSE),IF($A871="TRAN",VLOOKUP($B871,[6]TRAN!$B$16:$G$26,2,FALSE),IF(A871="MAT",VLOOKUP($B871,[6]MAT!$B$16:$G$83,2,FALSE),IF(A871="MDEO",VLOOKUP($B871,[6]MDEO!$B$16:$I$21,2,FALSE)))))</f>
        <v>tanque de almacenamiento de agua</v>
      </c>
      <c r="D871" s="878"/>
      <c r="E871" s="878"/>
      <c r="F871" s="123">
        <f>IF($A871="EQUI",VLOOKUP($B871,EQUI!B$16:G$145,4,FALSE),IF($A871="TRAN",VLOOKUP($B871,TRAN!$B$16:$G$26,4,FALSE),IF($A871="MAT",VLOOKUP($B871,[6]MAT!$B$16:$G$83,4,FALSE),IF($A871="MDEO",VLOOKUP($B871,[6]MDEO!$B$16:$I$21,4,FALSE)))))</f>
        <v>1000</v>
      </c>
      <c r="G871" s="143">
        <v>0.3</v>
      </c>
      <c r="H871" s="118">
        <f t="shared" ref="H871:H878" si="1">+F871*G871</f>
        <v>300</v>
      </c>
      <c r="I871" s="50"/>
      <c r="J871" s="148"/>
      <c r="K871" s="68">
        <f>+G871*G868</f>
        <v>2740.2</v>
      </c>
      <c r="L871" s="199"/>
    </row>
    <row r="872" spans="1:16" s="68" customFormat="1" ht="12.75" customHeight="1" x14ac:dyDescent="0.2">
      <c r="A872" s="92" t="s">
        <v>1</v>
      </c>
      <c r="B872" s="117" t="s">
        <v>31</v>
      </c>
      <c r="C872" s="878" t="str">
        <f>IF($A872="EQUI",VLOOKUP($B872,EQUI!B$16:G$145,2,FALSE),IF($A872="TRAN",VLOOKUP($B872,[6]TRAN!$B$16:$G$26,2,FALSE),IF(A872="MAT",VLOOKUP($B872,[6]MAT!$B$16:$G$83,2,FALSE),IF(A872="MDEO",VLOOKUP($B872,[6]MDEO!$B$16:$I$21,2,FALSE)))))</f>
        <v xml:space="preserve">Nivel de precisión </v>
      </c>
      <c r="D872" s="878"/>
      <c r="E872" s="878"/>
      <c r="F872" s="123">
        <f>IF($A872="EQUI",VLOOKUP($B872,EQUI!B$16:G$145,4,FALSE),IF($A872="TRAN",VLOOKUP($B872,TRAN!$B$16:$G$26,4,FALSE),IF($A872="MAT",VLOOKUP($B872,[6]MAT!$B$16:$G$83,4,FALSE),IF($A872="MDEO",VLOOKUP($B872,[6]MDEO!$B$16:$I$21,4,FALSE)))))</f>
        <v>25000</v>
      </c>
      <c r="G872" s="143">
        <f>1/20</f>
        <v>0.05</v>
      </c>
      <c r="H872" s="118">
        <f t="shared" si="1"/>
        <v>1250</v>
      </c>
      <c r="I872" s="50"/>
      <c r="J872" s="148"/>
      <c r="L872" s="199"/>
    </row>
    <row r="873" spans="1:16" s="68" customFormat="1" ht="12.75" customHeight="1" x14ac:dyDescent="0.2">
      <c r="A873" s="92" t="s">
        <v>1</v>
      </c>
      <c r="B873" s="117" t="s">
        <v>79</v>
      </c>
      <c r="C873" s="878" t="str">
        <f>IF($A873="EQUI",VLOOKUP($B873,EQUI!B$16:G$145,2,FALSE),IF($A873="TRAN",VLOOKUP($B873,[6]TRAN!$B$16:$G$26,2,FALSE),IF(A873="MAT",VLOOKUP($B873,[6]MAT!$B$16:$G$83,2,FALSE),IF(A873="MDEO",VLOOKUP($B873,[6]MDEO!$B$16:$I$21,2,FALSE)))))</f>
        <v>Equipo de pavimento (flota y rastrillo)</v>
      </c>
      <c r="D873" s="878"/>
      <c r="E873" s="878"/>
      <c r="F873" s="123">
        <f>IF($A873="EQUI",VLOOKUP($B873,EQUI!B$16:G$145,4,FALSE),IF($A873="TRAN",VLOOKUP($B873,TRAN!$B$16:$G$26,4,FALSE),IF($A873="MAT",VLOOKUP($B873,[6]MAT!$B$16:$G$83,4,FALSE),IF($A873="MDEO",VLOOKUP($B873,[6]MDEO!$B$16:$I$21,4,FALSE)))))</f>
        <v>1500</v>
      </c>
      <c r="G873" s="143">
        <f>1/20*8</f>
        <v>0.4</v>
      </c>
      <c r="H873" s="118">
        <f t="shared" si="1"/>
        <v>600</v>
      </c>
      <c r="I873" s="50"/>
      <c r="J873" s="148"/>
      <c r="L873" s="199"/>
    </row>
    <row r="874" spans="1:16" s="68" customFormat="1" ht="12.75" customHeight="1" x14ac:dyDescent="0.2">
      <c r="A874" s="92" t="s">
        <v>1</v>
      </c>
      <c r="B874" s="117" t="s">
        <v>98</v>
      </c>
      <c r="C874" s="878" t="str">
        <f>IF($A874="EQUI",VLOOKUP($B874,EQUI!B$16:G$145,2,FALSE),IF($A874="TRAN",VLOOKUP($B874,[6]TRAN!$B$16:$G$26,2,FALSE),IF(A874="MAT",VLOOKUP($B874,[6]MAT!$B$16:$G$83,2,FALSE),IF(A874="MDEO",VLOOKUP($B874,[6]MDEO!$B$16:$I$21,2,FALSE)))))</f>
        <v>vibrador de aguja</v>
      </c>
      <c r="D874" s="878"/>
      <c r="E874" s="878"/>
      <c r="F874" s="123">
        <f>IF($A874="EQUI",VLOOKUP($B874,EQUI!B$16:G$145,4,FALSE),IF($A874="TRAN",VLOOKUP($B874,TRAN!$B$16:$G$26,4,FALSE),IF($A874="MAT",VLOOKUP($B874,[6]MAT!$B$16:$G$83,4,FALSE),IF($A874="MDEO",VLOOKUP($B874,[6]MDEO!$B$16:$I$21,4,FALSE)))))</f>
        <v>4375</v>
      </c>
      <c r="G874" s="143">
        <f>1/20*8</f>
        <v>0.4</v>
      </c>
      <c r="H874" s="118">
        <f t="shared" si="1"/>
        <v>1750</v>
      </c>
      <c r="I874" s="50"/>
      <c r="J874" s="148"/>
      <c r="L874" s="199"/>
    </row>
    <row r="875" spans="1:16" s="68" customFormat="1" ht="12.75" customHeight="1" x14ac:dyDescent="0.2">
      <c r="A875" s="92" t="s">
        <v>1</v>
      </c>
      <c r="B875" s="117" t="s">
        <v>87</v>
      </c>
      <c r="C875" s="878" t="str">
        <f>IF($A875="EQUI",VLOOKUP($B875,EQUI!B$16:G$145,2,FALSE),IF($A875="TRAN",VLOOKUP($B875,[6]TRAN!$B$16:$G$26,2,FALSE),IF(A875="MAT",VLOOKUP($B875,[6]MAT!$B$16:$G$83,2,FALSE),IF(A875="MDEO",VLOOKUP($B875,[6]MDEO!$B$16:$I$21,2,FALSE)))))</f>
        <v>formaleta metálica para pavimento</v>
      </c>
      <c r="D875" s="878"/>
      <c r="E875" s="878"/>
      <c r="F875" s="123">
        <f>IF($A875="EQUI",VLOOKUP($B875,EQUI!B$16:G$145,4,FALSE),IF($A875="TRAN",VLOOKUP($B875,TRAN!$B$16:$G$26,4,FALSE),IF($A875="MAT",VLOOKUP($B875,[6]MAT!$B$16:$G$83,4,FALSE),IF($A875="MDEO",VLOOKUP($B875,[6]MDEO!$B$16:$I$21,4,FALSE)))))</f>
        <v>1100</v>
      </c>
      <c r="G875" s="143">
        <f>1/20*8</f>
        <v>0.4</v>
      </c>
      <c r="H875" s="118">
        <f t="shared" si="1"/>
        <v>440</v>
      </c>
      <c r="I875" s="50"/>
      <c r="J875" s="148"/>
      <c r="L875" s="199"/>
    </row>
    <row r="876" spans="1:16" s="68" customFormat="1" ht="12.75" customHeight="1" x14ac:dyDescent="0.2">
      <c r="A876" s="92" t="s">
        <v>1</v>
      </c>
      <c r="B876" s="117" t="s">
        <v>93</v>
      </c>
      <c r="C876" s="878" t="str">
        <f>IF($A876="EQUI",VLOOKUP($B876,EQUI!B$16:G$145,2,FALSE),IF($A876="TRAN",VLOOKUP($B876,[6]TRAN!$B$16:$G$26,2,FALSE),IF(A876="MAT",VLOOKUP($B876,[6]MAT!$B$16:$G$83,2,FALSE),IF(A876="MDEO",VLOOKUP($B876,[6]MDEO!$B$16:$I$21,2,FALSE)))))</f>
        <v>regla vibratoria</v>
      </c>
      <c r="D876" s="878"/>
      <c r="E876" s="878"/>
      <c r="F876" s="123">
        <f>IF($A876="EQUI",VLOOKUP($B876,EQUI!B$16:G$145,4,FALSE),IF($A876="TRAN",VLOOKUP($B876,TRAN!$B$16:$G$26,4,FALSE),IF($A876="MAT",VLOOKUP($B876,[6]MAT!$B$16:$G$83,4,FALSE),IF($A876="MDEO",VLOOKUP($B876,[6]MDEO!$B$16:$I$21,4,FALSE)))))</f>
        <v>2500</v>
      </c>
      <c r="G876" s="143">
        <f>1/20*8</f>
        <v>0.4</v>
      </c>
      <c r="H876" s="118">
        <f t="shared" si="1"/>
        <v>1000</v>
      </c>
      <c r="I876" s="50"/>
      <c r="J876" s="148"/>
      <c r="L876" s="199"/>
    </row>
    <row r="877" spans="1:16" s="68" customFormat="1" ht="12.75" customHeight="1" x14ac:dyDescent="0.2">
      <c r="A877" s="92" t="s">
        <v>1</v>
      </c>
      <c r="B877" s="117" t="s">
        <v>78</v>
      </c>
      <c r="C877" s="878" t="str">
        <f>IF($A877="EQUI",VLOOKUP($B877,EQUI!B$16:G$145,2,FALSE),IF($A877="TRAN",VLOOKUP($B877,[6]TRAN!$B$16:$G$26,2,FALSE),IF(A877="MAT",VLOOKUP($B877,[6]MAT!$B$16:$G$83,2,FALSE),IF(A877="MDEO",VLOOKUP($B877,[6]MDEO!$B$16:$I$21,2,FALSE)))))</f>
        <v>Cortadora de pavimento</v>
      </c>
      <c r="D877" s="878"/>
      <c r="E877" s="878"/>
      <c r="F877" s="123">
        <f>IF($A877="EQUI",VLOOKUP($B877,EQUI!B$16:G$145,4,FALSE),IF($A877="TRAN",VLOOKUP($B877,TRAN!$B$16:$G$26,4,FALSE),IF($A877="MAT",VLOOKUP($B877,[6]MAT!$B$16:$G$83,4,FALSE),IF($A877="MDEO",VLOOKUP($B877,[6]MDEO!$B$16:$I$21,4,FALSE)))))</f>
        <v>7500</v>
      </c>
      <c r="G877" s="143">
        <f>1/40*8</f>
        <v>0.2</v>
      </c>
      <c r="H877" s="118">
        <f t="shared" si="1"/>
        <v>1500</v>
      </c>
      <c r="I877" s="50"/>
      <c r="J877" s="148"/>
      <c r="K877" s="68">
        <v>200</v>
      </c>
      <c r="L877" s="199"/>
    </row>
    <row r="878" spans="1:16" s="68" customFormat="1" ht="12.75" customHeight="1" x14ac:dyDescent="0.2">
      <c r="A878" s="92" t="s">
        <v>1</v>
      </c>
      <c r="B878" s="117" t="s">
        <v>81</v>
      </c>
      <c r="C878" s="878" t="str">
        <f>IF($A878="EQUI",VLOOKUP($B878,EQUI!B$16:G$145,2,FALSE),IF($A878="TRAN",VLOOKUP($B878,[6]TRAN!$B$16:$G$26,2,FALSE),IF(A878="MAT",VLOOKUP($B878,[6]MAT!$B$16:$G$83,2,FALSE),IF(A878="MDEO",VLOOKUP($B878,[6]MDEO!$B$16:$I$21,2,FALSE)))))</f>
        <v>Compresor para demolición y  limpieza a presión de junta</v>
      </c>
      <c r="D878" s="878"/>
      <c r="E878" s="878"/>
      <c r="F878" s="123">
        <f>IF($A878="EQUI",VLOOKUP($B878,EQUI!B$16:G$145,4,FALSE),IF($A878="TRAN",VLOOKUP($B878,TRAN!$B$16:$G$26,4,FALSE),IF($A878="MAT",VLOOKUP($B878,[6]MAT!$B$16:$G$83,4,FALSE),IF($A878="MDEO",VLOOKUP($B878,[6]MDEO!$B$16:$I$21,4,FALSE)))))</f>
        <v>65000</v>
      </c>
      <c r="G878" s="143">
        <f>1/40</f>
        <v>2.5000000000000001E-2</v>
      </c>
      <c r="H878" s="118">
        <f t="shared" si="1"/>
        <v>1625</v>
      </c>
      <c r="I878" s="50"/>
      <c r="J878" s="148"/>
      <c r="K878" s="68" t="e">
        <f>+#REF!*K877/#REF!</f>
        <v>#REF!</v>
      </c>
      <c r="L878" s="199"/>
    </row>
    <row r="879" spans="1:16" s="68" customFormat="1" ht="12.75" customHeight="1" x14ac:dyDescent="0.2">
      <c r="A879" s="49"/>
      <c r="B879" s="115"/>
      <c r="C879" s="115"/>
      <c r="D879" s="115"/>
      <c r="E879" s="115"/>
      <c r="F879" s="120" t="s">
        <v>32</v>
      </c>
      <c r="G879" s="121" t="str">
        <f>+B867</f>
        <v>3.5</v>
      </c>
      <c r="H879" s="121" t="s">
        <v>335</v>
      </c>
      <c r="I879" s="48">
        <f>SUM(H871:H878)</f>
        <v>8465</v>
      </c>
      <c r="L879" s="199">
        <f>+I879*G868</f>
        <v>77319310</v>
      </c>
      <c r="P879" s="68">
        <f>+M78</f>
        <v>0</v>
      </c>
    </row>
    <row r="880" spans="1:16" s="68" customFormat="1" ht="12.75" customHeight="1" x14ac:dyDescent="0.2">
      <c r="A880" s="47" t="s">
        <v>34</v>
      </c>
      <c r="B880" s="3"/>
      <c r="C880" s="115"/>
      <c r="D880" s="115"/>
      <c r="E880" s="115"/>
      <c r="F880" s="115"/>
      <c r="G880" s="115"/>
      <c r="H880" s="115"/>
      <c r="I880" s="50"/>
      <c r="L880" s="199"/>
    </row>
    <row r="881" spans="1:12" s="68" customFormat="1" ht="12.75" customHeight="1" x14ac:dyDescent="0.2">
      <c r="A881" s="879" t="s">
        <v>35</v>
      </c>
      <c r="B881" s="868"/>
      <c r="C881" s="868"/>
      <c r="D881" s="868"/>
      <c r="E881" s="116" t="s">
        <v>12</v>
      </c>
      <c r="F881" s="116" t="s">
        <v>36</v>
      </c>
      <c r="G881" s="116" t="s">
        <v>37</v>
      </c>
      <c r="H881" s="116" t="s">
        <v>38</v>
      </c>
      <c r="I881" s="50"/>
      <c r="L881" s="199"/>
    </row>
    <row r="882" spans="1:12" s="68" customFormat="1" ht="12.75" customHeight="1" x14ac:dyDescent="0.2">
      <c r="A882" s="92" t="s">
        <v>523</v>
      </c>
      <c r="B882" s="149" t="s">
        <v>140</v>
      </c>
      <c r="C882" s="878" t="str">
        <f>IF($A882="EQUI",VLOOKUP($B882,EQUI!B$16:G$35,2,FALSE),IF($A882="TRAN",VLOOKUP($B882,TRAN!$B$16:$G$26,2,FALSE),IF($A882="MAT1",VLOOKUP($B882,'MAT1'!$B$16:$G$43,2,FALSE),IF($A882="MAT2",VLOOKUP($B882,'MAT2'!$B$16:$G$65,2,FALSE),IF($A882="MDEO",VLOOKUP($B882,MDEO!$B$16:$P$27,2,FALSE))))))</f>
        <v>Concreto premezclado Mr. 3,9 Mpa</v>
      </c>
      <c r="D882" s="878"/>
      <c r="E882" s="123" t="str">
        <f>IF($A882="EQUI",VLOOKUP($B882,EQUI!B$16:G$35,3,FALSE),IF($A882="TRAN",VLOOKUP($B882,TRAN!$B$16:$G$26,3,FALSE),IF($A882="MAT1",VLOOKUP($B882,'MAT1'!$B$16:$G$43,3,FALSE),IF($A882="MAT2",VLOOKUP($B882,'MAT2'!$B$16:$G$55,3,FALSE),IF($A882="MDEO",VLOOKUP($B882,MDEO!$B$16:$P$27,3,FALSE))))))</f>
        <v>M3</v>
      </c>
      <c r="F882" s="123">
        <f>IF($A882="EQUI",VLOOKUP($B882,EQUI!B$16:G$35,4,FALSE),IF($A882="TRAN",VLOOKUP($B882,TRAN!$B$16:$G$26,4,FALSE),IF($A882="MAT1",VLOOKUP($B882,'MAT1'!$B$16:$G$43,4,FALSE),IF($A882="MAT2",VLOOKUP($B882,'MAT2'!$B$16:$G$53,4,FALSE),IF($A882="MDEO",VLOOKUP($B882,MDEO!$B$16:$P$27,4,FALSE))))))</f>
        <v>584766</v>
      </c>
      <c r="G882" s="143">
        <v>1.05</v>
      </c>
      <c r="H882" s="184">
        <f t="shared" ref="H882:H888" si="2">+F882*G882</f>
        <v>614004.30000000005</v>
      </c>
      <c r="I882" s="185"/>
      <c r="J882" s="148"/>
      <c r="K882" s="189">
        <f>+G882*$G$868</f>
        <v>9590.7000000000007</v>
      </c>
      <c r="L882" s="199"/>
    </row>
    <row r="883" spans="1:12" s="68" customFormat="1" ht="12.75" customHeight="1" x14ac:dyDescent="0.2">
      <c r="A883" s="92" t="s">
        <v>522</v>
      </c>
      <c r="B883" s="149" t="s">
        <v>141</v>
      </c>
      <c r="C883" s="878" t="str">
        <f>IF($A883="EQUI",VLOOKUP($B883,EQUI!B$16:G$35,2,FALSE),IF($A883="TRAN",VLOOKUP($B883,TRAN!$B$16:$G$26,2,FALSE),IF($A883="MAT1",VLOOKUP($B883,'MAT1'!$B$16:$G$43,2,FALSE),IF($A883="MAT2",VLOOKUP($B883,'MAT2'!$B$16:$G$65,2,FALSE),IF($A883="MDEO",VLOOKUP($B883,MDEO!$B$16:$P$27,2,FALSE))))))</f>
        <v>curador tipo anti sol</v>
      </c>
      <c r="D883" s="878"/>
      <c r="E883" s="123" t="str">
        <f>IF($A883="EQUI",VLOOKUP($B883,EQUI!B$16:G$35,3,FALSE),IF($A883="TRAN",VLOOKUP($B883,TRAN!$B$16:$G$26,3,FALSE),IF($A883="MAT1",VLOOKUP($B883,'MAT1'!$B$16:$G$43,3,FALSE),IF($A883="MAT2",VLOOKUP($B883,'MAT2'!$B$16:$G$55,3,FALSE),IF($A883="MDEO",VLOOKUP($B883,MDEO!$B$16:$P$27,3,FALSE))))))</f>
        <v>KG</v>
      </c>
      <c r="F883" s="123">
        <f>IF($A883="EQUI",VLOOKUP($B883,EQUI!B$16:G$35,4,FALSE),IF($A883="TRAN",VLOOKUP($B883,TRAN!$B$16:$G$26,4,FALSE),IF($A883="MAT1",VLOOKUP($B883,'MAT1'!$B$16:$G$43,4,FALSE),IF($A883="MAT2",VLOOKUP($B883,'MAT2'!$B$16:$G$53,4,FALSE),IF($A883="MDEO",VLOOKUP($B883,MDEO!$B$16:$P$27,4,FALSE))))))</f>
        <v>7500</v>
      </c>
      <c r="G883" s="143">
        <f>7.2/6.48</f>
        <v>1.1111111111111112</v>
      </c>
      <c r="H883" s="184">
        <f t="shared" si="2"/>
        <v>8333.3333333333339</v>
      </c>
      <c r="I883" s="185"/>
      <c r="J883" s="148"/>
      <c r="K883" s="187">
        <f t="shared" ref="K883:K888" si="3">+G883*$G$868</f>
        <v>10148.888888888889</v>
      </c>
      <c r="L883" s="199"/>
    </row>
    <row r="884" spans="1:12" s="68" customFormat="1" ht="12.75" customHeight="1" x14ac:dyDescent="0.2">
      <c r="A884" s="92" t="s">
        <v>522</v>
      </c>
      <c r="B884" s="149" t="s">
        <v>155</v>
      </c>
      <c r="C884" s="878" t="str">
        <f>IF($A884="EQUI",VLOOKUP($B884,EQUI!B$16:G$35,2,FALSE),IF($A884="TRAN",VLOOKUP($B884,TRAN!$B$16:$G$26,2,FALSE),IF($A884="MAT1",VLOOKUP($B884,'MAT1'!$B$16:$G$43,2,FALSE),IF($A884="MAT2",VLOOKUP($B884,'MAT2'!$B$16:$G$65,2,FALSE),IF($A884="MDEO",VLOOKUP($B884,MDEO!$B$16:$P$27,2,FALSE))))))</f>
        <v>Sika Flex</v>
      </c>
      <c r="D884" s="878"/>
      <c r="E884" s="123" t="str">
        <f>IF($A884="EQUI",VLOOKUP($B884,EQUI!B$16:G$35,3,FALSE),IF($A884="TRAN",VLOOKUP($B884,TRAN!$B$16:$G$26,3,FALSE),IF($A884="MAT1",VLOOKUP($B884,'MAT1'!$B$16:$G$43,3,FALSE),IF($A884="MAT2",VLOOKUP($B884,'MAT2'!$B$16:$G$55,3,FALSE),IF($A884="MDEO",VLOOKUP($B884,MDEO!$B$16:$P$27,3,FALSE))))))</f>
        <v>CC</v>
      </c>
      <c r="F884" s="123">
        <f>IF($A884="EQUI",VLOOKUP($B884,EQUI!B$16:G$35,4,FALSE),IF($A884="TRAN",VLOOKUP($B884,TRAN!$B$16:$G$26,4,FALSE),IF($A884="MAT1",VLOOKUP($B884,'MAT1'!$B$16:$G$43,4,FALSE),IF($A884="MAT2",VLOOKUP($B884,'MAT2'!$B$16:$G$53,4,FALSE),IF($A884="MDEO",VLOOKUP($B884,MDEO!$B$16:$P$27,4,FALSE))))))</f>
        <v>31400</v>
      </c>
      <c r="G884" s="143">
        <f>0.18/6.48</f>
        <v>2.7777777777777776E-2</v>
      </c>
      <c r="H884" s="184">
        <f t="shared" si="2"/>
        <v>872.22222222222217</v>
      </c>
      <c r="I884" s="185"/>
      <c r="J884" s="148"/>
      <c r="K884" s="187">
        <f t="shared" si="3"/>
        <v>253.7222222222222</v>
      </c>
      <c r="L884" s="199"/>
    </row>
    <row r="885" spans="1:12" s="68" customFormat="1" ht="12.75" customHeight="1" x14ac:dyDescent="0.2">
      <c r="A885" s="92" t="s">
        <v>522</v>
      </c>
      <c r="B885" s="149" t="s">
        <v>156</v>
      </c>
      <c r="C885" s="878" t="str">
        <f>IF($A885="EQUI",VLOOKUP($B885,EQUI!B$16:G$35,2,FALSE),IF($A885="TRAN",VLOOKUP($B885,TRAN!$B$16:$G$26,2,FALSE),IF($A885="MAT1",VLOOKUP($B885,'MAT1'!$B$16:$G$43,2,FALSE),IF($A885="MAT2",VLOOKUP($B885,'MAT2'!$B$16:$G$65,2,FALSE),IF($A885="MDEO",VLOOKUP($B885,MDEO!$B$16:$P$27,2,FALSE))))))</f>
        <v>sikarod</v>
      </c>
      <c r="D885" s="878"/>
      <c r="E885" s="123" t="str">
        <f>IF($A885="EQUI",VLOOKUP($B885,EQUI!B$16:G$35,3,FALSE),IF($A885="TRAN",VLOOKUP($B885,TRAN!$B$16:$G$26,3,FALSE),IF($A885="MAT1",VLOOKUP($B885,'MAT1'!$B$16:$G$43,3,FALSE),IF($A885="MAT2",VLOOKUP($B885,'MAT2'!$B$16:$G$55,3,FALSE),IF($A885="MDEO",VLOOKUP($B885,MDEO!$B$16:$P$27,3,FALSE))))))</f>
        <v>ML</v>
      </c>
      <c r="F885" s="123">
        <f>IF($A885="EQUI",VLOOKUP($B885,EQUI!B$16:G$35,4,FALSE),IF($A885="TRAN",VLOOKUP($B885,TRAN!$B$16:$G$26,4,FALSE),IF($A885="MAT1",VLOOKUP($B885,'MAT1'!$B$16:$G$43,4,FALSE),IF($A885="MAT2",VLOOKUP($B885,'MAT2'!$B$16:$G$53,4,FALSE),IF($A885="MDEO",VLOOKUP($B885,MDEO!$B$16:$P$27,4,FALSE))))))</f>
        <v>600</v>
      </c>
      <c r="G885" s="143">
        <f>18/6.48</f>
        <v>2.7777777777777777</v>
      </c>
      <c r="H885" s="184">
        <f t="shared" si="2"/>
        <v>1666.6666666666665</v>
      </c>
      <c r="I885" s="185"/>
      <c r="J885" s="148"/>
      <c r="K885" s="187">
        <f t="shared" si="3"/>
        <v>25372.222222222223</v>
      </c>
      <c r="L885" s="199"/>
    </row>
    <row r="886" spans="1:12" s="68" customFormat="1" ht="12.75" customHeight="1" x14ac:dyDescent="0.2">
      <c r="A886" s="92" t="s">
        <v>523</v>
      </c>
      <c r="B886" s="149" t="s">
        <v>134</v>
      </c>
      <c r="C886" s="878" t="str">
        <f>IF($A886="EQUI",VLOOKUP($B886,EQUI!B$16:G$35,2,FALSE),IF($A886="TRAN",VLOOKUP($B886,TRAN!$B$16:$G$26,2,FALSE),IF($A886="MAT1",VLOOKUP($B886,'MAT1'!$B$16:$G$43,2,FALSE),IF($A886="MAT2",VLOOKUP($B886,'MAT2'!$B$16:$G$65,2,FALSE),IF($A886="MDEO",VLOOKUP($B886,MDEO!$B$16:$P$27,2,FALSE))))))</f>
        <v>Acero  60000 psi</v>
      </c>
      <c r="D886" s="878"/>
      <c r="E886" s="123" t="str">
        <f>IF($A886="EQUI",VLOOKUP($B886,EQUI!B$16:G$35,3,FALSE),IF($A886="TRAN",VLOOKUP($B886,TRAN!$B$16:$G$26,3,FALSE),IF($A886="MAT1",VLOOKUP($B886,'MAT1'!$B$16:$G$43,3,FALSE),IF($A886="MAT2",VLOOKUP($B886,'MAT2'!$B$16:$G$55,3,FALSE),IF($A886="MDEO",VLOOKUP($B886,MDEO!$B$16:$P$27,3,FALSE))))))</f>
        <v>KG</v>
      </c>
      <c r="F886" s="123">
        <f>IF($A886="EQUI",VLOOKUP($B886,EQUI!B$16:G$35,4,FALSE),IF($A886="TRAN",VLOOKUP($B886,TRAN!$B$16:$G$26,4,FALSE),IF($A886="MAT1",VLOOKUP($B886,'MAT1'!$B$16:$G$43,4,FALSE),IF($A886="MAT2",VLOOKUP($B886,'MAT2'!$B$16:$G$53,4,FALSE),IF($A886="MDEO",VLOOKUP($B886,MDEO!$B$16:$P$27,4,FALSE))))))</f>
        <v>6913</v>
      </c>
      <c r="G886" s="143">
        <f>+(32.4+7.2)/6.48</f>
        <v>6.1111111111111107</v>
      </c>
      <c r="H886" s="184">
        <f t="shared" si="2"/>
        <v>42246.111111111109</v>
      </c>
      <c r="I886" s="185"/>
      <c r="J886" s="148"/>
      <c r="K886" s="189">
        <f t="shared" si="3"/>
        <v>55818.888888888883</v>
      </c>
      <c r="L886" s="199"/>
    </row>
    <row r="887" spans="1:12" s="68" customFormat="1" ht="12.75" customHeight="1" x14ac:dyDescent="0.2">
      <c r="A887" s="92" t="s">
        <v>522</v>
      </c>
      <c r="B887" s="149" t="s">
        <v>149</v>
      </c>
      <c r="C887" s="878" t="str">
        <f>IF($A887="EQUI",VLOOKUP($B887,EQUI!B$16:G$35,2,FALSE),IF($A887="TRAN",VLOOKUP($B887,TRAN!$B$16:$G$26,2,FALSE),IF($A887="MAT1",VLOOKUP($B887,'MAT1'!$B$16:$G$43,2,FALSE),IF($A887="MAT2",VLOOKUP($B887,'MAT2'!$B$16:$G$65,2,FALSE),IF($A887="MDEO",VLOOKUP($B887,MDEO!$B$16:$P$27,2,FALSE))))))</f>
        <v>fabricacion de pasa juntas  1ø3/4 @0,3l=,35 fabricación</v>
      </c>
      <c r="D887" s="878"/>
      <c r="E887" s="123" t="str">
        <f>IF($A887="EQUI",VLOOKUP($B887,EQUI!B$16:G$35,3,FALSE),IF($A887="TRAN",VLOOKUP($B887,TRAN!$B$16:$G$26,3,FALSE),IF($A887="MAT1",VLOOKUP($B887,'MAT1'!$B$16:$G$43,3,FALSE),IF($A887="MAT2",VLOOKUP($B887,'MAT2'!$B$16:$G$55,3,FALSE),IF($A887="MDEO",VLOOKUP($B887,MDEO!$B$16:$P$27,3,FALSE))))))</f>
        <v>UN</v>
      </c>
      <c r="F887" s="123">
        <f>IF($A887="EQUI",VLOOKUP($B887,EQUI!B$16:G$35,4,FALSE),IF($A887="TRAN",VLOOKUP($B887,TRAN!$B$16:$G$26,4,FALSE),IF($A887="MAT1",VLOOKUP($B887,'MAT1'!$B$16:$G$43,4,FALSE),IF($A887="MAT2",VLOOKUP($B887,'MAT2'!$B$16:$G$53,4,FALSE),IF($A887="MDEO",VLOOKUP($B887,MDEO!$B$16:$P$27,4,FALSE))))))</f>
        <v>17000</v>
      </c>
      <c r="G887" s="143">
        <v>1</v>
      </c>
      <c r="H887" s="184">
        <f t="shared" si="2"/>
        <v>17000</v>
      </c>
      <c r="I887" s="185"/>
      <c r="J887" s="148"/>
      <c r="K887" s="187">
        <f t="shared" si="3"/>
        <v>9134</v>
      </c>
      <c r="L887" s="199"/>
    </row>
    <row r="888" spans="1:12" s="68" customFormat="1" ht="12.75" customHeight="1" x14ac:dyDescent="0.2">
      <c r="A888" s="92" t="s">
        <v>522</v>
      </c>
      <c r="B888" s="149" t="s">
        <v>524</v>
      </c>
      <c r="C888" s="878" t="str">
        <f>IF($A888="EQUI",VLOOKUP($B888,EQUI!B$16:G$35,2,FALSE),IF($A888="TRAN",VLOOKUP($B888,TRAN!$B$16:$G$26,2,FALSE),IF($A888="MAT1",VLOOKUP($B888,'MAT1'!$B$16:$G$43,2,FALSE),IF($A888="MAT2",VLOOKUP($B888,'MAT2'!$B$16:$G$65,2,FALSE),IF($A888="MDEO",VLOOKUP($B888,MDEO!$B$16:$P$27,2,FALSE))))))</f>
        <v>disco diamantado de 14"</v>
      </c>
      <c r="D888" s="878"/>
      <c r="E888" s="123" t="str">
        <f>IF($A888="EQUI",VLOOKUP($B888,EQUI!B$16:G$35,3,FALSE),IF($A888="TRAN",VLOOKUP($B888,TRAN!$B$16:$G$26,3,FALSE),IF($A888="MAT1",VLOOKUP($B888,'MAT1'!$B$16:$G$43,3,FALSE),IF($A888="MAT2",VLOOKUP($B888,'MAT2'!$B$16:$G$55,3,FALSE),IF($A888="MDEO",VLOOKUP($B888,MDEO!$B$16:$P$27,3,FALSE))))))</f>
        <v>UN</v>
      </c>
      <c r="F888" s="123">
        <f>IF($A888="EQUI",VLOOKUP($B888,EQUI!B$16:G$35,4,FALSE),IF($A888="TRAN",VLOOKUP($B888,TRAN!$B$16:$G$26,4,FALSE),IF($A888="MAT1",VLOOKUP($B888,'MAT1'!$B$16:$G$43,4,FALSE),IF($A888="MAT2",VLOOKUP($B888,'MAT2'!$B$16:$G$53,4,FALSE),IF($A888="MDEO",VLOOKUP($B888,MDEO!$B$16:$P$27,4,FALSE))))))</f>
        <v>100000</v>
      </c>
      <c r="G888" s="143">
        <v>0.06</v>
      </c>
      <c r="H888" s="184">
        <f t="shared" si="2"/>
        <v>6000</v>
      </c>
      <c r="I888" s="185"/>
      <c r="J888" s="148"/>
      <c r="K888" s="187">
        <f t="shared" si="3"/>
        <v>548.04</v>
      </c>
      <c r="L888" s="199"/>
    </row>
    <row r="889" spans="1:12" s="68" customFormat="1" ht="12.75" customHeight="1" x14ac:dyDescent="0.2">
      <c r="A889" s="49"/>
      <c r="B889" s="115"/>
      <c r="C889" s="115"/>
      <c r="D889" s="115"/>
      <c r="E889" s="115"/>
      <c r="F889" s="120" t="s">
        <v>32</v>
      </c>
      <c r="G889" s="121" t="str">
        <f>+B867</f>
        <v>3.5</v>
      </c>
      <c r="H889" s="186" t="s">
        <v>336</v>
      </c>
      <c r="I889" s="185">
        <f>SUM(H882:H888)</f>
        <v>690122.63333333342</v>
      </c>
      <c r="L889" s="199">
        <f>+I889*G868</f>
        <v>6303580132.8666677</v>
      </c>
    </row>
    <row r="890" spans="1:12" s="68" customFormat="1" ht="12.75" customHeight="1" x14ac:dyDescent="0.2">
      <c r="A890" s="47" t="s">
        <v>15</v>
      </c>
      <c r="B890" s="3"/>
      <c r="C890" s="115"/>
      <c r="D890" s="115"/>
      <c r="E890" s="115"/>
      <c r="F890" s="115"/>
      <c r="G890" s="115"/>
      <c r="H890" s="115"/>
      <c r="I890" s="50"/>
      <c r="K890" s="68">
        <f>9/300</f>
        <v>0.03</v>
      </c>
      <c r="L890" s="199"/>
    </row>
    <row r="891" spans="1:12" s="68" customFormat="1" ht="12.75" customHeight="1" x14ac:dyDescent="0.2">
      <c r="A891" s="879" t="s">
        <v>19</v>
      </c>
      <c r="B891" s="868"/>
      <c r="C891" s="868"/>
      <c r="D891" s="116" t="s">
        <v>43</v>
      </c>
      <c r="E891" s="116" t="s">
        <v>44</v>
      </c>
      <c r="F891" s="123" t="s">
        <v>45</v>
      </c>
      <c r="G891" s="116" t="s">
        <v>17</v>
      </c>
      <c r="H891" s="116" t="s">
        <v>30</v>
      </c>
      <c r="I891" s="50"/>
      <c r="L891" s="199"/>
    </row>
    <row r="892" spans="1:12" s="68" customFormat="1" ht="12.75" customHeight="1" x14ac:dyDescent="0.2">
      <c r="A892" s="51" t="s">
        <v>3</v>
      </c>
      <c r="B892" s="117" t="s">
        <v>171</v>
      </c>
      <c r="C892" s="133" t="s">
        <v>163</v>
      </c>
      <c r="D892" s="133">
        <v>0</v>
      </c>
      <c r="E892" s="133">
        <v>55</v>
      </c>
      <c r="F892" s="123">
        <f>+E892*D892</f>
        <v>0</v>
      </c>
      <c r="G892" s="115">
        <f>IF($A892="EQUI",VLOOKUP($B892,[6]EQUI!B$16:G$46,4,FALSE),IF($A892="TRAN",VLOOKUP($B892,[6]TRAN!$B$16:$G$26,4,FALSE),IF($A892="MAT",VLOOKUP($B892,[6]MAT!$B$16:$G$83,4,FALSE),IF($A892="MDEO",VLOOKUP($B892,[6]MDEO!$B$16:$I$21,4,FALSE)))))</f>
        <v>980</v>
      </c>
      <c r="H892" s="118">
        <f>+F892*G892</f>
        <v>0</v>
      </c>
      <c r="I892" s="50"/>
      <c r="L892" s="199"/>
    </row>
    <row r="893" spans="1:12" s="68" customFormat="1" ht="12.75" customHeight="1" x14ac:dyDescent="0.2">
      <c r="A893" s="49"/>
      <c r="B893" s="115"/>
      <c r="C893" s="115"/>
      <c r="D893" s="115"/>
      <c r="E893" s="115"/>
      <c r="F893" s="120" t="s">
        <v>32</v>
      </c>
      <c r="G893" s="121" t="str">
        <f>+B867</f>
        <v>3.5</v>
      </c>
      <c r="H893" s="121" t="s">
        <v>337</v>
      </c>
      <c r="I893" s="50">
        <f>SUM(H892:H892)</f>
        <v>0</v>
      </c>
      <c r="L893" s="199"/>
    </row>
    <row r="894" spans="1:12" s="68" customFormat="1" ht="12.75" customHeight="1" x14ac:dyDescent="0.2">
      <c r="A894" s="47"/>
      <c r="B894" s="3"/>
      <c r="C894" s="115"/>
      <c r="D894" s="115"/>
      <c r="E894" s="115"/>
      <c r="F894" s="115"/>
      <c r="G894" s="115"/>
      <c r="H894" s="115"/>
      <c r="I894" s="50"/>
      <c r="L894" s="199"/>
    </row>
    <row r="895" spans="1:12" s="68" customFormat="1" ht="12.75" customHeight="1" x14ac:dyDescent="0.2">
      <c r="A895" s="895" t="s">
        <v>18</v>
      </c>
      <c r="B895" s="874"/>
      <c r="C895" s="874"/>
      <c r="D895" s="123" t="s">
        <v>48</v>
      </c>
      <c r="E895" s="123" t="s">
        <v>109</v>
      </c>
      <c r="F895" s="124" t="s">
        <v>250</v>
      </c>
      <c r="G895" s="124" t="s">
        <v>251</v>
      </c>
      <c r="H895" s="123" t="s">
        <v>252</v>
      </c>
      <c r="I895" s="52"/>
      <c r="L895" s="199"/>
    </row>
    <row r="896" spans="1:12" s="68" customFormat="1" ht="12.75" customHeight="1" x14ac:dyDescent="0.2">
      <c r="A896" s="51" t="s">
        <v>4</v>
      </c>
      <c r="B896" s="131" t="s">
        <v>175</v>
      </c>
      <c r="C896" s="126" t="str">
        <f>IF($A896="EQUI",VLOOKUP($B896,[6]EQUI!B$16:G$46,2,FALSE),IF($A896="TRAN",VLOOKUP($B896,[6]TRAN!$B$16:$G$26,2,FALSE),IF($A896="MAT",VLOOKUP($B896,[6]MAT!$B$16:$G$83,2,FALSE),IF($A896="MDEO",VLOOKUP($B896,[6]MDEO!$B$16:$I$21,2,FALSE)))))</f>
        <v>OFICIAL</v>
      </c>
      <c r="D896" s="31">
        <f>IF($A896="EQUI",VLOOKUP($B896,[6]EQUI!B$16:G$46,3,FALSE),IF($A896="TRAN",VLOOKUP($B896,[6]TRAN!$B$16:$G$26,3,FALSE),IF($A896="MAT",VLOOKUP($B896,[6]MAT!$B$16:$G$83,3,FALSE),IF($A896="MDEO",VLOOKUP($B896,[6]MDEO!$B$16:$I$21,3,FALSE)))))</f>
        <v>9301.6465000000026</v>
      </c>
      <c r="E896" s="127">
        <f>IF($A896="EQUI",VLOOKUP($B896,[6]EQUI!B$16:G$46,4,FALSE),IF($A896="TRAN",VLOOKUP($B896,[6]TRAN!$B$16:$G$26,4,FALSE),IF($A896="MAT",VLOOKUP($B896,[6]MAT!$B$16:$G$83,4,FALSE),IF($A896="MDEO",VLOOKUP($B896,[6]MDEO!$B$16:$I$21,4,FALSE)))))</f>
        <v>0</v>
      </c>
      <c r="F896" s="32">
        <f>+D896+D896*E896</f>
        <v>9301.6465000000026</v>
      </c>
      <c r="G896" s="143">
        <f>8/10*2</f>
        <v>1.6</v>
      </c>
      <c r="H896" s="128">
        <f>G896*F896</f>
        <v>14882.634400000004</v>
      </c>
      <c r="I896" s="50"/>
      <c r="J896" s="148"/>
      <c r="L896" s="199"/>
    </row>
    <row r="897" spans="1:12" s="68" customFormat="1" ht="12.75" customHeight="1" x14ac:dyDescent="0.2">
      <c r="A897" s="51" t="s">
        <v>4</v>
      </c>
      <c r="B897" s="131" t="s">
        <v>176</v>
      </c>
      <c r="C897" s="126" t="str">
        <f>IF($A897="EQUI",VLOOKUP($B897,[6]EQUI!B$16:G$46,2,FALSE),IF($A897="TRAN",VLOOKUP($B897,[6]TRAN!$B$16:$G$26,2,FALSE),IF($A897="MAT",VLOOKUP($B897,[6]MAT!$B$16:$G$83,2,FALSE),IF($A897="MDEO",VLOOKUP($B897,[6]MDEO!$B$16:$I$21,2,FALSE)))))</f>
        <v>AYUDANTE ENTENDIDO</v>
      </c>
      <c r="D897" s="31">
        <f>IF($A897="EQUI",VLOOKUP($B897,[6]EQUI!B$16:G$46,3,FALSE),IF($A897="TRAN",VLOOKUP($B897,[6]TRAN!$B$16:$G$26,3,FALSE),IF($A897="MAT",VLOOKUP($B897,[6]MAT!$B$16:$G$83,3,FALSE),IF($A897="MDEO",VLOOKUP($B897,[6]MDEO!$B$16:$I$21,3,FALSE)))))</f>
        <v>8051.6465000000007</v>
      </c>
      <c r="E897" s="127">
        <f>IF($A897="EQUI",VLOOKUP($B897,[6]EQUI!B$16:G$46,4,FALSE),IF($A897="TRAN",VLOOKUP($B897,[6]TRAN!$B$16:$G$26,4,FALSE),IF($A897="MAT",VLOOKUP($B897,[6]MAT!$B$16:$G$83,4,FALSE),IF($A897="MDEO",VLOOKUP($B897,[6]MDEO!$B$16:$I$21,4,FALSE)))))</f>
        <v>0</v>
      </c>
      <c r="F897" s="32">
        <f>+D897+D897*E897</f>
        <v>8051.6465000000007</v>
      </c>
      <c r="G897" s="143">
        <f>8/10*3</f>
        <v>2.4000000000000004</v>
      </c>
      <c r="H897" s="128">
        <f>G897*F897</f>
        <v>19323.951600000004</v>
      </c>
      <c r="I897" s="50"/>
      <c r="J897" s="148"/>
      <c r="L897" s="199"/>
    </row>
    <row r="898" spans="1:12" s="68" customFormat="1" ht="12.75" customHeight="1" x14ac:dyDescent="0.2">
      <c r="A898" s="51" t="s">
        <v>4</v>
      </c>
      <c r="B898" s="131" t="s">
        <v>177</v>
      </c>
      <c r="C898" s="126" t="str">
        <f>IF($A898="EQUI",VLOOKUP($B898,[6]EQUI!B$16:G$46,2,FALSE),IF($A898="TRAN",VLOOKUP($B898,[6]TRAN!$B$16:$G$26,2,FALSE),IF($A898="MAT",VLOOKUP($B898,[6]MAT!$B$16:$G$83,2,FALSE),IF($A898="MDEO",VLOOKUP($B898,[6]MDEO!$B$16:$I$21,2,FALSE)))))</f>
        <v>AYUDANTE</v>
      </c>
      <c r="D898" s="31">
        <f>IF($A898="EQUI",VLOOKUP($B898,[6]EQUI!B$16:G$46,3,FALSE),IF($A898="TRAN",VLOOKUP($B898,[6]TRAN!$B$16:$G$26,3,FALSE),IF($A898="MAT",VLOOKUP($B898,[6]MAT!$B$16:$G$83,3,FALSE),IF($A898="MDEO",VLOOKUP($B898,[6]MDEO!$B$16:$I$21,3,FALSE)))))</f>
        <v>6801.6465000000007</v>
      </c>
      <c r="E898" s="127">
        <f>IF($A898="EQUI",VLOOKUP($B898,[6]EQUI!B$16:G$46,4,FALSE),IF($A898="TRAN",VLOOKUP($B898,[6]TRAN!$B$16:$G$26,4,FALSE),IF($A898="MAT",VLOOKUP($B898,[6]MAT!$B$16:$G$83,4,FALSE),IF($A898="MDEO",VLOOKUP($B898,[6]MDEO!$B$16:$I$21,4,FALSE)))))</f>
        <v>0</v>
      </c>
      <c r="F898" s="32">
        <f>+D898+D898*E898</f>
        <v>6801.6465000000007</v>
      </c>
      <c r="G898" s="143">
        <f>8/10*12</f>
        <v>9.6000000000000014</v>
      </c>
      <c r="H898" s="128">
        <f>G898*F898</f>
        <v>65295.806400000016</v>
      </c>
      <c r="I898" s="50"/>
      <c r="J898" s="148"/>
      <c r="L898" s="199"/>
    </row>
    <row r="899" spans="1:12" s="68" customFormat="1" ht="12.75" customHeight="1" x14ac:dyDescent="0.2">
      <c r="A899" s="51" t="s">
        <v>4</v>
      </c>
      <c r="B899" s="131" t="s">
        <v>50</v>
      </c>
      <c r="C899" s="126" t="str">
        <f>IF($A899="EQUI",VLOOKUP($B899,[6]EQUI!B$16:G$46,2,FALSE),IF($A899="TRAN",VLOOKUP($B899,[6]TRAN!$B$16:$G$26,2,FALSE),IF($A899="MAT",VLOOKUP($B899,[6]MAT!$B$16:$G$83,2,FALSE),IF($A899="MDEO",VLOOKUP($B899,[6]MDEO!$B$16:$I$21,2,FALSE)))))</f>
        <v>TOPOGRAFO</v>
      </c>
      <c r="D899" s="31">
        <f>IF($A899="EQUI",VLOOKUP($B899,[6]EQUI!B$16:G$46,3,FALSE),IF($A899="TRAN",VLOOKUP($B899,[6]TRAN!$B$16:$G$26,3,FALSE),IF($A899="MAT",VLOOKUP($B899,[6]MAT!$B$16:$G$83,3,FALSE),IF($A899="MDEO",VLOOKUP($B899,[6]MDEO!$B$16:$I$21,3,FALSE)))))</f>
        <v>14826.936907575571</v>
      </c>
      <c r="E899" s="127">
        <f>IF($A899="EQUI",VLOOKUP($B899,[6]EQUI!B$16:G$46,4,FALSE),IF($A899="TRAN",VLOOKUP($B899,[6]TRAN!$B$16:$G$26,4,FALSE),IF($A899="MAT",VLOOKUP($B899,[6]MAT!$B$16:$G$83,4,FALSE),IF($A899="MDEO",VLOOKUP($B899,[6]MDEO!$B$16:$I$21,4,FALSE)))))</f>
        <v>0</v>
      </c>
      <c r="F899" s="32">
        <f>+D899+D899*E899</f>
        <v>14826.936907575571</v>
      </c>
      <c r="G899" s="115">
        <v>0.2</v>
      </c>
      <c r="H899" s="128">
        <f>G899*F899</f>
        <v>2965.3873815151146</v>
      </c>
      <c r="I899" s="50"/>
      <c r="J899" s="148"/>
      <c r="L899" s="199"/>
    </row>
    <row r="900" spans="1:12" s="68" customFormat="1" ht="12.75" customHeight="1" x14ac:dyDescent="0.2">
      <c r="A900" s="51" t="s">
        <v>4</v>
      </c>
      <c r="B900" s="131" t="s">
        <v>51</v>
      </c>
      <c r="C900" s="126" t="str">
        <f>IF($A900="EQUI",VLOOKUP($B900,[6]EQUI!B$16:G$46,2,FALSE),IF($A900="TRAN",VLOOKUP($B900,[6]TRAN!$B$16:$G$26,2,FALSE),IF($A900="MAT",VLOOKUP($B900,[6]MAT!$B$16:$G$83,2,FALSE),IF($A900="MDEO",VLOOKUP($B900,[6]MDEO!$B$16:$I$21,2,FALSE)))))</f>
        <v>CADENERO 1</v>
      </c>
      <c r="D900" s="31">
        <f>IF($A900="EQUI",VLOOKUP($B900,[6]EQUI!B$16:G$46,3,FALSE),IF($A900="TRAN",VLOOKUP($B900,[6]TRAN!$B$16:$G$26,3,FALSE),IF($A900="MAT",VLOOKUP($B900,[6]MAT!$B$16:$G$83,3,FALSE),IF($A900="MDEO",VLOOKUP($B900,[6]MDEO!$B$16:$I$21,3,FALSE)))))</f>
        <v>10985.571938383713</v>
      </c>
      <c r="E900" s="127">
        <f>IF($A900="EQUI",VLOOKUP($B900,[6]EQUI!B$16:G$46,4,FALSE),IF($A900="TRAN",VLOOKUP($B900,[6]TRAN!$B$16:$G$26,4,FALSE),IF($A900="MAT",VLOOKUP($B900,[6]MAT!$B$16:$G$83,4,FALSE),IF($A900="MDEO",VLOOKUP($B900,[6]MDEO!$B$16:$I$21,4,FALSE)))))</f>
        <v>0</v>
      </c>
      <c r="F900" s="32">
        <f>+D900+D900*E900</f>
        <v>10985.571938383713</v>
      </c>
      <c r="G900" s="115">
        <v>0.2</v>
      </c>
      <c r="H900" s="128">
        <f>G900*F900</f>
        <v>2197.1143876767428</v>
      </c>
      <c r="I900" s="50"/>
      <c r="J900" s="148"/>
      <c r="L900" s="199"/>
    </row>
    <row r="901" spans="1:12" s="68" customFormat="1" ht="12.75" customHeight="1" x14ac:dyDescent="0.2">
      <c r="A901" s="879"/>
      <c r="B901" s="868"/>
      <c r="C901" s="115"/>
      <c r="D901" s="115"/>
      <c r="E901" s="115"/>
      <c r="F901" s="115"/>
      <c r="G901" s="115"/>
      <c r="H901" s="115"/>
      <c r="I901" s="50"/>
      <c r="L901" s="199"/>
    </row>
    <row r="902" spans="1:12" s="68" customFormat="1" ht="12.75" customHeight="1" x14ac:dyDescent="0.2">
      <c r="A902" s="49"/>
      <c r="B902" s="115"/>
      <c r="C902" s="115"/>
      <c r="D902" s="115"/>
      <c r="E902" s="115"/>
      <c r="F902" s="120" t="s">
        <v>32</v>
      </c>
      <c r="G902" s="121" t="str">
        <f>+B867</f>
        <v>3.5</v>
      </c>
      <c r="H902" s="120" t="s">
        <v>338</v>
      </c>
      <c r="I902" s="48">
        <f>SUM(H896:H901)</f>
        <v>104664.89416919189</v>
      </c>
      <c r="L902" s="199">
        <f>+I902*G868</f>
        <v>956009143.34139872</v>
      </c>
    </row>
    <row r="903" spans="1:12" s="68" customFormat="1" ht="12.75" customHeight="1" x14ac:dyDescent="0.2">
      <c r="A903" s="49" t="s">
        <v>433</v>
      </c>
      <c r="B903" s="115"/>
      <c r="C903" s="115"/>
      <c r="D903" s="115"/>
      <c r="E903" s="115"/>
      <c r="F903" s="115"/>
      <c r="G903" s="115"/>
      <c r="H903" s="116"/>
      <c r="I903" s="48">
        <f>I902*0.05</f>
        <v>5233.2447084595951</v>
      </c>
      <c r="L903" s="199">
        <f>+I903*G868</f>
        <v>47800457.167069942</v>
      </c>
    </row>
    <row r="904" spans="1:12" s="68" customFormat="1" ht="12.75" customHeight="1" x14ac:dyDescent="0.2">
      <c r="A904" s="49"/>
      <c r="B904" s="115"/>
      <c r="C904" s="115"/>
      <c r="D904" s="115"/>
      <c r="E904" s="115"/>
      <c r="F904" s="120" t="s">
        <v>55</v>
      </c>
      <c r="G904" s="116"/>
      <c r="H904" s="116"/>
      <c r="I904" s="48">
        <f>ROUND(I902+I903+I889+I879+I893,0)</f>
        <v>808486</v>
      </c>
      <c r="L904" s="199"/>
    </row>
    <row r="905" spans="1:12" s="68" customFormat="1" ht="12.75" customHeight="1" x14ac:dyDescent="0.2">
      <c r="A905" s="879" t="s">
        <v>56</v>
      </c>
      <c r="B905" s="868"/>
      <c r="C905" s="868"/>
      <c r="D905" s="868"/>
      <c r="E905" s="868" t="s">
        <v>57</v>
      </c>
      <c r="F905" s="868"/>
      <c r="G905" s="875" t="s">
        <v>58</v>
      </c>
      <c r="H905" s="875"/>
      <c r="I905" s="48"/>
      <c r="L905" s="199"/>
    </row>
    <row r="906" spans="1:12" s="68" customFormat="1" ht="12.75" customHeight="1" x14ac:dyDescent="0.2">
      <c r="A906" s="879" t="s">
        <v>208</v>
      </c>
      <c r="B906" s="868"/>
      <c r="C906" s="868"/>
      <c r="D906" s="868"/>
      <c r="E906" s="876">
        <v>0.02</v>
      </c>
      <c r="F906" s="876"/>
      <c r="G906" s="875">
        <f>+I904*E906</f>
        <v>16169.720000000001</v>
      </c>
      <c r="H906" s="875"/>
      <c r="I906" s="48"/>
      <c r="L906" s="199"/>
    </row>
    <row r="907" spans="1:12" s="68" customFormat="1" ht="12.75" customHeight="1" x14ac:dyDescent="0.2">
      <c r="A907" s="879" t="s">
        <v>5</v>
      </c>
      <c r="B907" s="868"/>
      <c r="C907" s="868"/>
      <c r="D907" s="868"/>
      <c r="E907" s="876">
        <v>0.23</v>
      </c>
      <c r="F907" s="876"/>
      <c r="G907" s="875">
        <f>+E907*I904</f>
        <v>185951.78</v>
      </c>
      <c r="H907" s="875"/>
      <c r="I907" s="48"/>
      <c r="L907" s="199"/>
    </row>
    <row r="908" spans="1:12" s="68" customFormat="1" ht="12.75" customHeight="1" x14ac:dyDescent="0.2">
      <c r="A908" s="879" t="s">
        <v>6</v>
      </c>
      <c r="B908" s="868"/>
      <c r="C908" s="868"/>
      <c r="D908" s="868"/>
      <c r="E908" s="876">
        <v>0.05</v>
      </c>
      <c r="F908" s="876"/>
      <c r="G908" s="875">
        <f>+E908*I904</f>
        <v>40424.300000000003</v>
      </c>
      <c r="H908" s="875"/>
      <c r="I908" s="48"/>
      <c r="L908" s="199"/>
    </row>
    <row r="909" spans="1:12" s="68" customFormat="1" ht="12.75" customHeight="1" x14ac:dyDescent="0.2">
      <c r="A909" s="879" t="s">
        <v>207</v>
      </c>
      <c r="B909" s="868"/>
      <c r="C909" s="868"/>
      <c r="D909" s="868"/>
      <c r="E909" s="876">
        <v>0.02</v>
      </c>
      <c r="F909" s="876"/>
      <c r="G909" s="875">
        <f>+E909*I904</f>
        <v>16169.720000000001</v>
      </c>
      <c r="H909" s="875"/>
      <c r="I909" s="48"/>
      <c r="L909" s="199"/>
    </row>
    <row r="910" spans="1:12" s="68" customFormat="1" ht="12.75" customHeight="1" x14ac:dyDescent="0.2">
      <c r="A910" s="880" t="s">
        <v>397</v>
      </c>
      <c r="B910" s="867"/>
      <c r="C910" s="867"/>
      <c r="D910" s="867"/>
      <c r="E910" s="867"/>
      <c r="F910" s="867"/>
      <c r="G910" s="867"/>
      <c r="H910" s="867"/>
      <c r="I910" s="48">
        <f>+G909+G907+G908+G906</f>
        <v>258715.51999999999</v>
      </c>
      <c r="L910" s="199"/>
    </row>
    <row r="911" spans="1:12" s="68" customFormat="1" ht="12.75" customHeight="1" x14ac:dyDescent="0.2">
      <c r="A911" s="880" t="s">
        <v>59</v>
      </c>
      <c r="B911" s="867"/>
      <c r="C911" s="867"/>
      <c r="D911" s="867"/>
      <c r="E911" s="867"/>
      <c r="F911" s="867"/>
      <c r="G911" s="867"/>
      <c r="H911" s="867"/>
      <c r="I911" s="48">
        <f>+I910+I904</f>
        <v>1067201.52</v>
      </c>
      <c r="L911" s="199"/>
    </row>
    <row r="912" spans="1:12" s="68" customFormat="1" ht="12.75" customHeight="1" x14ac:dyDescent="0.2">
      <c r="A912" s="93"/>
      <c r="B912" s="65"/>
      <c r="C912" s="65"/>
      <c r="D912" s="65"/>
      <c r="E912" s="65"/>
      <c r="F912" s="65"/>
      <c r="G912" s="65"/>
      <c r="H912" s="65"/>
      <c r="I912" s="48"/>
      <c r="L912" s="199"/>
    </row>
    <row r="913" spans="1:12" s="68" customFormat="1" ht="12.75" customHeight="1" x14ac:dyDescent="0.2">
      <c r="A913" s="881" t="s">
        <v>114</v>
      </c>
      <c r="B913" s="604"/>
      <c r="C913" s="604"/>
      <c r="D913" s="65"/>
      <c r="E913" s="65"/>
      <c r="F913" s="604" t="s">
        <v>396</v>
      </c>
      <c r="G913" s="604"/>
      <c r="H913" s="604"/>
      <c r="I913" s="894"/>
      <c r="L913" s="199"/>
    </row>
    <row r="914" spans="1:12" s="68" customFormat="1" ht="12.75" customHeight="1" x14ac:dyDescent="0.2">
      <c r="A914" s="92" t="s">
        <v>111</v>
      </c>
      <c r="B914" s="868"/>
      <c r="C914" s="868"/>
      <c r="D914" s="115"/>
      <c r="E914" s="115"/>
      <c r="F914" s="116" t="s">
        <v>111</v>
      </c>
      <c r="G914" s="868"/>
      <c r="H914" s="868"/>
      <c r="I914" s="884"/>
      <c r="L914" s="199"/>
    </row>
    <row r="915" spans="1:12" s="68" customFormat="1" ht="12.75" customHeight="1" x14ac:dyDescent="0.2">
      <c r="A915" s="147" t="s">
        <v>115</v>
      </c>
      <c r="B915" s="868" t="str">
        <f>VLOOKUP(A915,[6]INICIO!$E$6:$H$26,2,FALSE)</f>
        <v>LINA MARCELA</v>
      </c>
      <c r="C915" s="868"/>
      <c r="F915" s="45" t="s">
        <v>112</v>
      </c>
      <c r="G915" s="868"/>
      <c r="H915" s="868"/>
      <c r="I915" s="884"/>
      <c r="L915" s="199"/>
    </row>
    <row r="916" spans="1:12" s="68" customFormat="1" ht="12.75" customHeight="1" x14ac:dyDescent="0.2">
      <c r="A916" s="147" t="s">
        <v>113</v>
      </c>
      <c r="B916" s="868" t="str">
        <f>VLOOKUP(A915,[6]INICIO!$E$6:$H$26,4,FALSE)</f>
        <v>05202-316814 ANT</v>
      </c>
      <c r="C916" s="868"/>
      <c r="F916" s="45" t="s">
        <v>113</v>
      </c>
      <c r="G916" s="868"/>
      <c r="H916" s="868"/>
      <c r="I916" s="884"/>
      <c r="L916" s="199"/>
    </row>
    <row r="917" spans="1:12" s="68" customFormat="1" ht="12.75" customHeight="1" x14ac:dyDescent="0.2">
      <c r="A917" s="147"/>
      <c r="B917" s="116"/>
      <c r="C917" s="116"/>
      <c r="F917" s="45"/>
      <c r="G917" s="116"/>
      <c r="H917" s="116"/>
      <c r="I917" s="95"/>
      <c r="L917" s="199"/>
    </row>
    <row r="918" spans="1:12" ht="12.75" customHeight="1" x14ac:dyDescent="0.3">
      <c r="A918" s="872" t="s">
        <v>110</v>
      </c>
      <c r="B918" s="869"/>
      <c r="C918" s="869"/>
      <c r="D918" s="869"/>
      <c r="E918" s="869"/>
      <c r="F918" s="869"/>
      <c r="G918" s="869"/>
      <c r="H918" s="869"/>
      <c r="I918" s="873"/>
    </row>
    <row r="919" spans="1:12" ht="12.75" customHeight="1" x14ac:dyDescent="0.3">
      <c r="A919" s="870"/>
      <c r="B919" s="691"/>
      <c r="C919" s="691"/>
      <c r="D919" s="691"/>
      <c r="E919" s="691"/>
      <c r="F919" s="691"/>
      <c r="G919" s="691"/>
      <c r="H919" s="691"/>
      <c r="I919" s="871"/>
    </row>
    <row r="920" spans="1:12" ht="12.75" customHeight="1" x14ac:dyDescent="0.3">
      <c r="A920" s="872"/>
      <c r="B920" s="869"/>
      <c r="C920" s="869"/>
      <c r="D920" s="869"/>
      <c r="E920" s="869"/>
      <c r="F920" s="869"/>
      <c r="G920" s="869"/>
      <c r="H920" s="869"/>
      <c r="I920" s="873"/>
    </row>
    <row r="921" spans="1:12" s="109" customFormat="1" ht="10.5" customHeight="1" x14ac:dyDescent="0.2">
      <c r="A921" s="926" t="s">
        <v>68</v>
      </c>
      <c r="B921" s="927"/>
      <c r="C921" s="927"/>
      <c r="D921" s="927"/>
      <c r="E921" s="927"/>
      <c r="F921" s="927"/>
      <c r="G921" s="927"/>
      <c r="H921" s="927"/>
      <c r="I921" s="928"/>
      <c r="L921" s="202"/>
    </row>
    <row r="922" spans="1:12" s="109" customFormat="1" ht="10.5" customHeight="1" x14ac:dyDescent="0.2">
      <c r="A922" s="97" t="s">
        <v>69</v>
      </c>
      <c r="B922" s="150" t="s">
        <v>256</v>
      </c>
      <c r="C922" s="707" t="s">
        <v>70</v>
      </c>
      <c r="D922" s="916" t="str">
        <f>VLOOKUP(B922,[6]PRESUPUESTO!$A$18:$I$90,3,FALSE)</f>
        <v>SUMINISTRO CORTE, FIGURACIÓN Y COLOCACIÓN DE ACERO 60000 PSI</v>
      </c>
      <c r="E922" s="916"/>
      <c r="F922" s="916"/>
      <c r="G922" s="916"/>
      <c r="H922" s="916"/>
      <c r="I922" s="929"/>
      <c r="L922" s="202"/>
    </row>
    <row r="923" spans="1:12" s="109" customFormat="1" ht="10.5" customHeight="1" x14ac:dyDescent="0.2">
      <c r="A923" s="97" t="s">
        <v>71</v>
      </c>
      <c r="B923" s="151" t="str">
        <f>VLOOKUP(B922,[6]PRESUPUESTO!$A$18:$I$90,2,FALSE)</f>
        <v>641.1-13</v>
      </c>
      <c r="C923" s="707"/>
      <c r="D923" s="162" t="s">
        <v>12</v>
      </c>
      <c r="E923" s="152" t="s">
        <v>123</v>
      </c>
      <c r="F923" s="152" t="s">
        <v>13</v>
      </c>
      <c r="G923" s="152">
        <f>VLOOKUP(B923,[6]PRESUPUESTO!$B$15:$I$1222,5,FALSE)</f>
        <v>2160</v>
      </c>
      <c r="H923" s="153" t="s">
        <v>27</v>
      </c>
      <c r="I923" s="53">
        <f>+I947</f>
        <v>11763</v>
      </c>
      <c r="L923" s="202"/>
    </row>
    <row r="924" spans="1:12" s="109" customFormat="1" ht="10.5" customHeight="1" x14ac:dyDescent="0.2">
      <c r="A924" s="54" t="s">
        <v>14</v>
      </c>
      <c r="B924" s="154"/>
      <c r="C924" s="155"/>
      <c r="D924" s="155"/>
      <c r="E924" s="155"/>
      <c r="F924" s="155"/>
      <c r="G924" s="155"/>
      <c r="H924" s="155"/>
      <c r="I924" s="55"/>
      <c r="L924" s="202"/>
    </row>
    <row r="925" spans="1:12" s="109" customFormat="1" ht="10.5" customHeight="1" x14ac:dyDescent="0.2">
      <c r="A925" s="915" t="s">
        <v>19</v>
      </c>
      <c r="B925" s="916"/>
      <c r="C925" s="916"/>
      <c r="D925" s="916"/>
      <c r="E925" s="916"/>
      <c r="F925" s="156" t="s">
        <v>28</v>
      </c>
      <c r="G925" s="156" t="s">
        <v>29</v>
      </c>
      <c r="H925" s="156" t="s">
        <v>30</v>
      </c>
      <c r="I925" s="56"/>
      <c r="L925" s="202"/>
    </row>
    <row r="926" spans="1:12" s="109" customFormat="1" ht="10.5" customHeight="1" x14ac:dyDescent="0.2">
      <c r="A926" s="96" t="s">
        <v>1</v>
      </c>
      <c r="B926" s="149"/>
      <c r="C926" s="921"/>
      <c r="D926" s="921"/>
      <c r="E926" s="921"/>
      <c r="F926" s="162"/>
      <c r="G926" s="155"/>
      <c r="H926" s="157">
        <f>+F926*G926</f>
        <v>0</v>
      </c>
      <c r="I926" s="56"/>
      <c r="L926" s="202"/>
    </row>
    <row r="927" spans="1:12" s="109" customFormat="1" ht="10.5" customHeight="1" x14ac:dyDescent="0.2">
      <c r="A927" s="57"/>
      <c r="B927" s="155"/>
      <c r="C927" s="155"/>
      <c r="D927" s="155"/>
      <c r="E927" s="155"/>
      <c r="F927" s="158" t="s">
        <v>32</v>
      </c>
      <c r="G927" s="159" t="str">
        <f>+B922</f>
        <v>3.6</v>
      </c>
      <c r="H927" s="159" t="s">
        <v>339</v>
      </c>
      <c r="I927" s="55">
        <f>SUM(H926:H926)</f>
        <v>0</v>
      </c>
      <c r="L927" s="202"/>
    </row>
    <row r="928" spans="1:12" s="109" customFormat="1" ht="10.5" customHeight="1" x14ac:dyDescent="0.2">
      <c r="A928" s="54" t="s">
        <v>34</v>
      </c>
      <c r="B928" s="154"/>
      <c r="C928" s="155"/>
      <c r="D928" s="155"/>
      <c r="E928" s="155"/>
      <c r="F928" s="155"/>
      <c r="G928" s="155"/>
      <c r="H928" s="155"/>
      <c r="I928" s="56"/>
      <c r="L928" s="202"/>
    </row>
    <row r="929" spans="1:12" s="109" customFormat="1" ht="10.5" customHeight="1" x14ac:dyDescent="0.2">
      <c r="A929" s="915" t="s">
        <v>35</v>
      </c>
      <c r="B929" s="916"/>
      <c r="C929" s="916"/>
      <c r="D929" s="916"/>
      <c r="E929" s="156" t="s">
        <v>12</v>
      </c>
      <c r="F929" s="156" t="s">
        <v>36</v>
      </c>
      <c r="G929" s="156" t="s">
        <v>37</v>
      </c>
      <c r="H929" s="156" t="s">
        <v>38</v>
      </c>
      <c r="I929" s="56"/>
      <c r="L929" s="202"/>
    </row>
    <row r="930" spans="1:12" s="109" customFormat="1" ht="10.5" customHeight="1" x14ac:dyDescent="0.2">
      <c r="A930" s="96" t="s">
        <v>523</v>
      </c>
      <c r="B930" s="149" t="s">
        <v>134</v>
      </c>
      <c r="C930" s="878" t="str">
        <f>IF($A930="EQUI",VLOOKUP($B930,EQUI!B$16:G$35,2,FALSE),IF($A930="TRAN",VLOOKUP($B930,TRAN!$B$16:$G$26,2,FALSE),IF($A930="MAT1",VLOOKUP($B930,'MAT1'!$B$16:$G$43,2,FALSE),IF($A930="MAT2",VLOOKUP($B930,'MAT2'!$B$16:$G$65,2,FALSE),IF($A930="MDEO",VLOOKUP($B930,MDEO!$B$16:$P$27,2,FALSE))))))</f>
        <v>Acero  60000 psi</v>
      </c>
      <c r="D930" s="878"/>
      <c r="E930" s="123" t="str">
        <f>IF($A930="EQUI",VLOOKUP($B930,EQUI!B$16:G$35,3,FALSE),IF($A930="TRAN",VLOOKUP($B930,TRAN!$B$16:$G$26,3,FALSE),IF($A930="MAT1",VLOOKUP($B930,'MAT1'!$B$16:$G$43,3,FALSE),IF($A930="MAT2",VLOOKUP($B930,'MAT2'!$B$16:$G$55,3,FALSE),IF($A930="MDEO",VLOOKUP($B930,MDEO!$B$16:$P$27,3,FALSE))))))</f>
        <v>KG</v>
      </c>
      <c r="F930" s="123">
        <f>IF($A930="EQUI",VLOOKUP($B930,EQUI!B$16:G$35,4,FALSE),IF($A930="TRAN",VLOOKUP($B930,TRAN!$B$16:$G$26,4,FALSE),IF($A930="MAT1",VLOOKUP($B930,'MAT1'!$B$16:$G$43,4,FALSE),IF($A930="MAT2",VLOOKUP($B930,'MAT2'!$B$16:$G$53,4,FALSE),IF($A930="MDEO",VLOOKUP($B930,MDEO!$B$16:$P$27,4,FALSE))))))</f>
        <v>6913</v>
      </c>
      <c r="G930" s="157">
        <v>1</v>
      </c>
      <c r="H930" s="157">
        <f>+F930*G930</f>
        <v>6913</v>
      </c>
      <c r="I930" s="56"/>
      <c r="L930" s="202"/>
    </row>
    <row r="931" spans="1:12" s="109" customFormat="1" ht="10.5" customHeight="1" x14ac:dyDescent="0.2">
      <c r="A931" s="96" t="s">
        <v>523</v>
      </c>
      <c r="B931" s="149" t="s">
        <v>41</v>
      </c>
      <c r="C931" s="878" t="str">
        <f>IF($A931="EQUI",VLOOKUP($B931,EQUI!B$16:G$35,2,FALSE),IF($A931="TRAN",VLOOKUP($B931,TRAN!$B$16:$G$26,2,FALSE),IF($A931="MAT1",VLOOKUP($B931,'MAT1'!$B$16:$G$43,2,FALSE),IF($A931="MAT2",VLOOKUP($B931,'MAT2'!$B$16:$G$65,2,FALSE),IF($A931="MDEO",VLOOKUP($B931,MDEO!$B$16:$P$27,2,FALSE))))))</f>
        <v>Alambre quemado</v>
      </c>
      <c r="D931" s="878"/>
      <c r="E931" s="123" t="str">
        <f>IF($A931="EQUI",VLOOKUP($B931,EQUI!B$16:G$35,3,FALSE),IF($A931="TRAN",VLOOKUP($B931,TRAN!$B$16:$G$26,3,FALSE),IF($A931="MAT1",VLOOKUP($B931,'MAT1'!$B$16:$G$43,3,FALSE),IF($A931="MAT2",VLOOKUP($B931,'MAT2'!$B$16:$G$55,3,FALSE),IF($A931="MDEO",VLOOKUP($B931,MDEO!$B$16:$P$27,3,FALSE))))))</f>
        <v>KG</v>
      </c>
      <c r="F931" s="123">
        <f>IF($A931="EQUI",VLOOKUP($B931,EQUI!B$16:G$35,4,FALSE),IF($A931="TRAN",VLOOKUP($B931,TRAN!$B$16:$G$26,4,FALSE),IF($A931="MAT1",VLOOKUP($B931,'MAT1'!$B$16:$G$43,4,FALSE),IF($A931="MAT2",VLOOKUP($B931,'MAT2'!$B$16:$G$53,4,FALSE),IF($A931="MDEO",VLOOKUP($B931,MDEO!$B$16:$P$27,4,FALSE))))))</f>
        <v>8321</v>
      </c>
      <c r="G931" s="157">
        <f>0.4*G930</f>
        <v>0.4</v>
      </c>
      <c r="H931" s="157">
        <f>+F931*G931</f>
        <v>3328.4</v>
      </c>
      <c r="I931" s="56"/>
      <c r="L931" s="202"/>
    </row>
    <row r="932" spans="1:12" s="109" customFormat="1" ht="10.5" customHeight="1" x14ac:dyDescent="0.2">
      <c r="A932" s="57"/>
      <c r="B932" s="155"/>
      <c r="C932" s="155"/>
      <c r="D932" s="155"/>
      <c r="E932" s="155"/>
      <c r="F932" s="158" t="s">
        <v>32</v>
      </c>
      <c r="G932" s="159" t="str">
        <f>+B922</f>
        <v>3.6</v>
      </c>
      <c r="H932" s="160" t="s">
        <v>340</v>
      </c>
      <c r="I932" s="55">
        <f>SUM(H930:H931)</f>
        <v>10241.4</v>
      </c>
      <c r="L932" s="202"/>
    </row>
    <row r="933" spans="1:12" s="109" customFormat="1" ht="10.5" customHeight="1" x14ac:dyDescent="0.2">
      <c r="A933" s="54" t="s">
        <v>15</v>
      </c>
      <c r="B933" s="154"/>
      <c r="C933" s="155"/>
      <c r="D933" s="155"/>
      <c r="E933" s="155"/>
      <c r="F933" s="155"/>
      <c r="G933" s="155"/>
      <c r="H933" s="155"/>
      <c r="I933" s="56"/>
      <c r="L933" s="202"/>
    </row>
    <row r="934" spans="1:12" s="109" customFormat="1" ht="10.5" customHeight="1" x14ac:dyDescent="0.2">
      <c r="A934" s="915" t="s">
        <v>19</v>
      </c>
      <c r="B934" s="916"/>
      <c r="C934" s="916"/>
      <c r="D934" s="156" t="s">
        <v>43</v>
      </c>
      <c r="E934" s="156" t="s">
        <v>44</v>
      </c>
      <c r="F934" s="162" t="s">
        <v>388</v>
      </c>
      <c r="G934" s="156" t="s">
        <v>17</v>
      </c>
      <c r="H934" s="156" t="s">
        <v>30</v>
      </c>
      <c r="I934" s="56"/>
      <c r="L934" s="202"/>
    </row>
    <row r="935" spans="1:12" s="109" customFormat="1" ht="10.5" customHeight="1" x14ac:dyDescent="0.2">
      <c r="A935" s="58" t="s">
        <v>3</v>
      </c>
      <c r="B935" s="149" t="s">
        <v>166</v>
      </c>
      <c r="C935" s="161"/>
      <c r="D935" s="162"/>
      <c r="E935" s="162"/>
      <c r="F935" s="162"/>
      <c r="G935" s="156"/>
      <c r="H935" s="157"/>
      <c r="I935" s="56"/>
      <c r="L935" s="202"/>
    </row>
    <row r="936" spans="1:12" s="109" customFormat="1" ht="10.5" customHeight="1" x14ac:dyDescent="0.2">
      <c r="A936" s="58" t="s">
        <v>3</v>
      </c>
      <c r="B936" s="149" t="s">
        <v>171</v>
      </c>
      <c r="C936" s="161"/>
      <c r="D936" s="162"/>
      <c r="E936" s="162"/>
      <c r="F936" s="162"/>
      <c r="G936" s="156"/>
      <c r="H936" s="157"/>
      <c r="I936" s="56"/>
      <c r="L936" s="202"/>
    </row>
    <row r="937" spans="1:12" s="109" customFormat="1" ht="10.5" customHeight="1" x14ac:dyDescent="0.2">
      <c r="A937" s="58" t="s">
        <v>3</v>
      </c>
      <c r="B937" s="149" t="s">
        <v>164</v>
      </c>
      <c r="C937" s="161"/>
      <c r="D937" s="162"/>
      <c r="E937" s="162"/>
      <c r="F937" s="162"/>
      <c r="G937" s="156"/>
      <c r="H937" s="157"/>
      <c r="I937" s="56"/>
      <c r="L937" s="202"/>
    </row>
    <row r="938" spans="1:12" s="109" customFormat="1" ht="10.5" customHeight="1" x14ac:dyDescent="0.2">
      <c r="A938" s="57"/>
      <c r="B938" s="155"/>
      <c r="C938" s="155"/>
      <c r="D938" s="155"/>
      <c r="E938" s="155"/>
      <c r="F938" s="158" t="s">
        <v>32</v>
      </c>
      <c r="G938" s="159" t="str">
        <f>+B922</f>
        <v>3.6</v>
      </c>
      <c r="H938" s="160" t="s">
        <v>341</v>
      </c>
      <c r="I938" s="55">
        <f>SUM(H935:H937)</f>
        <v>0</v>
      </c>
      <c r="L938" s="202"/>
    </row>
    <row r="939" spans="1:12" s="109" customFormat="1" ht="10.5" customHeight="1" x14ac:dyDescent="0.2">
      <c r="A939" s="54"/>
      <c r="B939" s="154"/>
      <c r="C939" s="155"/>
      <c r="D939" s="155"/>
      <c r="E939" s="155"/>
      <c r="F939" s="155"/>
      <c r="G939" s="155"/>
      <c r="H939" s="155"/>
      <c r="I939" s="56"/>
      <c r="L939" s="202"/>
    </row>
    <row r="940" spans="1:12" s="109" customFormat="1" ht="10.5" customHeight="1" x14ac:dyDescent="0.2">
      <c r="A940" s="919" t="s">
        <v>18</v>
      </c>
      <c r="B940" s="920"/>
      <c r="C940" s="920"/>
      <c r="D940" s="162" t="s">
        <v>48</v>
      </c>
      <c r="E940" s="162" t="s">
        <v>109</v>
      </c>
      <c r="F940" s="142" t="s">
        <v>250</v>
      </c>
      <c r="G940" s="142" t="s">
        <v>251</v>
      </c>
      <c r="H940" s="162" t="s">
        <v>252</v>
      </c>
      <c r="I940" s="59"/>
      <c r="L940" s="202"/>
    </row>
    <row r="941" spans="1:12" s="109" customFormat="1" ht="10.5" customHeight="1" x14ac:dyDescent="0.2">
      <c r="A941" s="58" t="s">
        <v>4</v>
      </c>
      <c r="B941" s="100" t="s">
        <v>175</v>
      </c>
      <c r="C941" s="163" t="str">
        <f>IF($A941="EQUI",VLOOKUP($B941,[6]EQUI!B$16:G$46,2,FALSE),IF($A941="TRAN",VLOOKUP($B941,[6]TRAN!$B$16:$G$26,2,FALSE),IF($A941="MAT",VLOOKUP($B941,[6]MAT!$B$16:$G$83,2,FALSE),IF($A941="MDEO",VLOOKUP($B941,[6]MDEO!$B$16:$I$21,2,FALSE)))))</f>
        <v>OFICIAL</v>
      </c>
      <c r="D941" s="33">
        <f>IF($A941="EQUI",VLOOKUP($B941,[6]EQUI!B$16:G$46,3,FALSE),IF($A941="TRAN",VLOOKUP($B941,[6]TRAN!$B$16:$G$26,3,FALSE),IF($A941="MAT",VLOOKUP($B941,[6]MAT!$B$16:$G$83,3,FALSE),IF($A941="MDEO",VLOOKUP($B941,[6]MDEO!$B$16:$I$21,3,FALSE)))))</f>
        <v>9301.6465000000026</v>
      </c>
      <c r="E941" s="164">
        <f>IF($A941="EQUI",VLOOKUP($B941,[6]EQUI!B$16:G$46,4,FALSE),IF($A941="TRAN",VLOOKUP($B941,[6]TRAN!$B$16:$G$26,4,FALSE),IF($A941="MAT",VLOOKUP($B941,[6]MAT!$B$16:$G$83,4,FALSE),IF($A941="MDEO",VLOOKUP($B941,[6]MDEO!$B$16:$I$21,4,FALSE)))))</f>
        <v>0</v>
      </c>
      <c r="F941" s="34">
        <f>+D941+D941*E941</f>
        <v>9301.6465000000026</v>
      </c>
      <c r="G941" s="165">
        <v>0.06</v>
      </c>
      <c r="H941" s="18">
        <f>G941*F941</f>
        <v>558.09879000000012</v>
      </c>
      <c r="I941" s="56"/>
      <c r="L941" s="202"/>
    </row>
    <row r="942" spans="1:12" s="109" customFormat="1" ht="10.5" customHeight="1" x14ac:dyDescent="0.2">
      <c r="A942" s="58" t="s">
        <v>4</v>
      </c>
      <c r="B942" s="100" t="s">
        <v>176</v>
      </c>
      <c r="C942" s="163" t="str">
        <f>IF($A942="EQUI",VLOOKUP($B942,[6]EQUI!B$16:G$46,2,FALSE),IF($A942="TRAN",VLOOKUP($B942,[6]TRAN!$B$16:$G$26,2,FALSE),IF($A942="MAT",VLOOKUP($B942,[6]MAT!$B$16:$G$83,2,FALSE),IF($A942="MDEO",VLOOKUP($B942,[6]MDEO!$B$16:$I$21,2,FALSE)))))</f>
        <v>AYUDANTE ENTENDIDO</v>
      </c>
      <c r="D942" s="33">
        <f>IF($A942="EQUI",VLOOKUP($B942,[6]EQUI!B$16:G$46,3,FALSE),IF($A942="TRAN",VLOOKUP($B942,[6]TRAN!$B$16:$G$26,3,FALSE),IF($A942="MAT",VLOOKUP($B942,[6]MAT!$B$16:$G$83,3,FALSE),IF($A942="MDEO",VLOOKUP($B942,[6]MDEO!$B$16:$I$21,3,FALSE)))))</f>
        <v>8051.6465000000007</v>
      </c>
      <c r="E942" s="164">
        <f>IF($A942="EQUI",VLOOKUP($B942,[6]EQUI!B$16:G$46,4,FALSE),IF($A942="TRAN",VLOOKUP($B942,[6]TRAN!$B$16:$G$26,4,FALSE),IF($A942="MAT",VLOOKUP($B942,[6]MAT!$B$16:$G$83,4,FALSE),IF($A942="MDEO",VLOOKUP($B942,[6]MDEO!$B$16:$I$21,4,FALSE)))))</f>
        <v>0</v>
      </c>
      <c r="F942" s="34">
        <f>+D942+D942*E942</f>
        <v>8051.6465000000007</v>
      </c>
      <c r="G942" s="165">
        <v>0.06</v>
      </c>
      <c r="H942" s="18">
        <f>G942*F942</f>
        <v>483.09879000000001</v>
      </c>
      <c r="I942" s="56"/>
      <c r="L942" s="202"/>
    </row>
    <row r="943" spans="1:12" s="109" customFormat="1" ht="10.5" customHeight="1" x14ac:dyDescent="0.2">
      <c r="A943" s="58" t="s">
        <v>4</v>
      </c>
      <c r="B943" s="100" t="s">
        <v>177</v>
      </c>
      <c r="C943" s="163" t="str">
        <f>IF($A943="EQUI",VLOOKUP($B943,[6]EQUI!B$16:G$46,2,FALSE),IF($A943="TRAN",VLOOKUP($B943,[6]TRAN!$B$16:$G$26,2,FALSE),IF($A943="MAT",VLOOKUP($B943,[6]MAT!$B$16:$G$83,2,FALSE),IF($A943="MDEO",VLOOKUP($B943,[6]MDEO!$B$16:$I$21,2,FALSE)))))</f>
        <v>AYUDANTE</v>
      </c>
      <c r="D943" s="33">
        <f>IF($A943="EQUI",VLOOKUP($B943,[6]EQUI!B$16:G$46,3,FALSE),IF($A943="TRAN",VLOOKUP($B943,[6]TRAN!$B$16:$G$26,3,FALSE),IF($A943="MAT",VLOOKUP($B943,[6]MAT!$B$16:$G$83,3,FALSE),IF($A943="MDEO",VLOOKUP($B943,[6]MDEO!$B$16:$I$21,3,FALSE)))))</f>
        <v>6801.6465000000007</v>
      </c>
      <c r="E943" s="164">
        <f>IF($A943="EQUI",VLOOKUP($B943,[6]EQUI!B$16:G$46,4,FALSE),IF($A943="TRAN",VLOOKUP($B943,[6]TRAN!$B$16:$G$26,4,FALSE),IF($A943="MAT",VLOOKUP($B943,[6]MAT!$B$16:$G$83,4,FALSE),IF($A943="MDEO",VLOOKUP($B943,[6]MDEO!$B$16:$I$21,4,FALSE)))))</f>
        <v>0</v>
      </c>
      <c r="F943" s="34">
        <f>+D943+D943*E943</f>
        <v>6801.6465000000007</v>
      </c>
      <c r="G943" s="165">
        <v>0.06</v>
      </c>
      <c r="H943" s="18">
        <f>G943*F943</f>
        <v>408.09879000000001</v>
      </c>
      <c r="I943" s="56"/>
      <c r="L943" s="202"/>
    </row>
    <row r="944" spans="1:12" s="109" customFormat="1" ht="10.5" customHeight="1" x14ac:dyDescent="0.2">
      <c r="A944" s="915"/>
      <c r="B944" s="916"/>
      <c r="C944" s="155"/>
      <c r="D944" s="155"/>
      <c r="E944" s="155"/>
      <c r="F944" s="155"/>
      <c r="G944" s="155"/>
      <c r="H944" s="155"/>
      <c r="I944" s="56"/>
      <c r="L944" s="202"/>
    </row>
    <row r="945" spans="1:12" s="109" customFormat="1" ht="10.5" customHeight="1" x14ac:dyDescent="0.2">
      <c r="A945" s="57"/>
      <c r="B945" s="155"/>
      <c r="C945" s="155"/>
      <c r="D945" s="155"/>
      <c r="E945" s="155"/>
      <c r="F945" s="158" t="s">
        <v>32</v>
      </c>
      <c r="G945" s="159" t="str">
        <f>+B922</f>
        <v>3.6</v>
      </c>
      <c r="H945" s="158" t="s">
        <v>342</v>
      </c>
      <c r="I945" s="55">
        <f>SUM(H941:H944)</f>
        <v>1449.29637</v>
      </c>
      <c r="L945" s="202"/>
    </row>
    <row r="946" spans="1:12" s="109" customFormat="1" ht="10.5" customHeight="1" x14ac:dyDescent="0.2">
      <c r="A946" s="57" t="s">
        <v>54</v>
      </c>
      <c r="B946" s="155"/>
      <c r="C946" s="155"/>
      <c r="D946" s="155"/>
      <c r="E946" s="155"/>
      <c r="F946" s="155"/>
      <c r="G946" s="155"/>
      <c r="H946" s="156"/>
      <c r="I946" s="55">
        <f>I945*0.05</f>
        <v>72.464818500000007</v>
      </c>
      <c r="L946" s="202"/>
    </row>
    <row r="947" spans="1:12" s="109" customFormat="1" ht="10.5" customHeight="1" x14ac:dyDescent="0.2">
      <c r="A947" s="57"/>
      <c r="B947" s="155"/>
      <c r="C947" s="155"/>
      <c r="D947" s="155"/>
      <c r="E947" s="155"/>
      <c r="F947" s="158" t="s">
        <v>55</v>
      </c>
      <c r="G947" s="156"/>
      <c r="H947" s="156"/>
      <c r="I947" s="55">
        <f>ROUND(I945+I946+I932+I927+I938,0)</f>
        <v>11763</v>
      </c>
      <c r="L947" s="202"/>
    </row>
    <row r="948" spans="1:12" s="109" customFormat="1" ht="10.5" customHeight="1" x14ac:dyDescent="0.2">
      <c r="A948" s="915" t="s">
        <v>56</v>
      </c>
      <c r="B948" s="916"/>
      <c r="C948" s="916"/>
      <c r="D948" s="916"/>
      <c r="E948" s="916" t="s">
        <v>57</v>
      </c>
      <c r="F948" s="916"/>
      <c r="G948" s="917" t="s">
        <v>58</v>
      </c>
      <c r="H948" s="917"/>
      <c r="I948" s="55"/>
      <c r="L948" s="202"/>
    </row>
    <row r="949" spans="1:12" s="109" customFormat="1" ht="10.5" customHeight="1" x14ac:dyDescent="0.2">
      <c r="A949" s="915" t="s">
        <v>208</v>
      </c>
      <c r="B949" s="916"/>
      <c r="C949" s="916"/>
      <c r="D949" s="916"/>
      <c r="E949" s="918">
        <v>0.02</v>
      </c>
      <c r="F949" s="918"/>
      <c r="G949" s="917">
        <f>+I947*E949</f>
        <v>235.26</v>
      </c>
      <c r="H949" s="917"/>
      <c r="I949" s="55"/>
      <c r="L949" s="202"/>
    </row>
    <row r="950" spans="1:12" s="109" customFormat="1" ht="10.5" customHeight="1" x14ac:dyDescent="0.2">
      <c r="A950" s="915" t="s">
        <v>5</v>
      </c>
      <c r="B950" s="916"/>
      <c r="C950" s="916"/>
      <c r="D950" s="916"/>
      <c r="E950" s="918">
        <v>0.23</v>
      </c>
      <c r="F950" s="918"/>
      <c r="G950" s="917">
        <f>+E950*I947</f>
        <v>2705.4900000000002</v>
      </c>
      <c r="H950" s="917"/>
      <c r="I950" s="55"/>
      <c r="L950" s="202"/>
    </row>
    <row r="951" spans="1:12" s="109" customFormat="1" ht="10.5" customHeight="1" x14ac:dyDescent="0.2">
      <c r="A951" s="915" t="s">
        <v>6</v>
      </c>
      <c r="B951" s="916"/>
      <c r="C951" s="916"/>
      <c r="D951" s="916"/>
      <c r="E951" s="918">
        <v>0.05</v>
      </c>
      <c r="F951" s="918"/>
      <c r="G951" s="917">
        <f>+E951*I947</f>
        <v>588.15</v>
      </c>
      <c r="H951" s="917"/>
      <c r="I951" s="55"/>
      <c r="L951" s="202"/>
    </row>
    <row r="952" spans="1:12" s="109" customFormat="1" ht="10.5" customHeight="1" x14ac:dyDescent="0.2">
      <c r="A952" s="915" t="s">
        <v>207</v>
      </c>
      <c r="B952" s="916"/>
      <c r="C952" s="916"/>
      <c r="D952" s="916"/>
      <c r="E952" s="918">
        <v>0.02</v>
      </c>
      <c r="F952" s="918"/>
      <c r="G952" s="917">
        <f>+E952*I947</f>
        <v>235.26</v>
      </c>
      <c r="H952" s="917"/>
      <c r="I952" s="55"/>
      <c r="L952" s="202"/>
    </row>
    <row r="953" spans="1:12" s="109" customFormat="1" ht="10.5" customHeight="1" x14ac:dyDescent="0.2">
      <c r="A953" s="930" t="s">
        <v>397</v>
      </c>
      <c r="B953" s="931"/>
      <c r="C953" s="931"/>
      <c r="D953" s="931"/>
      <c r="E953" s="931"/>
      <c r="F953" s="931"/>
      <c r="G953" s="931"/>
      <c r="H953" s="931"/>
      <c r="I953" s="55">
        <f>+G952+G950+G951+G949</f>
        <v>3764.16</v>
      </c>
      <c r="L953" s="202"/>
    </row>
    <row r="954" spans="1:12" s="109" customFormat="1" ht="10.5" customHeight="1" x14ac:dyDescent="0.2">
      <c r="A954" s="930" t="s">
        <v>59</v>
      </c>
      <c r="B954" s="931"/>
      <c r="C954" s="931"/>
      <c r="D954" s="931"/>
      <c r="E954" s="931"/>
      <c r="F954" s="931"/>
      <c r="G954" s="931"/>
      <c r="H954" s="931"/>
      <c r="I954" s="55">
        <f>+I953+I947</f>
        <v>15527.16</v>
      </c>
      <c r="L954" s="202"/>
    </row>
    <row r="955" spans="1:12" s="109" customFormat="1" ht="10.5" customHeight="1" x14ac:dyDescent="0.2">
      <c r="A955" s="98"/>
      <c r="B955" s="166"/>
      <c r="C955" s="166"/>
      <c r="D955" s="166"/>
      <c r="E955" s="166"/>
      <c r="F955" s="166"/>
      <c r="G955" s="166"/>
      <c r="H955" s="166"/>
      <c r="I955" s="55"/>
      <c r="L955" s="202"/>
    </row>
    <row r="956" spans="1:12" s="109" customFormat="1" ht="10.5" customHeight="1" x14ac:dyDescent="0.2">
      <c r="A956" s="932" t="s">
        <v>114</v>
      </c>
      <c r="B956" s="707"/>
      <c r="C956" s="707"/>
      <c r="D956" s="166"/>
      <c r="E956" s="166"/>
      <c r="F956" s="707" t="s">
        <v>396</v>
      </c>
      <c r="G956" s="707"/>
      <c r="H956" s="707"/>
      <c r="I956" s="933"/>
      <c r="L956" s="202"/>
    </row>
    <row r="957" spans="1:12" s="109" customFormat="1" ht="10.5" customHeight="1" x14ac:dyDescent="0.2">
      <c r="A957" s="96" t="s">
        <v>111</v>
      </c>
      <c r="B957" s="916"/>
      <c r="C957" s="916"/>
      <c r="D957" s="155"/>
      <c r="E957" s="155"/>
      <c r="F957" s="156" t="s">
        <v>111</v>
      </c>
      <c r="G957" s="916"/>
      <c r="H957" s="916"/>
      <c r="I957" s="929"/>
      <c r="L957" s="202"/>
    </row>
    <row r="958" spans="1:12" s="109" customFormat="1" ht="10.5" customHeight="1" x14ac:dyDescent="0.2">
      <c r="A958" s="167" t="s">
        <v>115</v>
      </c>
      <c r="B958" s="916" t="str">
        <f>VLOOKUP(A958,[6]INICIO!$E$6:$H$26,2,FALSE)</f>
        <v>LINA MARCELA</v>
      </c>
      <c r="C958" s="916"/>
      <c r="F958" s="168" t="s">
        <v>112</v>
      </c>
      <c r="G958" s="916"/>
      <c r="H958" s="916"/>
      <c r="I958" s="929"/>
      <c r="L958" s="202"/>
    </row>
    <row r="959" spans="1:12" s="109" customFormat="1" ht="10.5" customHeight="1" x14ac:dyDescent="0.2">
      <c r="A959" s="167" t="s">
        <v>113</v>
      </c>
      <c r="B959" s="916" t="str">
        <f>VLOOKUP(A958,[6]INICIO!$E$6:$H$26,4,FALSE)</f>
        <v>05202-316814 ANT</v>
      </c>
      <c r="C959" s="916"/>
      <c r="F959" s="168" t="s">
        <v>113</v>
      </c>
      <c r="G959" s="916"/>
      <c r="H959" s="916"/>
      <c r="I959" s="929"/>
      <c r="L959" s="202"/>
    </row>
    <row r="960" spans="1:12" s="109" customFormat="1" ht="10.5" customHeight="1" x14ac:dyDescent="0.2">
      <c r="A960" s="167"/>
      <c r="B960" s="156"/>
      <c r="C960" s="156"/>
      <c r="F960" s="168"/>
      <c r="G960" s="156"/>
      <c r="H960" s="156"/>
      <c r="I960" s="99"/>
      <c r="L960" s="202"/>
    </row>
    <row r="961" spans="1:12" s="109" customFormat="1" ht="10.5" customHeight="1" x14ac:dyDescent="0.2">
      <c r="A961" s="912" t="s">
        <v>110</v>
      </c>
      <c r="B961" s="913"/>
      <c r="C961" s="913"/>
      <c r="D961" s="913"/>
      <c r="E961" s="913"/>
      <c r="F961" s="913"/>
      <c r="G961" s="913"/>
      <c r="H961" s="913"/>
      <c r="I961" s="914"/>
      <c r="L961" s="202"/>
    </row>
    <row r="962" spans="1:12" s="109" customFormat="1" ht="15.75" customHeight="1" x14ac:dyDescent="0.2">
      <c r="A962" s="909"/>
      <c r="B962" s="910"/>
      <c r="C962" s="910"/>
      <c r="D962" s="910"/>
      <c r="E962" s="910"/>
      <c r="F962" s="910"/>
      <c r="G962" s="910"/>
      <c r="H962" s="910"/>
      <c r="I962" s="911"/>
      <c r="L962" s="202"/>
    </row>
    <row r="963" spans="1:12" s="109" customFormat="1" ht="10.5" customHeight="1" x14ac:dyDescent="0.2">
      <c r="A963" s="912"/>
      <c r="B963" s="913"/>
      <c r="C963" s="913"/>
      <c r="D963" s="913"/>
      <c r="E963" s="913"/>
      <c r="F963" s="913"/>
      <c r="G963" s="913"/>
      <c r="H963" s="913"/>
      <c r="I963" s="914"/>
      <c r="L963" s="202"/>
    </row>
    <row r="964" spans="1:12" s="109" customFormat="1" ht="9.75" customHeight="1" x14ac:dyDescent="0.2">
      <c r="A964" s="169"/>
      <c r="B964" s="170"/>
      <c r="I964" s="171"/>
      <c r="L964" s="202"/>
    </row>
    <row r="965" spans="1:12" ht="12" customHeight="1" x14ac:dyDescent="0.3">
      <c r="A965" s="881" t="s">
        <v>68</v>
      </c>
      <c r="B965" s="604"/>
      <c r="C965" s="604"/>
      <c r="D965" s="604"/>
      <c r="E965" s="604"/>
      <c r="F965" s="604"/>
      <c r="G965" s="604"/>
      <c r="H965" s="604"/>
      <c r="I965" s="894"/>
    </row>
    <row r="966" spans="1:12" ht="12" customHeight="1" x14ac:dyDescent="0.3">
      <c r="A966" s="94" t="s">
        <v>69</v>
      </c>
      <c r="B966" s="112" t="s">
        <v>266</v>
      </c>
      <c r="C966" s="604" t="s">
        <v>70</v>
      </c>
      <c r="D966" s="868" t="str">
        <f>VLOOKUP(B966,PRESUPUESTO!$A$18:$I$68,3,FALSE)</f>
        <v>BORDILLOS EN CONCRETO</v>
      </c>
      <c r="E966" s="868"/>
      <c r="F966" s="868"/>
      <c r="G966" s="868"/>
      <c r="H966" s="868"/>
      <c r="I966" s="884"/>
    </row>
    <row r="967" spans="1:12" ht="12" customHeight="1" x14ac:dyDescent="0.3">
      <c r="A967" s="94" t="s">
        <v>71</v>
      </c>
      <c r="B967" s="112" t="str">
        <f>VLOOKUP(B966,[6]PRESUPUESTO!$A$18:$I$90,2,FALSE)</f>
        <v>672-13</v>
      </c>
      <c r="C967" s="604"/>
      <c r="D967" s="140" t="s">
        <v>12</v>
      </c>
      <c r="E967" s="113" t="s">
        <v>129</v>
      </c>
      <c r="F967" s="113" t="s">
        <v>13</v>
      </c>
      <c r="G967" s="113">
        <f>VLOOKUP(B967,PRESUPUESTO!$B$15:$I$1201,5,FALSE)</f>
        <v>15131</v>
      </c>
      <c r="H967" s="114" t="s">
        <v>27</v>
      </c>
      <c r="I967" s="46">
        <f>+I993</f>
        <v>58763</v>
      </c>
    </row>
    <row r="968" spans="1:12" ht="12" customHeight="1" x14ac:dyDescent="0.3">
      <c r="A968" s="47" t="s">
        <v>14</v>
      </c>
      <c r="B968" s="3"/>
      <c r="C968" s="115"/>
      <c r="D968" s="115"/>
      <c r="E968" s="115"/>
      <c r="F968" s="115"/>
      <c r="G968" s="115"/>
      <c r="H968" s="115"/>
      <c r="I968" s="48"/>
    </row>
    <row r="969" spans="1:12" ht="12" customHeight="1" x14ac:dyDescent="0.3">
      <c r="A969" s="879" t="s">
        <v>19</v>
      </c>
      <c r="B969" s="868"/>
      <c r="C969" s="868"/>
      <c r="D969" s="868"/>
      <c r="E969" s="868"/>
      <c r="F969" s="116" t="s">
        <v>28</v>
      </c>
      <c r="G969" s="116" t="s">
        <v>29</v>
      </c>
      <c r="H969" s="116" t="s">
        <v>30</v>
      </c>
      <c r="I969" s="50"/>
    </row>
    <row r="970" spans="1:12" ht="12" customHeight="1" x14ac:dyDescent="0.3">
      <c r="A970" s="92" t="s">
        <v>1</v>
      </c>
      <c r="B970" s="117" t="s">
        <v>82</v>
      </c>
      <c r="C970" s="878" t="str">
        <f>IF($A970="EQUI",VLOOKUP($B970,[6]EQUI!B$16:G$46,2,FALSE),IF($A970="TRAN",VLOOKUP($B970,[6]TRAN!$B$16:$G$26,2,FALSE),IF(A970="MAT",VLOOKUP($B970,[6]MAT!$B$16:$G$83,2,FALSE),IF(A970="MDEO",VLOOKUP($B970,[6]MDEO!$B$16:$I$21,2,FALSE)))))</f>
        <v xml:space="preserve">EQUIPO PARA COMISION DE TOPOGRAFIA </v>
      </c>
      <c r="D970" s="878"/>
      <c r="E970" s="878"/>
      <c r="F970" s="123">
        <f>IF($A970="EQUI",VLOOKUP($B970,[6]EQUI!B$16:G$46,4,FALSE),IF($A970="TRAN",VLOOKUP($B970,[6]TRAN!$B$16:$G$26,4,FALSE),IF($A970="MAT",VLOOKUP($B970,[6]MAT!$B$16:$G$83,4,FALSE),IF($A970="MDEO",VLOOKUP($B970,[6]MDEO!$B$16:$I$21,4,FALSE)))))</f>
        <v>60000</v>
      </c>
      <c r="G970" s="115">
        <v>0.02</v>
      </c>
      <c r="H970" s="118">
        <f>+F970*G970</f>
        <v>1200</v>
      </c>
      <c r="I970" s="50"/>
    </row>
    <row r="971" spans="1:12" ht="12" customHeight="1" x14ac:dyDescent="0.3">
      <c r="A971" s="92" t="s">
        <v>1</v>
      </c>
      <c r="B971" s="117" t="s">
        <v>85</v>
      </c>
      <c r="C971" s="878" t="str">
        <f>IF($A971="EQUI",VLOOKUP($B971,[6]EQUI!B$16:G$46,2,FALSE),IF($A971="TRAN",VLOOKUP($B971,[6]TRAN!$B$16:$G$26,2,FALSE),IF(A971="MAT",VLOOKUP($B971,[6]MAT!$B$16:$G$83,2,FALSE),IF(A971="MDEO",VLOOKUP($B971,[6]MDEO!$B$16:$I$21,2,FALSE)))))</f>
        <v>FORMALETA PARA BORDILLO/CUNETA</v>
      </c>
      <c r="D971" s="878"/>
      <c r="E971" s="878"/>
      <c r="F971" s="123">
        <f>IF($A971="EQUI",VLOOKUP($B971,[6]EQUI!B$16:G$46,4,FALSE),IF($A971="TRAN",VLOOKUP($B971,[6]TRAN!$B$16:$G$26,4,FALSE),IF($A971="MAT",VLOOKUP($B971,[6]MAT!$B$16:$G$83,4,FALSE),IF($A971="MDEO",VLOOKUP($B971,[6]MDEO!$B$16:$I$21,4,FALSE)))))</f>
        <v>2150</v>
      </c>
      <c r="G971" s="115">
        <v>1</v>
      </c>
      <c r="H971" s="118">
        <f>+F971*G971</f>
        <v>2150</v>
      </c>
      <c r="I971" s="50"/>
    </row>
    <row r="972" spans="1:12" ht="12" customHeight="1" x14ac:dyDescent="0.3">
      <c r="A972" s="92" t="s">
        <v>1</v>
      </c>
      <c r="B972" s="117" t="s">
        <v>98</v>
      </c>
      <c r="C972" s="878" t="str">
        <f>IF($A972="EQUI",VLOOKUP($B972,[6]EQUI!B$16:G$46,2,FALSE),IF($A972="TRAN",VLOOKUP($B972,[6]TRAN!$B$16:$G$26,2,FALSE),IF(A972="MAT",VLOOKUP($B972,[6]MAT!$B$16:$G$83,2,FALSE),IF(A972="MDEO",VLOOKUP($B972,[6]MDEO!$B$16:$I$21,2,FALSE)))))</f>
        <v>VIBRADOR DE AGUJA</v>
      </c>
      <c r="D972" s="878"/>
      <c r="E972" s="878"/>
      <c r="F972" s="123">
        <f>IF($A972="EQUI",VLOOKUP($B972,[6]EQUI!B$16:G$46,4,FALSE),IF($A972="TRAN",VLOOKUP($B972,[6]TRAN!$B$16:$G$26,4,FALSE),IF($A972="MAT",VLOOKUP($B972,[6]MAT!$B$16:$G$83,4,FALSE),IF($A972="MDEO",VLOOKUP($B972,[6]MDEO!$B$16:$I$21,4,FALSE)))))</f>
        <v>4375</v>
      </c>
      <c r="G972" s="115">
        <v>0.3</v>
      </c>
      <c r="H972" s="118">
        <f>+F972*G972</f>
        <v>1312.5</v>
      </c>
      <c r="I972" s="50"/>
    </row>
    <row r="973" spans="1:12" ht="12" customHeight="1" x14ac:dyDescent="0.3">
      <c r="A973" s="92" t="s">
        <v>1</v>
      </c>
      <c r="B973" s="117" t="s">
        <v>90</v>
      </c>
      <c r="C973" s="878" t="str">
        <f>IF($A973="EQUI",VLOOKUP($B973,[6]EQUI!B$16:G$46,2,FALSE),IF($A973="TRAN",VLOOKUP($B973,[6]TRAN!$B$16:$G$26,2,FALSE),IF(A973="MAT",VLOOKUP($B973,[6]MAT!$B$16:$G$83,2,FALSE),IF(A973="MDEO",VLOOKUP($B973,[6]MDEO!$B$16:$I$21,2,FALSE)))))</f>
        <v>LISTON Y VARILLA AJUS. FORMALETA METALICA</v>
      </c>
      <c r="D973" s="878"/>
      <c r="E973" s="878"/>
      <c r="F973" s="123">
        <f>IF($A973="EQUI",VLOOKUP($B973,[6]EQUI!B$16:G$46,4,FALSE),IF($A973="TRAN",VLOOKUP($B973,[6]TRAN!$B$16:$G$26,4,FALSE),IF($A973="MAT",VLOOKUP($B973,[6]MAT!$B$16:$G$83,4,FALSE),IF($A973="MDEO",VLOOKUP($B973,[6]MDEO!$B$16:$I$21,4,FALSE)))))</f>
        <v>1000</v>
      </c>
      <c r="G973" s="115">
        <v>1</v>
      </c>
      <c r="H973" s="118">
        <f>+F973*G973</f>
        <v>1000</v>
      </c>
      <c r="I973" s="50"/>
    </row>
    <row r="974" spans="1:12" ht="12" customHeight="1" x14ac:dyDescent="0.3">
      <c r="A974" s="49"/>
      <c r="B974" s="115"/>
      <c r="C974" s="115"/>
      <c r="D974" s="115"/>
      <c r="E974" s="115"/>
      <c r="F974" s="120" t="s">
        <v>32</v>
      </c>
      <c r="G974" s="121" t="str">
        <f>+B966</f>
        <v>4.1</v>
      </c>
      <c r="H974" s="121" t="s">
        <v>343</v>
      </c>
      <c r="I974" s="48">
        <f>SUM(H970:H973)</f>
        <v>5662.5</v>
      </c>
    </row>
    <row r="975" spans="1:12" ht="12" customHeight="1" x14ac:dyDescent="0.3">
      <c r="A975" s="47" t="s">
        <v>34</v>
      </c>
      <c r="B975" s="3"/>
      <c r="C975" s="115"/>
      <c r="D975" s="115"/>
      <c r="E975" s="115"/>
      <c r="F975" s="115"/>
      <c r="G975" s="115"/>
      <c r="H975" s="115"/>
      <c r="I975" s="50"/>
    </row>
    <row r="976" spans="1:12" ht="12" customHeight="1" x14ac:dyDescent="0.3">
      <c r="A976" s="879" t="s">
        <v>35</v>
      </c>
      <c r="B976" s="868"/>
      <c r="C976" s="868"/>
      <c r="D976" s="868"/>
      <c r="E976" s="116" t="s">
        <v>12</v>
      </c>
      <c r="F976" s="116" t="s">
        <v>36</v>
      </c>
      <c r="G976" s="116" t="s">
        <v>37</v>
      </c>
      <c r="H976" s="116" t="s">
        <v>38</v>
      </c>
      <c r="I976" s="50"/>
    </row>
    <row r="977" spans="1:9" ht="12" customHeight="1" x14ac:dyDescent="0.3">
      <c r="A977" s="92" t="s">
        <v>523</v>
      </c>
      <c r="B977" s="117" t="s">
        <v>138</v>
      </c>
      <c r="C977" s="878" t="str">
        <f>IF($A977="EQUI",VLOOKUP($B977,EQUI!B$16:G$35,2,FALSE),IF($A977="TRAN",VLOOKUP($B977,TRAN!$B$16:$G$26,2,FALSE),IF($A977="MAT1",VLOOKUP($B977,'MAT1'!$B$16:$G$43,2,FALSE),IF($A977="MAT2",VLOOKUP($B977,'MAT2'!$B$16:$G$65,2,FALSE),IF($A977="MDEO",VLOOKUP($B977,MDEO!$B$16:$P$27,2,FALSE))))))</f>
        <v>Concreto 2500 psi en obra</v>
      </c>
      <c r="D977" s="878"/>
      <c r="E977" s="123" t="str">
        <f>IF($A977="EQUI",VLOOKUP($B977,EQUI!B$16:G$35,3,FALSE),IF($A977="TRAN",VLOOKUP($B977,TRAN!$B$16:$G$26,3,FALSE),IF($A977="MAT1",VLOOKUP($B977,'MAT1'!$B$16:$G$43,3,FALSE),IF($A977="MAT2",VLOOKUP($B977,'MAT2'!$B$16:$G$55,3,FALSE),IF($A977="MDEO",VLOOKUP($B977,MDEO!$B$16:$P$27,3,FALSE))))))</f>
        <v>M3</v>
      </c>
      <c r="F977" s="123">
        <f>IF($A977="EQUI",VLOOKUP($B977,EQUI!B$16:G$35,4,FALSE),IF($A977="TRAN",VLOOKUP($B977,TRAN!$B$16:$G$26,4,FALSE),IF($A977="MAT1",VLOOKUP($B977,'MAT1'!$B$16:$G$43,4,FALSE),IF($A977="MAT2",VLOOKUP($B977,'MAT2'!$B$16:$G$53,4,FALSE),IF($A977="MDEO",VLOOKUP($B977,MDEO!$B$16:$P$27,4,FALSE))))))</f>
        <v>439313</v>
      </c>
      <c r="G977" s="115">
        <f>0.15*0.35</f>
        <v>5.2499999999999998E-2</v>
      </c>
      <c r="H977" s="118">
        <f>+F977*G977</f>
        <v>23063.932499999999</v>
      </c>
      <c r="I977" s="50"/>
    </row>
    <row r="978" spans="1:9" ht="12" customHeight="1" x14ac:dyDescent="0.3">
      <c r="A978" s="92" t="s">
        <v>523</v>
      </c>
      <c r="B978" s="117" t="s">
        <v>143</v>
      </c>
      <c r="C978" s="878" t="str">
        <f>IF($A978="EQUI",VLOOKUP($B978,EQUI!B$16:G$35,2,FALSE),IF($A978="TRAN",VLOOKUP($B978,TRAN!$B$16:$G$26,2,FALSE),IF($A978="MAT1",VLOOKUP($B978,'MAT1'!$B$16:$G$43,2,FALSE),IF($A978="MAT2",VLOOKUP($B978,'MAT2'!$B$16:$G$65,2,FALSE),IF($A978="MDEO",VLOOKUP($B978,MDEO!$B$16:$P$27,2,FALSE))))))</f>
        <v>Mortero 1:6 para pega y rebitada</v>
      </c>
      <c r="D978" s="878"/>
      <c r="E978" s="123" t="str">
        <f>IF($A978="EQUI",VLOOKUP($B978,EQUI!B$16:G$35,3,FALSE),IF($A978="TRAN",VLOOKUP($B978,TRAN!$B$16:$G$26,3,FALSE),IF($A978="MAT1",VLOOKUP($B978,'MAT1'!$B$16:$G$43,3,FALSE),IF($A978="MAT2",VLOOKUP($B978,'MAT2'!$B$16:$G$55,3,FALSE),IF($A978="MDEO",VLOOKUP($B978,MDEO!$B$16:$P$27,3,FALSE))))))</f>
        <v>M3</v>
      </c>
      <c r="F978" s="123">
        <f>IF($A978="EQUI",VLOOKUP($B978,EQUI!B$16:G$35,4,FALSE),IF($A978="TRAN",VLOOKUP($B978,TRAN!$B$16:$G$26,4,FALSE),IF($A978="MAT1",VLOOKUP($B978,'MAT1'!$B$16:$G$43,4,FALSE),IF($A978="MAT2",VLOOKUP($B978,'MAT2'!$B$16:$G$53,4,FALSE),IF($A978="MDEO",VLOOKUP($B978,MDEO!$B$16:$P$27,4,FALSE))))))</f>
        <v>403352</v>
      </c>
      <c r="G978" s="115">
        <v>0.02</v>
      </c>
      <c r="H978" s="118">
        <f>+F978*G978</f>
        <v>8067.04</v>
      </c>
      <c r="I978" s="50"/>
    </row>
    <row r="979" spans="1:9" ht="12" customHeight="1" x14ac:dyDescent="0.3">
      <c r="A979" s="49"/>
      <c r="B979" s="115"/>
      <c r="C979" s="115"/>
      <c r="D979" s="115"/>
      <c r="E979" s="115"/>
      <c r="F979" s="120" t="s">
        <v>32</v>
      </c>
      <c r="G979" s="121" t="str">
        <f>+B966</f>
        <v>4.1</v>
      </c>
      <c r="H979" s="121" t="s">
        <v>344</v>
      </c>
      <c r="I979" s="48">
        <f>SUM(H977:H978)</f>
        <v>31130.9725</v>
      </c>
    </row>
    <row r="980" spans="1:9" ht="12" customHeight="1" x14ac:dyDescent="0.3">
      <c r="A980" s="47" t="s">
        <v>15</v>
      </c>
      <c r="B980" s="3"/>
      <c r="C980" s="115"/>
      <c r="D980" s="115"/>
      <c r="E980" s="115"/>
      <c r="F980" s="115"/>
      <c r="G980" s="115"/>
      <c r="H980" s="115"/>
      <c r="I980" s="50"/>
    </row>
    <row r="981" spans="1:9" ht="12" customHeight="1" x14ac:dyDescent="0.3">
      <c r="A981" s="879" t="s">
        <v>19</v>
      </c>
      <c r="B981" s="868"/>
      <c r="C981" s="868"/>
      <c r="D981" s="116" t="s">
        <v>43</v>
      </c>
      <c r="E981" s="116" t="s">
        <v>44</v>
      </c>
      <c r="F981" s="123" t="s">
        <v>45</v>
      </c>
      <c r="G981" s="116" t="s">
        <v>17</v>
      </c>
      <c r="H981" s="116" t="s">
        <v>30</v>
      </c>
      <c r="I981" s="50"/>
    </row>
    <row r="982" spans="1:9" ht="12" customHeight="1" x14ac:dyDescent="0.3">
      <c r="A982" s="51" t="s">
        <v>3</v>
      </c>
      <c r="B982" s="117" t="s">
        <v>168</v>
      </c>
      <c r="C982" s="133" t="str">
        <f>IF($A982="EQUI",VLOOKUP($B982,[6]EQUI!B$16:G$46,2,FALSE),IF($A982="TRAN",VLOOKUP($B982,[6]TRAN!$B$16:$G$26,2,FALSE),IF(A982="MAT",VLOOKUP($B982,[6]MAT!$B$16:$G$83,2,FALSE),IF(A982="MDEO",VLOOKUP($B982,[6]MDEO!$B$16:$I$21,2,FALSE)))))</f>
        <v>TRANS INT  BORDILLO UN</v>
      </c>
      <c r="D982" s="123">
        <v>1</v>
      </c>
      <c r="E982" s="123">
        <v>1</v>
      </c>
      <c r="F982" s="123">
        <f>+E982*D982</f>
        <v>1</v>
      </c>
      <c r="G982" s="116">
        <f>IF($A982="EQUI",VLOOKUP($B982,[6]EQUI!B$16:G$46,4,FALSE),IF($A982="TRAN",VLOOKUP($B982,[6]TRAN!$B$16:$G$26,4,FALSE),IF($A982="MAT",VLOOKUP($B982,[6]MAT!$B$16:$G$83,4,FALSE),IF($A982="MDEO",VLOOKUP($B982,[6]MDEO!$B$16:$I$21,4,FALSE)))))</f>
        <v>300</v>
      </c>
      <c r="H982" s="118">
        <f>+F982*G982</f>
        <v>300</v>
      </c>
      <c r="I982" s="50"/>
    </row>
    <row r="983" spans="1:9" ht="12" customHeight="1" x14ac:dyDescent="0.3">
      <c r="A983" s="49"/>
      <c r="B983" s="115"/>
      <c r="C983" s="115"/>
      <c r="D983" s="115"/>
      <c r="E983" s="115"/>
      <c r="F983" s="120" t="s">
        <v>32</v>
      </c>
      <c r="G983" s="121" t="str">
        <f>+B966</f>
        <v>4.1</v>
      </c>
      <c r="H983" s="121" t="s">
        <v>345</v>
      </c>
      <c r="I983" s="48">
        <f>SUM(H982:H982)</f>
        <v>300</v>
      </c>
    </row>
    <row r="984" spans="1:9" ht="12" customHeight="1" x14ac:dyDescent="0.3">
      <c r="A984" s="47"/>
      <c r="B984" s="3"/>
      <c r="C984" s="115"/>
      <c r="D984" s="115"/>
      <c r="E984" s="115"/>
      <c r="F984" s="115"/>
      <c r="G984" s="115"/>
      <c r="H984" s="115"/>
      <c r="I984" s="50"/>
    </row>
    <row r="985" spans="1:9" ht="12" customHeight="1" x14ac:dyDescent="0.3">
      <c r="A985" s="882" t="s">
        <v>18</v>
      </c>
      <c r="B985" s="883"/>
      <c r="C985" s="883"/>
      <c r="D985" s="140" t="s">
        <v>48</v>
      </c>
      <c r="E985" s="140" t="s">
        <v>109</v>
      </c>
      <c r="F985" s="141" t="s">
        <v>250</v>
      </c>
      <c r="G985" s="142" t="s">
        <v>251</v>
      </c>
      <c r="H985" s="140" t="s">
        <v>252</v>
      </c>
      <c r="I985" s="52"/>
    </row>
    <row r="986" spans="1:9" ht="12" customHeight="1" x14ac:dyDescent="0.3">
      <c r="A986" s="51" t="s">
        <v>4</v>
      </c>
      <c r="B986" s="131" t="s">
        <v>175</v>
      </c>
      <c r="C986" s="126" t="str">
        <f>IF($A986="EQUI",VLOOKUP($B986,[6]EQUI!B$16:G$46,2,FALSE),IF($A986="TRAN",VLOOKUP($B986,[6]TRAN!$B$16:$G$26,2,FALSE),IF($A986="MAT",VLOOKUP($B986,[6]MAT!$B$16:$G$83,2,FALSE),IF($A986="MDEO",VLOOKUP($B986,[6]MDEO!$B$16:$I$21,2,FALSE)))))</f>
        <v>OFICIAL</v>
      </c>
      <c r="D986" s="31">
        <f>IF($A986="EQUI",VLOOKUP($B986,[6]EQUI!B$16:G$46,3,FALSE),IF($A986="TRAN",VLOOKUP($B986,[6]TRAN!$B$16:$G$26,3,FALSE),IF($A986="MAT",VLOOKUP($B986,[6]MAT!$B$16:$G$83,3,FALSE),IF($A986="MDEO",VLOOKUP($B986,[6]MDEO!$B$16:$I$21,3,FALSE)))))</f>
        <v>9301.6465000000026</v>
      </c>
      <c r="E986" s="127">
        <f>IF($A986="EQUI",VLOOKUP($B986,[6]EQUI!B$16:G$46,4,FALSE),IF($A986="TRAN",VLOOKUP($B986,[6]TRAN!$B$16:$G$26,4,FALSE),IF($A986="MAT",VLOOKUP($B986,[6]MAT!$B$16:$G$83,4,FALSE),IF($A986="MDEO",VLOOKUP($B986,[6]MDEO!$B$16:$I$21,4,FALSE)))))</f>
        <v>0</v>
      </c>
      <c r="F986" s="32">
        <f>+D986+D986*E986</f>
        <v>9301.6465000000026</v>
      </c>
      <c r="G986" s="130">
        <v>0.65</v>
      </c>
      <c r="H986" s="128">
        <f>G986*F986</f>
        <v>6046.0702250000022</v>
      </c>
      <c r="I986" s="50"/>
    </row>
    <row r="987" spans="1:9" ht="12" customHeight="1" x14ac:dyDescent="0.3">
      <c r="A987" s="51" t="s">
        <v>4</v>
      </c>
      <c r="B987" s="131" t="s">
        <v>176</v>
      </c>
      <c r="C987" s="126" t="str">
        <f>IF($A987="EQUI",VLOOKUP($B987,[6]EQUI!B$16:G$46,2,FALSE),IF($A987="TRAN",VLOOKUP($B987,[6]TRAN!$B$16:$G$26,2,FALSE),IF($A987="MAT",VLOOKUP($B987,[6]MAT!$B$16:$G$83,2,FALSE),IF($A987="MDEO",VLOOKUP($B987,[6]MDEO!$B$16:$I$21,2,FALSE)))))</f>
        <v>AYUDANTE ENTENDIDO</v>
      </c>
      <c r="D987" s="31">
        <f>IF($A987="EQUI",VLOOKUP($B987,[6]EQUI!B$16:G$46,3,FALSE),IF($A987="TRAN",VLOOKUP($B987,[6]TRAN!$B$16:$G$26,3,FALSE),IF($A987="MAT",VLOOKUP($B987,[6]MAT!$B$16:$G$83,3,FALSE),IF($A987="MDEO",VLOOKUP($B987,[6]MDEO!$B$16:$I$21,3,FALSE)))))</f>
        <v>8051.6465000000007</v>
      </c>
      <c r="E987" s="127">
        <f>IF($A987="EQUI",VLOOKUP($B987,[6]EQUI!B$16:G$46,4,FALSE),IF($A987="TRAN",VLOOKUP($B987,[6]TRAN!$B$16:$G$26,4,FALSE),IF($A987="MAT",VLOOKUP($B987,[6]MAT!$B$16:$G$83,4,FALSE),IF($A987="MDEO",VLOOKUP($B987,[6]MDEO!$B$16:$I$21,4,FALSE)))))</f>
        <v>0</v>
      </c>
      <c r="F987" s="32">
        <f>+D987+D987*E987</f>
        <v>8051.6465000000007</v>
      </c>
      <c r="G987" s="130">
        <v>0.65</v>
      </c>
      <c r="H987" s="128">
        <f>G987*F987</f>
        <v>5233.5702250000004</v>
      </c>
      <c r="I987" s="50"/>
    </row>
    <row r="988" spans="1:9" ht="12" customHeight="1" x14ac:dyDescent="0.3">
      <c r="A988" s="51" t="s">
        <v>4</v>
      </c>
      <c r="B988" s="131" t="s">
        <v>177</v>
      </c>
      <c r="C988" s="126" t="str">
        <f>IF($A988="EQUI",VLOOKUP($B988,[6]EQUI!B$16:G$46,2,FALSE),IF($A988="TRAN",VLOOKUP($B988,[6]TRAN!$B$16:$G$26,2,FALSE),IF($A988="MAT",VLOOKUP($B988,[6]MAT!$B$16:$G$83,2,FALSE),IF($A988="MDEO",VLOOKUP($B988,[6]MDEO!$B$16:$I$21,2,FALSE)))))</f>
        <v>AYUDANTE</v>
      </c>
      <c r="D988" s="31">
        <f>IF($A988="EQUI",VLOOKUP($B988,[6]EQUI!B$16:G$46,3,FALSE),IF($A988="TRAN",VLOOKUP($B988,[6]TRAN!$B$16:$G$26,3,FALSE),IF($A988="MAT",VLOOKUP($B988,[6]MAT!$B$16:$G$83,3,FALSE),IF($A988="MDEO",VLOOKUP($B988,[6]MDEO!$B$16:$I$21,3,FALSE)))))</f>
        <v>6801.6465000000007</v>
      </c>
      <c r="E988" s="127">
        <f>IF($A988="EQUI",VLOOKUP($B988,[6]EQUI!B$16:G$46,4,FALSE),IF($A988="TRAN",VLOOKUP($B988,[6]TRAN!$B$16:$G$26,4,FALSE),IF($A988="MAT",VLOOKUP($B988,[6]MAT!$B$16:$G$83,4,FALSE),IF($A988="MDEO",VLOOKUP($B988,[6]MDEO!$B$16:$I$21,4,FALSE)))))</f>
        <v>0</v>
      </c>
      <c r="F988" s="32">
        <f>+D988+D988*E988</f>
        <v>6801.6465000000007</v>
      </c>
      <c r="G988" s="130">
        <v>1.3</v>
      </c>
      <c r="H988" s="128">
        <f>G988*F988</f>
        <v>8842.1404500000008</v>
      </c>
      <c r="I988" s="50"/>
    </row>
    <row r="989" spans="1:9" ht="12" customHeight="1" x14ac:dyDescent="0.3">
      <c r="A989" s="51" t="s">
        <v>4</v>
      </c>
      <c r="B989" s="131" t="s">
        <v>50</v>
      </c>
      <c r="C989" s="126" t="str">
        <f>IF($A989="EQUI",VLOOKUP($B989,[6]EQUI!B$16:G$46,2,FALSE),IF($A989="TRAN",VLOOKUP($B989,[6]TRAN!$B$16:$G$26,2,FALSE),IF($A989="MAT",VLOOKUP($B989,[6]MAT!$B$16:$G$83,2,FALSE),IF($A989="MDEO",VLOOKUP($B989,[6]MDEO!$B$16:$I$21,2,FALSE)))))</f>
        <v>TOPOGRAFO</v>
      </c>
      <c r="D989" s="31">
        <f>IF($A989="EQUI",VLOOKUP($B989,[6]EQUI!B$16:G$46,3,FALSE),IF($A989="TRAN",VLOOKUP($B989,[6]TRAN!$B$16:$G$26,3,FALSE),IF($A989="MAT",VLOOKUP($B989,[6]MAT!$B$16:$G$83,3,FALSE),IF($A989="MDEO",VLOOKUP($B989,[6]MDEO!$B$16:$I$21,3,FALSE)))))</f>
        <v>14826.936907575571</v>
      </c>
      <c r="E989" s="127">
        <f>IF($A989="EQUI",VLOOKUP($B989,[6]EQUI!B$16:G$46,4,FALSE),IF($A989="TRAN",VLOOKUP($B989,[6]TRAN!$B$16:$G$26,4,FALSE),IF($A989="MAT",VLOOKUP($B989,[6]MAT!$B$16:$G$83,4,FALSE),IF($A989="MDEO",VLOOKUP($B989,[6]MDEO!$B$16:$I$21,4,FALSE)))))</f>
        <v>0</v>
      </c>
      <c r="F989" s="32">
        <f>+D989+D989*E989</f>
        <v>14826.936907575571</v>
      </c>
      <c r="G989" s="130">
        <v>0.02</v>
      </c>
      <c r="H989" s="128">
        <f>G989*F989</f>
        <v>296.53873815151144</v>
      </c>
      <c r="I989" s="50"/>
    </row>
    <row r="990" spans="1:9" ht="12" customHeight="1" x14ac:dyDescent="0.3">
      <c r="A990" s="51" t="s">
        <v>4</v>
      </c>
      <c r="B990" s="131" t="s">
        <v>51</v>
      </c>
      <c r="C990" s="126" t="str">
        <f>IF($A990="EQUI",VLOOKUP($B990,[6]EQUI!B$16:G$46,2,FALSE),IF($A990="TRAN",VLOOKUP($B990,[6]TRAN!$B$16:$G$26,2,FALSE),IF($A990="MAT",VLOOKUP($B990,[6]MAT!$B$16:$G$83,2,FALSE),IF($A990="MDEO",VLOOKUP($B990,[6]MDEO!$B$16:$I$21,2,FALSE)))))</f>
        <v>CADENERO 1</v>
      </c>
      <c r="D990" s="31">
        <f>IF($A990="EQUI",VLOOKUP($B990,[6]EQUI!B$16:G$46,3,FALSE),IF($A990="TRAN",VLOOKUP($B990,[6]TRAN!$B$16:$G$26,3,FALSE),IF($A990="MAT",VLOOKUP($B990,[6]MAT!$B$16:$G$83,3,FALSE),IF($A990="MDEO",VLOOKUP($B990,[6]MDEO!$B$16:$I$21,3,FALSE)))))</f>
        <v>10985.571938383713</v>
      </c>
      <c r="E990" s="127">
        <f>IF($A990="EQUI",VLOOKUP($B990,[6]EQUI!B$16:G$46,4,FALSE),IF($A990="TRAN",VLOOKUP($B990,[6]TRAN!$B$16:$G$26,4,FALSE),IF($A990="MAT",VLOOKUP($B990,[6]MAT!$B$16:$G$83,4,FALSE),IF($A990="MDEO",VLOOKUP($B990,[6]MDEO!$B$16:$I$21,4,FALSE)))))</f>
        <v>0</v>
      </c>
      <c r="F990" s="32">
        <f>+D990+D990*E990</f>
        <v>10985.571938383713</v>
      </c>
      <c r="G990" s="130">
        <v>0.02</v>
      </c>
      <c r="H990" s="128">
        <f>G990*F990</f>
        <v>219.71143876767428</v>
      </c>
      <c r="I990" s="50"/>
    </row>
    <row r="991" spans="1:9" ht="12" customHeight="1" x14ac:dyDescent="0.3">
      <c r="A991" s="49"/>
      <c r="B991" s="115"/>
      <c r="C991" s="115"/>
      <c r="D991" s="115"/>
      <c r="E991" s="115"/>
      <c r="F991" s="120" t="s">
        <v>32</v>
      </c>
      <c r="G991" s="121" t="str">
        <f>+B966</f>
        <v>4.1</v>
      </c>
      <c r="H991" s="120" t="s">
        <v>346</v>
      </c>
      <c r="I991" s="48">
        <f>SUM(H986:H990)</f>
        <v>20638.031076919189</v>
      </c>
    </row>
    <row r="992" spans="1:9" ht="12" customHeight="1" x14ac:dyDescent="0.3">
      <c r="A992" s="49" t="s">
        <v>54</v>
      </c>
      <c r="B992" s="115"/>
      <c r="C992" s="115"/>
      <c r="D992" s="115"/>
      <c r="E992" s="115"/>
      <c r="F992" s="115"/>
      <c r="G992" s="115"/>
      <c r="H992" s="116"/>
      <c r="I992" s="48">
        <f>I991*0.05</f>
        <v>1031.9015538459596</v>
      </c>
    </row>
    <row r="993" spans="1:9" ht="12" customHeight="1" x14ac:dyDescent="0.3">
      <c r="A993" s="49"/>
      <c r="B993" s="115"/>
      <c r="C993" s="115"/>
      <c r="D993" s="115"/>
      <c r="E993" s="115"/>
      <c r="F993" s="120" t="s">
        <v>55</v>
      </c>
      <c r="G993" s="116"/>
      <c r="H993" s="116"/>
      <c r="I993" s="48">
        <f>ROUND(I991+I992+I979+I974+I983,0)</f>
        <v>58763</v>
      </c>
    </row>
    <row r="994" spans="1:9" ht="12" customHeight="1" x14ac:dyDescent="0.3">
      <c r="A994" s="879" t="s">
        <v>56</v>
      </c>
      <c r="B994" s="868"/>
      <c r="C994" s="868"/>
      <c r="D994" s="868"/>
      <c r="E994" s="868" t="s">
        <v>57</v>
      </c>
      <c r="F994" s="868"/>
      <c r="G994" s="875" t="s">
        <v>58</v>
      </c>
      <c r="H994" s="875"/>
      <c r="I994" s="48"/>
    </row>
    <row r="995" spans="1:9" ht="12" customHeight="1" x14ac:dyDescent="0.3">
      <c r="A995" s="879" t="s">
        <v>208</v>
      </c>
      <c r="B995" s="868"/>
      <c r="C995" s="868"/>
      <c r="D995" s="868"/>
      <c r="E995" s="876">
        <v>0.02</v>
      </c>
      <c r="F995" s="876"/>
      <c r="G995" s="875">
        <f>+I993*E995</f>
        <v>1175.26</v>
      </c>
      <c r="H995" s="875"/>
      <c r="I995" s="48"/>
    </row>
    <row r="996" spans="1:9" ht="12" customHeight="1" x14ac:dyDescent="0.3">
      <c r="A996" s="879" t="s">
        <v>5</v>
      </c>
      <c r="B996" s="868"/>
      <c r="C996" s="868"/>
      <c r="D996" s="868"/>
      <c r="E996" s="876">
        <v>0.23</v>
      </c>
      <c r="F996" s="876"/>
      <c r="G996" s="875">
        <f>+E996*I993</f>
        <v>13515.49</v>
      </c>
      <c r="H996" s="875"/>
      <c r="I996" s="48"/>
    </row>
    <row r="997" spans="1:9" ht="12" customHeight="1" x14ac:dyDescent="0.3">
      <c r="A997" s="879" t="s">
        <v>6</v>
      </c>
      <c r="B997" s="868"/>
      <c r="C997" s="868"/>
      <c r="D997" s="868"/>
      <c r="E997" s="876">
        <v>0.05</v>
      </c>
      <c r="F997" s="876"/>
      <c r="G997" s="875">
        <f>+E997*I993</f>
        <v>2938.15</v>
      </c>
      <c r="H997" s="875"/>
      <c r="I997" s="48"/>
    </row>
    <row r="998" spans="1:9" ht="12" customHeight="1" x14ac:dyDescent="0.3">
      <c r="A998" s="879" t="s">
        <v>207</v>
      </c>
      <c r="B998" s="868"/>
      <c r="C998" s="868"/>
      <c r="D998" s="868"/>
      <c r="E998" s="876">
        <v>0.02</v>
      </c>
      <c r="F998" s="876"/>
      <c r="G998" s="875">
        <f>+E998*I993</f>
        <v>1175.26</v>
      </c>
      <c r="H998" s="875"/>
      <c r="I998" s="48"/>
    </row>
    <row r="999" spans="1:9" ht="12" customHeight="1" x14ac:dyDescent="0.3">
      <c r="A999" s="880" t="s">
        <v>397</v>
      </c>
      <c r="B999" s="867"/>
      <c r="C999" s="867"/>
      <c r="D999" s="867"/>
      <c r="E999" s="867"/>
      <c r="F999" s="867"/>
      <c r="G999" s="867"/>
      <c r="H999" s="867"/>
      <c r="I999" s="48">
        <f>+G998+G996+G997+G995</f>
        <v>18804.16</v>
      </c>
    </row>
    <row r="1000" spans="1:9" ht="12" customHeight="1" x14ac:dyDescent="0.3">
      <c r="A1000" s="880" t="s">
        <v>59</v>
      </c>
      <c r="B1000" s="867"/>
      <c r="C1000" s="867"/>
      <c r="D1000" s="867"/>
      <c r="E1000" s="867"/>
      <c r="F1000" s="867"/>
      <c r="G1000" s="867"/>
      <c r="H1000" s="867"/>
      <c r="I1000" s="48">
        <f>+I999+I993</f>
        <v>77567.16</v>
      </c>
    </row>
    <row r="1001" spans="1:9" ht="12" customHeight="1" x14ac:dyDescent="0.3">
      <c r="A1001" s="93"/>
      <c r="B1001" s="65"/>
      <c r="C1001" s="65"/>
      <c r="D1001" s="65"/>
      <c r="E1001" s="65"/>
      <c r="F1001" s="65"/>
      <c r="G1001" s="65"/>
      <c r="H1001" s="65"/>
      <c r="I1001" s="48"/>
    </row>
    <row r="1002" spans="1:9" ht="12" customHeight="1" x14ac:dyDescent="0.3">
      <c r="A1002" s="881" t="s">
        <v>114</v>
      </c>
      <c r="B1002" s="604"/>
      <c r="C1002" s="604"/>
      <c r="D1002" s="65"/>
      <c r="E1002" s="65"/>
      <c r="F1002" s="604" t="s">
        <v>396</v>
      </c>
      <c r="G1002" s="604"/>
      <c r="H1002" s="604"/>
      <c r="I1002" s="894"/>
    </row>
    <row r="1003" spans="1:9" ht="12" customHeight="1" x14ac:dyDescent="0.3">
      <c r="A1003" s="92" t="s">
        <v>111</v>
      </c>
      <c r="B1003" s="868"/>
      <c r="C1003" s="868"/>
      <c r="D1003" s="115"/>
      <c r="E1003" s="115"/>
      <c r="F1003" s="116" t="s">
        <v>111</v>
      </c>
      <c r="G1003" s="868"/>
      <c r="H1003" s="868"/>
      <c r="I1003" s="884"/>
    </row>
    <row r="1004" spans="1:9" ht="12" customHeight="1" x14ac:dyDescent="0.3">
      <c r="A1004" s="132" t="s">
        <v>115</v>
      </c>
      <c r="B1004" s="868" t="str">
        <f>VLOOKUP(A1004,[6]INICIO!$E$6:$H$26,2,FALSE)</f>
        <v>LINA MARCELA</v>
      </c>
      <c r="C1004" s="868"/>
      <c r="F1004" s="86" t="s">
        <v>112</v>
      </c>
      <c r="G1004" s="868"/>
      <c r="H1004" s="868"/>
      <c r="I1004" s="884"/>
    </row>
    <row r="1005" spans="1:9" ht="12" customHeight="1" x14ac:dyDescent="0.3">
      <c r="A1005" s="132" t="s">
        <v>113</v>
      </c>
      <c r="B1005" s="868" t="str">
        <f>VLOOKUP(A1004,[6]INICIO!$E$6:$H$26,4,FALSE)</f>
        <v>05202-316814 ANT</v>
      </c>
      <c r="C1005" s="868"/>
      <c r="F1005" s="86" t="s">
        <v>113</v>
      </c>
      <c r="G1005" s="868"/>
      <c r="H1005" s="868"/>
      <c r="I1005" s="884"/>
    </row>
    <row r="1006" spans="1:9" ht="12" customHeight="1" x14ac:dyDescent="0.3">
      <c r="A1006" s="132"/>
      <c r="B1006" s="116"/>
      <c r="C1006" s="116"/>
      <c r="F1006" s="86"/>
      <c r="G1006" s="116"/>
      <c r="H1006" s="116"/>
      <c r="I1006" s="95"/>
    </row>
    <row r="1007" spans="1:9" ht="12" customHeight="1" x14ac:dyDescent="0.3">
      <c r="A1007" s="872" t="s">
        <v>110</v>
      </c>
      <c r="B1007" s="869"/>
      <c r="C1007" s="869"/>
      <c r="D1007" s="869"/>
      <c r="E1007" s="869"/>
      <c r="F1007" s="869"/>
      <c r="G1007" s="869"/>
      <c r="H1007" s="869"/>
      <c r="I1007" s="873"/>
    </row>
    <row r="1008" spans="1:9" ht="12" customHeight="1" x14ac:dyDescent="0.3">
      <c r="A1008" s="909"/>
      <c r="B1008" s="910"/>
      <c r="C1008" s="910"/>
      <c r="D1008" s="910"/>
      <c r="E1008" s="910"/>
      <c r="F1008" s="910"/>
      <c r="G1008" s="910"/>
      <c r="H1008" s="910"/>
      <c r="I1008" s="911"/>
    </row>
    <row r="1009" spans="1:9" ht="12" customHeight="1" x14ac:dyDescent="0.3">
      <c r="A1009" s="912"/>
      <c r="B1009" s="913"/>
      <c r="C1009" s="913"/>
      <c r="D1009" s="913"/>
      <c r="E1009" s="913"/>
      <c r="F1009" s="913"/>
      <c r="G1009" s="913"/>
      <c r="H1009" s="913"/>
      <c r="I1009" s="914"/>
    </row>
    <row r="1010" spans="1:9" ht="12" customHeight="1" x14ac:dyDescent="0.3">
      <c r="A1010" s="891" t="s">
        <v>68</v>
      </c>
      <c r="B1010" s="892"/>
      <c r="C1010" s="892"/>
      <c r="D1010" s="892"/>
      <c r="E1010" s="892"/>
      <c r="F1010" s="892"/>
      <c r="G1010" s="892"/>
      <c r="H1010" s="892"/>
      <c r="I1010" s="893"/>
    </row>
    <row r="1011" spans="1:9" ht="19.2" customHeight="1" x14ac:dyDescent="0.3">
      <c r="A1011" s="94" t="s">
        <v>69</v>
      </c>
      <c r="B1011" s="112" t="s">
        <v>267</v>
      </c>
      <c r="C1011" s="604" t="s">
        <v>70</v>
      </c>
      <c r="D1011" s="924" t="str">
        <f>VLOOKUP(B1011,PRESUPUESTO!$A$18:$I$68,3,FALSE)</f>
        <v>LLENO DE CONFINAMIENTO PARA BORDILLO CON MATERIAL GRANULAR DE EXCAVACIÓN NO CONTAMINADO AL 60% Y 40% SUBBASE GRANULAR</v>
      </c>
      <c r="E1011" s="924"/>
      <c r="F1011" s="924"/>
      <c r="G1011" s="924"/>
      <c r="H1011" s="924"/>
      <c r="I1011" s="925"/>
    </row>
    <row r="1012" spans="1:9" ht="12.6" customHeight="1" x14ac:dyDescent="0.3">
      <c r="A1012" s="94" t="s">
        <v>71</v>
      </c>
      <c r="B1012" s="112" t="str">
        <f>VLOOKUP(B1011,PRESUPUESTO!$A$18:$I$69,2,FALSE)</f>
        <v>230.1-13</v>
      </c>
      <c r="C1012" s="604"/>
      <c r="D1012" s="140" t="s">
        <v>12</v>
      </c>
      <c r="E1012" s="113" t="s">
        <v>124</v>
      </c>
      <c r="F1012" s="113" t="s">
        <v>13</v>
      </c>
      <c r="G1012" s="113">
        <f>VLOOKUP(B1012,PRESUPUESTO!$B$15:$I$1201,5,FALSE)</f>
        <v>4237</v>
      </c>
      <c r="H1012" s="114" t="s">
        <v>27</v>
      </c>
      <c r="I1012" s="46">
        <f>+I1040</f>
        <v>60221</v>
      </c>
    </row>
    <row r="1013" spans="1:9" ht="12" customHeight="1" x14ac:dyDescent="0.3">
      <c r="A1013" s="47" t="s">
        <v>14</v>
      </c>
      <c r="B1013" s="3"/>
      <c r="C1013" s="115"/>
      <c r="D1013" s="115"/>
      <c r="E1013" s="115"/>
      <c r="F1013" s="115"/>
      <c r="G1013" s="115"/>
      <c r="H1013" s="115"/>
      <c r="I1013" s="48"/>
    </row>
    <row r="1014" spans="1:9" ht="12" customHeight="1" x14ac:dyDescent="0.3">
      <c r="A1014" s="879" t="s">
        <v>19</v>
      </c>
      <c r="B1014" s="868"/>
      <c r="C1014" s="868"/>
      <c r="D1014" s="868"/>
      <c r="E1014" s="868"/>
      <c r="F1014" s="116" t="s">
        <v>28</v>
      </c>
      <c r="G1014" s="116" t="s">
        <v>29</v>
      </c>
      <c r="H1014" s="116" t="s">
        <v>30</v>
      </c>
      <c r="I1014" s="50"/>
    </row>
    <row r="1015" spans="1:9" ht="12" customHeight="1" x14ac:dyDescent="0.3">
      <c r="A1015" s="92" t="s">
        <v>1</v>
      </c>
      <c r="B1015" s="117" t="s">
        <v>97</v>
      </c>
      <c r="C1015" s="878" t="str">
        <f>IF($A1015="EQUI",VLOOKUP($B1015,[6]EQUI!B$16:G$46,2,FALSE),IF($A1015="TRAN",VLOOKUP($B1015,[6]TRAN!$B$16:$G$26,2,FALSE),IF(A1015="MAT",VLOOKUP($B1015,[6]MAT!$B$16:$G$83,2,FALSE),IF(A1015="MDEO",VLOOKUP($B1015,[6]MDEO!$B$16:$I$21,2,FALSE)))))</f>
        <v>TANQUE DE ALMACENAMIENTO DE AGUA</v>
      </c>
      <c r="D1015" s="878"/>
      <c r="E1015" s="878"/>
      <c r="F1015" s="123">
        <f>IF($A1015="EQUI",VLOOKUP($B1015,[6]EQUI!B$16:G$46,4,FALSE),IF($A1015="TRAN",VLOOKUP($B1015,[6]TRAN!$B$16:$G$26,4,FALSE),IF($A1015="MAT",VLOOKUP($B1015,[6]MAT!$B$16:$G$83,4,FALSE),IF($A1015="MDEO",VLOOKUP($B1015,[6]MDEO!$B$16:$I$21,4,FALSE)))))</f>
        <v>1000</v>
      </c>
      <c r="G1015" s="115">
        <v>0.2</v>
      </c>
      <c r="H1015" s="118">
        <f>+F1015*G1015</f>
        <v>200</v>
      </c>
      <c r="I1015" s="50"/>
    </row>
    <row r="1016" spans="1:9" ht="12" customHeight="1" x14ac:dyDescent="0.3">
      <c r="A1016" s="92" t="s">
        <v>1</v>
      </c>
      <c r="B1016" s="117" t="s">
        <v>82</v>
      </c>
      <c r="C1016" s="878" t="str">
        <f>IF($A1016="EQUI",VLOOKUP($B1016,[6]EQUI!B$16:G$46,2,FALSE),IF($A1016="TRAN",VLOOKUP($B1016,[6]TRAN!$B$16:$G$26,2,FALSE),IF(A1016="MAT",VLOOKUP($B1016,[6]MAT!$B$16:$G$83,2,FALSE),IF(A1016="MDEO",VLOOKUP($B1016,[6]MDEO!$B$16:$I$21,2,FALSE)))))</f>
        <v xml:space="preserve">EQUIPO PARA COMISION DE TOPOGRAFIA </v>
      </c>
      <c r="D1016" s="878"/>
      <c r="E1016" s="878"/>
      <c r="F1016" s="123">
        <f>IF($A1016="EQUI",VLOOKUP($B1016,[6]EQUI!B$16:G$46,4,FALSE),IF($A1016="TRAN",VLOOKUP($B1016,[6]TRAN!$B$16:$G$26,4,FALSE),IF($A1016="MAT",VLOOKUP($B1016,[6]MAT!$B$16:$G$83,4,FALSE),IF($A1016="MDEO",VLOOKUP($B1016,[6]MDEO!$B$16:$I$21,4,FALSE)))))</f>
        <v>60000</v>
      </c>
      <c r="G1016" s="115">
        <v>0.02</v>
      </c>
      <c r="H1016" s="118">
        <f>+F1016*G1016</f>
        <v>1200</v>
      </c>
      <c r="I1016" s="50"/>
    </row>
    <row r="1017" spans="1:9" ht="12" customHeight="1" x14ac:dyDescent="0.3">
      <c r="A1017" s="92" t="s">
        <v>1</v>
      </c>
      <c r="B1017" s="117" t="s">
        <v>76</v>
      </c>
      <c r="C1017" s="878" t="str">
        <f>IF($A1017="EQUI",VLOOKUP($B1017,[6]EQUI!B$16:G$46,2,FALSE),IF($A1017="TRAN",VLOOKUP($B1017,[6]TRAN!$B$16:$G$26,2,FALSE),IF(A1017="MAT",VLOOKUP($B1017,[6]MAT!$B$16:$G$83,2,FALSE),IF(A1017="MDEO",VLOOKUP($B1017,[6]MDEO!$B$16:$I$21,2,FALSE)))))</f>
        <v>COMPACTADOR TIPO RANA</v>
      </c>
      <c r="D1017" s="878"/>
      <c r="E1017" s="878"/>
      <c r="F1017" s="123">
        <f>IF($A1017="EQUI",VLOOKUP($B1017,[6]EQUI!B$16:G$46,4,FALSE),IF($A1017="TRAN",VLOOKUP($B1017,[6]TRAN!$B$16:$G$26,4,FALSE),IF($A1017="MAT",VLOOKUP($B1017,[6]MAT!$B$16:$G$83,4,FALSE),IF($A1017="MDEO",VLOOKUP($B1017,[6]MDEO!$B$16:$I$21,4,FALSE)))))</f>
        <v>5000</v>
      </c>
      <c r="G1017" s="115">
        <v>1</v>
      </c>
      <c r="H1017" s="118">
        <f>+F1017*G1017</f>
        <v>5000</v>
      </c>
      <c r="I1017" s="50"/>
    </row>
    <row r="1018" spans="1:9" ht="12" customHeight="1" x14ac:dyDescent="0.3">
      <c r="A1018" s="49"/>
      <c r="B1018" s="115"/>
      <c r="C1018" s="115"/>
      <c r="D1018" s="115"/>
      <c r="E1018" s="115"/>
      <c r="F1018" s="120" t="s">
        <v>32</v>
      </c>
      <c r="G1018" s="121" t="str">
        <f>+B1011</f>
        <v>4.2</v>
      </c>
      <c r="H1018" s="121" t="s">
        <v>347</v>
      </c>
      <c r="I1018" s="48">
        <f>SUM(H1015:H1017)</f>
        <v>6400</v>
      </c>
    </row>
    <row r="1019" spans="1:9" ht="12" customHeight="1" x14ac:dyDescent="0.3">
      <c r="A1019" s="47" t="s">
        <v>34</v>
      </c>
      <c r="B1019" s="3"/>
      <c r="C1019" s="115"/>
      <c r="D1019" s="115"/>
      <c r="E1019" s="115"/>
      <c r="F1019" s="115"/>
      <c r="G1019" s="115"/>
      <c r="H1019" s="115"/>
      <c r="I1019" s="50"/>
    </row>
    <row r="1020" spans="1:9" ht="12" customHeight="1" x14ac:dyDescent="0.3">
      <c r="A1020" s="879" t="s">
        <v>35</v>
      </c>
      <c r="B1020" s="868"/>
      <c r="C1020" s="868"/>
      <c r="D1020" s="868"/>
      <c r="E1020" s="116" t="s">
        <v>12</v>
      </c>
      <c r="F1020" s="116" t="s">
        <v>36</v>
      </c>
      <c r="G1020" s="116" t="s">
        <v>37</v>
      </c>
      <c r="H1020" s="116" t="s">
        <v>38</v>
      </c>
      <c r="I1020" s="50"/>
    </row>
    <row r="1021" spans="1:9" ht="12" customHeight="1" x14ac:dyDescent="0.3">
      <c r="A1021" s="92" t="s">
        <v>522</v>
      </c>
      <c r="B1021" s="117" t="s">
        <v>134</v>
      </c>
      <c r="C1021" s="878" t="str">
        <f>IF($A1021="EQUI",VLOOKUP($B1021,EQUI!B$16:G$35,2,FALSE),IF($A1021="TRAN",VLOOKUP($B1021,TRAN!$B$16:$G$26,2,FALSE),IF($A1021="MAT1",VLOOKUP($B1021,'MAT1'!$B$16:$G$43,2,FALSE),IF($A1021="MAT2",VLOOKUP($B1021,'MAT2'!$B$16:$G$65,2,FALSE),IF($A1021="MDEO",VLOOKUP($B1021,MDEO!$B$16:$P$27,2,FALSE))))))</f>
        <v>agua</v>
      </c>
      <c r="D1021" s="878"/>
      <c r="E1021" s="123" t="str">
        <f>IF($A1021="EQUI",VLOOKUP($B1021,EQUI!B$16:G$35,3,FALSE),IF($A1021="TRAN",VLOOKUP($B1021,TRAN!$B$16:$G$26,3,FALSE),IF($A1021="MAT1",VLOOKUP($B1021,'MAT1'!$B$16:$G$43,3,FALSE),IF($A1021="MAT2",VLOOKUP($B1021,'MAT2'!$B$16:$G$55,3,FALSE),IF($A1021="MDEO",VLOOKUP($B1021,MDEO!$B$16:$P$27,3,FALSE))))))</f>
        <v>M3</v>
      </c>
      <c r="F1021" s="123">
        <f>IF($A1021="EQUI",VLOOKUP($B1021,EQUI!B$16:G$35,4,FALSE),IF($A1021="TRAN",VLOOKUP($B1021,TRAN!$B$16:$G$26,4,FALSE),IF($A1021="MAT1",VLOOKUP($B1021,'MAT1'!$B$16:$G$43,4,FALSE),IF($A1021="MAT2",VLOOKUP($B1021,'MAT2'!$B$16:$G$53,4,FALSE),IF($A1021="MDEO",VLOOKUP($B1021,MDEO!$B$16:$P$27,4,FALSE))))))</f>
        <v>2750</v>
      </c>
      <c r="G1021" s="115">
        <f>0.2</f>
        <v>0.2</v>
      </c>
      <c r="H1021" s="118">
        <f>+F1021*G1021</f>
        <v>550</v>
      </c>
      <c r="I1021" s="50"/>
    </row>
    <row r="1022" spans="1:9" ht="12" customHeight="1" x14ac:dyDescent="0.3">
      <c r="A1022" s="92" t="s">
        <v>523</v>
      </c>
      <c r="B1022" s="117" t="s">
        <v>525</v>
      </c>
      <c r="C1022" s="878" t="str">
        <f>IF($A1022="EQUI",VLOOKUP($B1022,EQUI!B$16:G$35,2,FALSE),IF($A1022="TRAN",VLOOKUP($B1022,TRAN!$B$16:$G$26,2,FALSE),IF($A1022="MAT1",VLOOKUP($B1022,'MAT1'!$B$16:$G$43,2,FALSE),IF($A1022="MAT2",VLOOKUP($B1022,'MAT2'!$B$16:$G$65,2,FALSE),IF($A1022="MDEO",VLOOKUP($B1022,MDEO!$B$16:$P$27,2,FALSE))))))</f>
        <v xml:space="preserve">Subbase granular </v>
      </c>
      <c r="D1022" s="878"/>
      <c r="E1022" s="123" t="str">
        <f>IF($A1022="EQUI",VLOOKUP($B1022,EQUI!B$16:G$35,3,FALSE),IF($A1022="TRAN",VLOOKUP($B1022,TRAN!$B$16:$G$26,3,FALSE),IF($A1022="MAT1",VLOOKUP($B1022,'MAT1'!$B$16:$G$43,3,FALSE),IF($A1022="MAT2",VLOOKUP($B1022,'MAT2'!$B$16:$G$55,3,FALSE),IF($A1022="MDEO",VLOOKUP($B1022,MDEO!$B$16:$P$27,3,FALSE))))))</f>
        <v>M3</v>
      </c>
      <c r="F1022" s="123">
        <f>IF($A1022="EQUI",VLOOKUP($B1022,EQUI!B$16:G$35,4,FALSE),IF($A1022="TRAN",VLOOKUP($B1022,TRAN!$B$16:$G$26,4,FALSE),IF($A1022="MAT1",VLOOKUP($B1022,'MAT1'!$B$16:$G$43,4,FALSE),IF($A1022="MAT2",VLOOKUP($B1022,'MAT2'!$B$16:$G$53,4,FALSE),IF($A1022="MDEO",VLOOKUP($B1022,MDEO!$B$16:$P$27,4,FALSE))))))</f>
        <v>39000</v>
      </c>
      <c r="G1022" s="115">
        <f>0.4*1.3</f>
        <v>0.52</v>
      </c>
      <c r="H1022" s="118">
        <f>+F1022*G1022</f>
        <v>20280</v>
      </c>
      <c r="I1022" s="50"/>
    </row>
    <row r="1023" spans="1:9" ht="12" customHeight="1" x14ac:dyDescent="0.3">
      <c r="A1023" s="49"/>
      <c r="B1023" s="115"/>
      <c r="C1023" s="115"/>
      <c r="D1023" s="115"/>
      <c r="E1023" s="115"/>
      <c r="F1023" s="120" t="s">
        <v>32</v>
      </c>
      <c r="G1023" s="121" t="str">
        <f>+B1011</f>
        <v>4.2</v>
      </c>
      <c r="H1023" s="121" t="s">
        <v>348</v>
      </c>
      <c r="I1023" s="48">
        <f>SUM(H1021:H1022)</f>
        <v>20830</v>
      </c>
    </row>
    <row r="1024" spans="1:9" ht="12" customHeight="1" x14ac:dyDescent="0.3">
      <c r="A1024" s="47" t="s">
        <v>15</v>
      </c>
      <c r="B1024" s="3"/>
      <c r="C1024" s="115"/>
      <c r="D1024" s="115"/>
      <c r="E1024" s="115"/>
      <c r="F1024" s="115"/>
      <c r="G1024" s="115"/>
      <c r="H1024" s="115"/>
      <c r="I1024" s="50"/>
    </row>
    <row r="1025" spans="1:9" ht="12" customHeight="1" x14ac:dyDescent="0.3">
      <c r="A1025" s="879" t="s">
        <v>19</v>
      </c>
      <c r="B1025" s="868"/>
      <c r="C1025" s="868"/>
      <c r="D1025" s="116" t="s">
        <v>43</v>
      </c>
      <c r="E1025" s="116" t="s">
        <v>44</v>
      </c>
      <c r="F1025" s="123" t="s">
        <v>45</v>
      </c>
      <c r="G1025" s="116" t="s">
        <v>17</v>
      </c>
      <c r="H1025" s="116" t="s">
        <v>30</v>
      </c>
      <c r="I1025" s="50"/>
    </row>
    <row r="1026" spans="1:9" ht="12" customHeight="1" x14ac:dyDescent="0.3">
      <c r="A1026" s="51" t="s">
        <v>3</v>
      </c>
      <c r="B1026" s="117" t="s">
        <v>166</v>
      </c>
      <c r="C1026" s="139" t="str">
        <f>IF($A1026="EQUI",VLOOKUP($B1026,EQUI!B$16:G$35,2,FALSE),IF($A1026="TRAN",VLOOKUP($B1026,TRAN!$B$16:$G$26,2,FALSE),IF($A1026="MAT1",VLOOKUP($B1026,'MAT1'!$B$16:$G$43,2,FALSE),IF($A1026="MAT2",VLOOKUP($B1026,'MAT2'!$B$16:$G$65,2,FALSE),IF($A1026="MDEO",VLOOKUP($B1026,MDEO!$B$16:$P$27,2,FALSE))))))</f>
        <v>trans agua 0-5km</v>
      </c>
      <c r="D1026" s="139">
        <f>+G1021</f>
        <v>0.2</v>
      </c>
      <c r="E1026" s="123">
        <v>5</v>
      </c>
      <c r="F1026" s="123">
        <f>+E1026*D1026</f>
        <v>1</v>
      </c>
      <c r="G1026" s="116">
        <f>IF($A1026="EQUI",VLOOKUP($B1026,[6]EQUI!B$16:G$46,4,FALSE),IF($A1026="TRAN",VLOOKUP($B1026,[6]TRAN!$B$16:$G$26,4,FALSE),IF($A1026="MAT",VLOOKUP($B1026,[6]MAT!$B$16:$G$83,4,FALSE),IF($A1026="MDEO",VLOOKUP($B1026,[6]MDEO!$B$16:$I$21,4,FALSE)))))</f>
        <v>1095</v>
      </c>
      <c r="H1026" s="118">
        <f>+F1026*G1026</f>
        <v>1095</v>
      </c>
      <c r="I1026" s="50"/>
    </row>
    <row r="1027" spans="1:9" ht="12" customHeight="1" x14ac:dyDescent="0.3">
      <c r="A1027" s="51" t="s">
        <v>3</v>
      </c>
      <c r="B1027" s="117" t="s">
        <v>428</v>
      </c>
      <c r="C1027" s="139" t="str">
        <f>IF($A1027="EQUI",VLOOKUP($B1027,EQUI!B$16:G$35,2,FALSE),IF($A1027="TRAN",VLOOKUP($B1027,TRAN!$B$16:$G$37,2,FALSE),IF($A1027="MAT1",VLOOKUP($B1027,'MAT1'!$B$16:$G$43,2,FALSE),IF($A1027="MAT2",VLOOKUP($B1027,'MAT2'!$B$16:$G$65,2,FALSE),IF($A1027="MDEO",VLOOKUP($B1027,MDEO!$B$16:$P$27,2,FALSE))))))</f>
        <v>trans material necocli &gt; 10 km</v>
      </c>
      <c r="D1027" s="139">
        <f>+G1022</f>
        <v>0.52</v>
      </c>
      <c r="E1027" s="123">
        <v>28</v>
      </c>
      <c r="F1027" s="123">
        <f>+E1027*D1027</f>
        <v>14.56</v>
      </c>
      <c r="G1027" s="116">
        <f>IF($A1027="EQUI",VLOOKUP($B1027,EQUI!B$16:G$35,2,FALSE),IF($A1027="TRAN",VLOOKUP($B1027,TRAN!$B$16:$G$37,4,FALSE),IF($A1027="MAT1",VLOOKUP($B1027,'MAT1'!$B$16:$G$43,2,FALSE),IF($A1027="MAT2",VLOOKUP($B1027,'MAT2'!$B$16:$G$65,2,FALSE),IF($A1027="MDEO",VLOOKUP($B1027,MDEO!$B$16:$P$27,2,FALSE))))))</f>
        <v>650</v>
      </c>
      <c r="H1027" s="118">
        <f>+F1027*G1027</f>
        <v>9464</v>
      </c>
      <c r="I1027" s="50"/>
    </row>
    <row r="1028" spans="1:9" ht="12" customHeight="1" x14ac:dyDescent="0.3">
      <c r="A1028" s="51" t="s">
        <v>3</v>
      </c>
      <c r="B1028" s="117" t="s">
        <v>165</v>
      </c>
      <c r="C1028" s="139" t="str">
        <f>IF($A1028="EQUI",VLOOKUP($B1028,EQUI!B$16:G$35,2,FALSE),IF($A1028="TRAN",VLOOKUP($B1028,TRAN!$B$16:$G$26,2,FALSE),IF($A1028="MAT1",VLOOKUP($B1028,'MAT1'!$B$16:$G$43,2,FALSE),IF($A1028="MAT2",VLOOKUP($B1028,'MAT2'!$B$16:$G$65,2,FALSE),IF($A1028="MDEO",VLOOKUP($B1028,MDEO!$B$16:$P$27,2,FALSE))))))</f>
        <v>trans int. Mat. granular</v>
      </c>
      <c r="D1028" s="139">
        <f>1*0.4</f>
        <v>0.4</v>
      </c>
      <c r="E1028" s="123">
        <v>1</v>
      </c>
      <c r="F1028" s="123">
        <f>+E1028*D1028</f>
        <v>0.4</v>
      </c>
      <c r="G1028" s="116">
        <f>IF($A1028="EQUI",VLOOKUP($B1028,[6]EQUI!B$16:G$46,4,FALSE),IF($A1028="TRAN",VLOOKUP($B1028,[6]TRAN!$B$16:$G$26,4,FALSE),IF($A1028="MAT",VLOOKUP($B1028,[6]MAT!$B$16:$G$83,4,FALSE),IF($A1028="MDEO",VLOOKUP($B1028,[6]MDEO!$B$16:$I$21,4,FALSE)))))</f>
        <v>4000</v>
      </c>
      <c r="H1028" s="118">
        <f>+F1028*G1028</f>
        <v>1600</v>
      </c>
      <c r="I1028" s="50"/>
    </row>
    <row r="1029" spans="1:9" ht="12" customHeight="1" x14ac:dyDescent="0.3">
      <c r="A1029" s="49"/>
      <c r="B1029" s="115"/>
      <c r="C1029" s="115"/>
      <c r="D1029" s="115"/>
      <c r="E1029" s="115"/>
      <c r="F1029" s="120" t="s">
        <v>32</v>
      </c>
      <c r="G1029" s="121" t="str">
        <f>+B1011</f>
        <v>4.2</v>
      </c>
      <c r="H1029" s="121" t="s">
        <v>349</v>
      </c>
      <c r="I1029" s="48">
        <f>SUM(H1026:H1028)</f>
        <v>12159</v>
      </c>
    </row>
    <row r="1030" spans="1:9" ht="12" customHeight="1" x14ac:dyDescent="0.3">
      <c r="A1030" s="47"/>
      <c r="B1030" s="3"/>
      <c r="C1030" s="115"/>
      <c r="D1030" s="115"/>
      <c r="E1030" s="115"/>
      <c r="F1030" s="115"/>
      <c r="G1030" s="115"/>
      <c r="H1030" s="115"/>
      <c r="I1030" s="50"/>
    </row>
    <row r="1031" spans="1:9" ht="12" customHeight="1" x14ac:dyDescent="0.3">
      <c r="A1031" s="882" t="s">
        <v>18</v>
      </c>
      <c r="B1031" s="883"/>
      <c r="C1031" s="883"/>
      <c r="D1031" s="140" t="s">
        <v>48</v>
      </c>
      <c r="E1031" s="140" t="s">
        <v>109</v>
      </c>
      <c r="F1031" s="141" t="s">
        <v>250</v>
      </c>
      <c r="G1031" s="142" t="s">
        <v>251</v>
      </c>
      <c r="H1031" s="140" t="s">
        <v>252</v>
      </c>
      <c r="I1031" s="52"/>
    </row>
    <row r="1032" spans="1:9" ht="12" customHeight="1" x14ac:dyDescent="0.3">
      <c r="A1032" s="51" t="s">
        <v>4</v>
      </c>
      <c r="B1032" s="131" t="s">
        <v>175</v>
      </c>
      <c r="C1032" s="126" t="str">
        <f>IF($A1032="EQUI",VLOOKUP($B1032,[6]EQUI!B$16:G$46,2,FALSE),IF($A1032="TRAN",VLOOKUP($B1032,[6]TRAN!$B$16:$G$26,2,FALSE),IF($A1032="MAT",VLOOKUP($B1032,[6]MAT!$B$16:$G$83,2,FALSE),IF($A1032="MDEO",VLOOKUP($B1032,[6]MDEO!$B$16:$I$21,2,FALSE)))))</f>
        <v>OFICIAL</v>
      </c>
      <c r="D1032" s="31">
        <f>IF($A1032="EQUI",VLOOKUP($B1032,[6]EQUI!B$16:G$46,3,FALSE),IF($A1032="TRAN",VLOOKUP($B1032,[6]TRAN!$B$16:$G$26,3,FALSE),IF($A1032="MAT",VLOOKUP($B1032,[6]MAT!$B$16:$G$83,3,FALSE),IF($A1032="MDEO",VLOOKUP($B1032,[6]MDEO!$B$16:$I$21,3,FALSE)))))</f>
        <v>9301.6465000000026</v>
      </c>
      <c r="E1032" s="127"/>
      <c r="F1032" s="32">
        <f>+D1032+D1032*E1032</f>
        <v>9301.6465000000026</v>
      </c>
      <c r="G1032" s="130">
        <v>0.8</v>
      </c>
      <c r="H1032" s="128">
        <f>G1032*F1032</f>
        <v>7441.3172000000022</v>
      </c>
      <c r="I1032" s="50"/>
    </row>
    <row r="1033" spans="1:9" ht="12" customHeight="1" x14ac:dyDescent="0.3">
      <c r="A1033" s="51" t="s">
        <v>4</v>
      </c>
      <c r="B1033" s="131" t="s">
        <v>176</v>
      </c>
      <c r="C1033" s="126" t="str">
        <f>IF($A1033="EQUI",VLOOKUP($B1033,[6]EQUI!B$16:G$46,2,FALSE),IF($A1033="TRAN",VLOOKUP($B1033,[6]TRAN!$B$16:$G$26,2,FALSE),IF($A1033="MAT",VLOOKUP($B1033,[6]MAT!$B$16:$G$83,2,FALSE),IF($A1033="MDEO",VLOOKUP($B1033,[6]MDEO!$B$16:$I$21,2,FALSE)))))</f>
        <v>AYUDANTE ENTENDIDO</v>
      </c>
      <c r="D1033" s="31">
        <f>IF($A1033="EQUI",VLOOKUP($B1033,[6]EQUI!B$16:G$46,3,FALSE),IF($A1033="TRAN",VLOOKUP($B1033,[6]TRAN!$B$16:$G$26,3,FALSE),IF($A1033="MAT",VLOOKUP($B1033,[6]MAT!$B$16:$G$83,3,FALSE),IF($A1033="MDEO",VLOOKUP($B1033,[6]MDEO!$B$16:$I$21,3,FALSE)))))</f>
        <v>8051.6465000000007</v>
      </c>
      <c r="E1033" s="127"/>
      <c r="F1033" s="32">
        <f>+D1033+D1033*E1033</f>
        <v>8051.6465000000007</v>
      </c>
      <c r="G1033" s="130">
        <f>+G1032</f>
        <v>0.8</v>
      </c>
      <c r="H1033" s="128">
        <f>G1033*F1033</f>
        <v>6441.3172000000013</v>
      </c>
      <c r="I1033" s="50"/>
    </row>
    <row r="1034" spans="1:9" ht="12" customHeight="1" x14ac:dyDescent="0.3">
      <c r="A1034" s="51" t="s">
        <v>4</v>
      </c>
      <c r="B1034" s="131" t="s">
        <v>177</v>
      </c>
      <c r="C1034" s="126" t="str">
        <f>IF($A1034="EQUI",VLOOKUP($B1034,[6]EQUI!B$16:G$46,2,FALSE),IF($A1034="TRAN",VLOOKUP($B1034,[6]TRAN!$B$16:$G$26,2,FALSE),IF($A1034="MAT",VLOOKUP($B1034,[6]MAT!$B$16:$G$83,2,FALSE),IF($A1034="MDEO",VLOOKUP($B1034,[6]MDEO!$B$16:$I$21,2,FALSE)))))</f>
        <v>AYUDANTE</v>
      </c>
      <c r="D1034" s="31">
        <f>IF($A1034="EQUI",VLOOKUP($B1034,[6]EQUI!B$16:G$46,3,FALSE),IF($A1034="TRAN",VLOOKUP($B1034,[6]TRAN!$B$16:$G$26,3,FALSE),IF($A1034="MAT",VLOOKUP($B1034,[6]MAT!$B$16:$G$83,3,FALSE),IF($A1034="MDEO",VLOOKUP($B1034,[6]MDEO!$B$16:$I$21,3,FALSE)))))</f>
        <v>6801.6465000000007</v>
      </c>
      <c r="E1034" s="127"/>
      <c r="F1034" s="32">
        <f>+D1034+D1034*E1034</f>
        <v>6801.6465000000007</v>
      </c>
      <c r="G1034" s="130">
        <f>+G1032</f>
        <v>0.8</v>
      </c>
      <c r="H1034" s="128">
        <f>G1034*F1034</f>
        <v>5441.3172000000013</v>
      </c>
      <c r="I1034" s="50"/>
    </row>
    <row r="1035" spans="1:9" ht="12" customHeight="1" x14ac:dyDescent="0.3">
      <c r="A1035" s="51" t="s">
        <v>4</v>
      </c>
      <c r="B1035" s="131" t="s">
        <v>50</v>
      </c>
      <c r="C1035" s="126" t="str">
        <f>IF($A1035="EQUI",VLOOKUP($B1035,[6]EQUI!B$16:G$46,2,FALSE),IF($A1035="TRAN",VLOOKUP($B1035,[6]TRAN!$B$16:$G$26,2,FALSE),IF($A1035="MAT",VLOOKUP($B1035,[6]MAT!$B$16:$G$83,2,FALSE),IF($A1035="MDEO",VLOOKUP($B1035,[6]MDEO!$B$16:$I$21,2,FALSE)))))</f>
        <v>TOPOGRAFO</v>
      </c>
      <c r="D1035" s="31">
        <f>IF($A1035="EQUI",VLOOKUP($B1035,[6]EQUI!B$16:G$46,3,FALSE),IF($A1035="TRAN",VLOOKUP($B1035,[6]TRAN!$B$16:$G$26,3,FALSE),IF($A1035="MAT",VLOOKUP($B1035,[6]MAT!$B$16:$G$83,3,FALSE),IF($A1035="MDEO",VLOOKUP($B1035,[6]MDEO!$B$16:$I$21,3,FALSE)))))</f>
        <v>14826.936907575571</v>
      </c>
      <c r="E1035" s="127"/>
      <c r="F1035" s="32">
        <f>+D1035+D1035*E1035</f>
        <v>14826.936907575571</v>
      </c>
      <c r="G1035" s="130">
        <v>0.02</v>
      </c>
      <c r="H1035" s="128">
        <f>G1035*F1035</f>
        <v>296.53873815151144</v>
      </c>
      <c r="I1035" s="50"/>
    </row>
    <row r="1036" spans="1:9" ht="12" customHeight="1" x14ac:dyDescent="0.3">
      <c r="A1036" s="51" t="s">
        <v>4</v>
      </c>
      <c r="B1036" s="131" t="s">
        <v>51</v>
      </c>
      <c r="C1036" s="126" t="str">
        <f>IF($A1036="EQUI",VLOOKUP($B1036,[6]EQUI!B$16:G$46,2,FALSE),IF($A1036="TRAN",VLOOKUP($B1036,[6]TRAN!$B$16:$G$26,2,FALSE),IF($A1036="MAT",VLOOKUP($B1036,[6]MAT!$B$16:$G$83,2,FALSE),IF($A1036="MDEO",VLOOKUP($B1036,[6]MDEO!$B$16:$I$21,2,FALSE)))))</f>
        <v>CADENERO 1</v>
      </c>
      <c r="D1036" s="31">
        <f>IF($A1036="EQUI",VLOOKUP($B1036,[6]EQUI!B$16:G$46,3,FALSE),IF($A1036="TRAN",VLOOKUP($B1036,[6]TRAN!$B$16:$G$26,3,FALSE),IF($A1036="MAT",VLOOKUP($B1036,[6]MAT!$B$16:$G$83,3,FALSE),IF($A1036="MDEO",VLOOKUP($B1036,[6]MDEO!$B$16:$I$21,3,FALSE)))))</f>
        <v>10985.571938383713</v>
      </c>
      <c r="E1036" s="127"/>
      <c r="F1036" s="32">
        <f>+D1036+D1036*E1036</f>
        <v>10985.571938383713</v>
      </c>
      <c r="G1036" s="130">
        <v>0.02</v>
      </c>
      <c r="H1036" s="128">
        <f>G1036*F1036</f>
        <v>219.71143876767428</v>
      </c>
      <c r="I1036" s="50"/>
    </row>
    <row r="1037" spans="1:9" ht="12" customHeight="1" x14ac:dyDescent="0.3">
      <c r="A1037" s="879"/>
      <c r="B1037" s="868"/>
      <c r="C1037" s="115"/>
      <c r="D1037" s="115"/>
      <c r="E1037" s="115"/>
      <c r="F1037" s="115"/>
      <c r="G1037" s="115"/>
      <c r="H1037" s="115"/>
      <c r="I1037" s="50"/>
    </row>
    <row r="1038" spans="1:9" ht="12" customHeight="1" x14ac:dyDescent="0.3">
      <c r="A1038" s="49"/>
      <c r="B1038" s="115"/>
      <c r="C1038" s="115"/>
      <c r="D1038" s="115"/>
      <c r="E1038" s="115"/>
      <c r="F1038" s="120" t="s">
        <v>32</v>
      </c>
      <c r="G1038" s="121" t="str">
        <f>+B1011</f>
        <v>4.2</v>
      </c>
      <c r="H1038" s="120" t="s">
        <v>350</v>
      </c>
      <c r="I1038" s="48">
        <f>SUM(H1032:H1037)</f>
        <v>19840.201776919188</v>
      </c>
    </row>
    <row r="1039" spans="1:9" ht="12" customHeight="1" x14ac:dyDescent="0.3">
      <c r="A1039" s="49" t="s">
        <v>54</v>
      </c>
      <c r="B1039" s="115"/>
      <c r="C1039" s="115"/>
      <c r="D1039" s="115"/>
      <c r="E1039" s="115"/>
      <c r="F1039" s="115"/>
      <c r="G1039" s="115"/>
      <c r="H1039" s="116"/>
      <c r="I1039" s="48">
        <f>I1038*0.05</f>
        <v>992.01008884595944</v>
      </c>
    </row>
    <row r="1040" spans="1:9" ht="12" customHeight="1" x14ac:dyDescent="0.3">
      <c r="A1040" s="49"/>
      <c r="B1040" s="115"/>
      <c r="C1040" s="115"/>
      <c r="D1040" s="115"/>
      <c r="E1040" s="115"/>
      <c r="F1040" s="120" t="s">
        <v>55</v>
      </c>
      <c r="G1040" s="116"/>
      <c r="H1040" s="116"/>
      <c r="I1040" s="48">
        <f>ROUND(I1038+I1039+I1023+I1018+I1029,0)</f>
        <v>60221</v>
      </c>
    </row>
    <row r="1041" spans="1:9" ht="12" customHeight="1" x14ac:dyDescent="0.3">
      <c r="A1041" s="879" t="s">
        <v>56</v>
      </c>
      <c r="B1041" s="868"/>
      <c r="C1041" s="868"/>
      <c r="D1041" s="868"/>
      <c r="E1041" s="868" t="s">
        <v>57</v>
      </c>
      <c r="F1041" s="868"/>
      <c r="G1041" s="875" t="s">
        <v>58</v>
      </c>
      <c r="H1041" s="875"/>
      <c r="I1041" s="48"/>
    </row>
    <row r="1042" spans="1:9" ht="12" customHeight="1" x14ac:dyDescent="0.3">
      <c r="A1042" s="879" t="s">
        <v>208</v>
      </c>
      <c r="B1042" s="868"/>
      <c r="C1042" s="868"/>
      <c r="D1042" s="868"/>
      <c r="E1042" s="876">
        <v>0.02</v>
      </c>
      <c r="F1042" s="876"/>
      <c r="G1042" s="875">
        <f>+I1040*E1042</f>
        <v>1204.42</v>
      </c>
      <c r="H1042" s="875"/>
      <c r="I1042" s="48"/>
    </row>
    <row r="1043" spans="1:9" ht="12" customHeight="1" x14ac:dyDescent="0.3">
      <c r="A1043" s="879" t="s">
        <v>5</v>
      </c>
      <c r="B1043" s="868"/>
      <c r="C1043" s="868"/>
      <c r="D1043" s="868"/>
      <c r="E1043" s="876">
        <v>0.23</v>
      </c>
      <c r="F1043" s="876"/>
      <c r="G1043" s="875">
        <f>+E1043*I1040</f>
        <v>13850.83</v>
      </c>
      <c r="H1043" s="875"/>
      <c r="I1043" s="48"/>
    </row>
    <row r="1044" spans="1:9" ht="12" customHeight="1" x14ac:dyDescent="0.3">
      <c r="A1044" s="879" t="s">
        <v>6</v>
      </c>
      <c r="B1044" s="868"/>
      <c r="C1044" s="868"/>
      <c r="D1044" s="868"/>
      <c r="E1044" s="876">
        <v>0.05</v>
      </c>
      <c r="F1044" s="876"/>
      <c r="G1044" s="875">
        <f>+E1044*I1040</f>
        <v>3011.05</v>
      </c>
      <c r="H1044" s="875"/>
      <c r="I1044" s="48"/>
    </row>
    <row r="1045" spans="1:9" ht="12" customHeight="1" x14ac:dyDescent="0.3">
      <c r="A1045" s="879" t="s">
        <v>207</v>
      </c>
      <c r="B1045" s="868"/>
      <c r="C1045" s="868"/>
      <c r="D1045" s="868"/>
      <c r="E1045" s="876">
        <v>0.02</v>
      </c>
      <c r="F1045" s="876"/>
      <c r="G1045" s="875">
        <f>+E1045*I1040</f>
        <v>1204.42</v>
      </c>
      <c r="H1045" s="875"/>
      <c r="I1045" s="48"/>
    </row>
    <row r="1046" spans="1:9" ht="12.75" customHeight="1" x14ac:dyDescent="0.3">
      <c r="A1046" s="880" t="s">
        <v>397</v>
      </c>
      <c r="B1046" s="867"/>
      <c r="C1046" s="867"/>
      <c r="D1046" s="867"/>
      <c r="E1046" s="867"/>
      <c r="F1046" s="867"/>
      <c r="G1046" s="867"/>
      <c r="H1046" s="867"/>
      <c r="I1046" s="48">
        <f>+G1045+G1043+G1044+G1042</f>
        <v>19270.72</v>
      </c>
    </row>
    <row r="1047" spans="1:9" ht="12.75" customHeight="1" x14ac:dyDescent="0.3">
      <c r="A1047" s="880" t="s">
        <v>59</v>
      </c>
      <c r="B1047" s="867"/>
      <c r="C1047" s="867"/>
      <c r="D1047" s="867"/>
      <c r="E1047" s="867"/>
      <c r="F1047" s="867"/>
      <c r="G1047" s="867"/>
      <c r="H1047" s="867"/>
      <c r="I1047" s="48">
        <f>+I1046+I1040</f>
        <v>79491.72</v>
      </c>
    </row>
    <row r="1048" spans="1:9" ht="12.75" customHeight="1" x14ac:dyDescent="0.3">
      <c r="A1048" s="93"/>
      <c r="B1048" s="65"/>
      <c r="C1048" s="65"/>
      <c r="D1048" s="65"/>
      <c r="E1048" s="65"/>
      <c r="F1048" s="65"/>
      <c r="G1048" s="65"/>
      <c r="H1048" s="65"/>
      <c r="I1048" s="48"/>
    </row>
    <row r="1049" spans="1:9" ht="12.75" customHeight="1" x14ac:dyDescent="0.3">
      <c r="A1049" s="881" t="s">
        <v>114</v>
      </c>
      <c r="B1049" s="604"/>
      <c r="C1049" s="604"/>
      <c r="D1049" s="65"/>
      <c r="E1049" s="65"/>
      <c r="F1049" s="604" t="s">
        <v>396</v>
      </c>
      <c r="G1049" s="604"/>
      <c r="H1049" s="604"/>
      <c r="I1049" s="894"/>
    </row>
    <row r="1050" spans="1:9" ht="12.75" customHeight="1" x14ac:dyDescent="0.3">
      <c r="A1050" s="92" t="s">
        <v>111</v>
      </c>
      <c r="B1050" s="868"/>
      <c r="C1050" s="868"/>
      <c r="D1050" s="115"/>
      <c r="E1050" s="115"/>
      <c r="F1050" s="116" t="s">
        <v>111</v>
      </c>
      <c r="G1050" s="868"/>
      <c r="H1050" s="868"/>
      <c r="I1050" s="884"/>
    </row>
    <row r="1051" spans="1:9" ht="12.75" customHeight="1" x14ac:dyDescent="0.3">
      <c r="A1051" s="132" t="s">
        <v>115</v>
      </c>
      <c r="B1051" s="868" t="str">
        <f>VLOOKUP(A1051,[6]INICIO!$E$6:$H$26,2,FALSE)</f>
        <v>LINA MARCELA</v>
      </c>
      <c r="C1051" s="868"/>
      <c r="F1051" s="86" t="s">
        <v>112</v>
      </c>
      <c r="G1051" s="868"/>
      <c r="H1051" s="868"/>
      <c r="I1051" s="884"/>
    </row>
    <row r="1052" spans="1:9" ht="12.75" customHeight="1" x14ac:dyDescent="0.3">
      <c r="A1052" s="132" t="s">
        <v>113</v>
      </c>
      <c r="B1052" s="868" t="str">
        <f>VLOOKUP(A1051,[6]INICIO!$E$6:$H$26,4,FALSE)</f>
        <v>05202-316814 ANT</v>
      </c>
      <c r="C1052" s="868"/>
      <c r="F1052" s="86" t="s">
        <v>113</v>
      </c>
      <c r="G1052" s="868"/>
      <c r="H1052" s="868"/>
      <c r="I1052" s="884"/>
    </row>
    <row r="1053" spans="1:9" ht="12.75" customHeight="1" x14ac:dyDescent="0.3">
      <c r="A1053" s="132"/>
      <c r="B1053" s="116"/>
      <c r="C1053" s="116"/>
      <c r="F1053" s="86"/>
      <c r="G1053" s="116"/>
      <c r="H1053" s="116"/>
      <c r="I1053" s="95"/>
    </row>
    <row r="1054" spans="1:9" ht="12.75" customHeight="1" x14ac:dyDescent="0.3">
      <c r="A1054" s="872" t="s">
        <v>110</v>
      </c>
      <c r="B1054" s="869"/>
      <c r="C1054" s="869"/>
      <c r="D1054" s="869"/>
      <c r="E1054" s="869"/>
      <c r="F1054" s="869"/>
      <c r="G1054" s="869"/>
      <c r="H1054" s="869"/>
      <c r="I1054" s="873"/>
    </row>
    <row r="1055" spans="1:9" ht="18" customHeight="1" x14ac:dyDescent="0.3">
      <c r="A1055" s="909"/>
      <c r="B1055" s="910"/>
      <c r="C1055" s="910"/>
      <c r="D1055" s="910"/>
      <c r="E1055" s="910"/>
      <c r="F1055" s="910"/>
      <c r="G1055" s="910"/>
      <c r="H1055" s="910"/>
      <c r="I1055" s="911"/>
    </row>
    <row r="1056" spans="1:9" ht="12.75" customHeight="1" x14ac:dyDescent="0.3">
      <c r="A1056" s="912"/>
      <c r="B1056" s="913"/>
      <c r="C1056" s="913"/>
      <c r="D1056" s="913"/>
      <c r="E1056" s="913"/>
      <c r="F1056" s="913"/>
      <c r="G1056" s="913"/>
      <c r="H1056" s="913"/>
      <c r="I1056" s="914"/>
    </row>
    <row r="1057" spans="1:12" ht="12.75" customHeight="1" x14ac:dyDescent="0.3">
      <c r="A1057" s="83"/>
      <c r="I1057" s="134"/>
    </row>
    <row r="1058" spans="1:12" s="109" customFormat="1" ht="9.75" customHeight="1" x14ac:dyDescent="0.2">
      <c r="A1058" s="932" t="s">
        <v>68</v>
      </c>
      <c r="B1058" s="707"/>
      <c r="C1058" s="707"/>
      <c r="D1058" s="707"/>
      <c r="E1058" s="707"/>
      <c r="F1058" s="707"/>
      <c r="G1058" s="707"/>
      <c r="H1058" s="707"/>
      <c r="I1058" s="933"/>
      <c r="L1058" s="202"/>
    </row>
    <row r="1059" spans="1:12" s="109" customFormat="1" ht="9.75" customHeight="1" x14ac:dyDescent="0.2">
      <c r="A1059" s="97" t="s">
        <v>69</v>
      </c>
      <c r="B1059" s="151" t="s">
        <v>268</v>
      </c>
      <c r="C1059" s="707" t="s">
        <v>70</v>
      </c>
      <c r="D1059" s="924" t="str">
        <f>VLOOKUP(B1059,PRESUPUESTO!$A$18:$I$68,3,FALSE)</f>
        <v>ANDEN EN CONCRE TEXTURIADO CON TABLETA 20*20 TACTIL Y 10*20 SEÑALIZADO</v>
      </c>
      <c r="E1059" s="924"/>
      <c r="F1059" s="924"/>
      <c r="G1059" s="924"/>
      <c r="H1059" s="924"/>
      <c r="I1059" s="925"/>
      <c r="L1059" s="202"/>
    </row>
    <row r="1060" spans="1:12" s="109" customFormat="1" ht="9.75" customHeight="1" x14ac:dyDescent="0.2">
      <c r="A1060" s="97" t="s">
        <v>71</v>
      </c>
      <c r="B1060" s="151" t="str">
        <f>VLOOKUP(B1059,PRESUPUESTO!$A$18:$I$69,2,FALSE)</f>
        <v>PAR-07</v>
      </c>
      <c r="C1060" s="707"/>
      <c r="D1060" s="162" t="s">
        <v>12</v>
      </c>
      <c r="E1060" s="152" t="s">
        <v>26</v>
      </c>
      <c r="F1060" s="152" t="s">
        <v>13</v>
      </c>
      <c r="G1060" s="152">
        <f>VLOOKUP(B1060,PRESUPUESTO!$B$15:$I$1201,5,FALSE)</f>
        <v>18157</v>
      </c>
      <c r="H1060" s="153" t="s">
        <v>27</v>
      </c>
      <c r="I1060" s="172">
        <f>+I1091</f>
        <v>97253</v>
      </c>
      <c r="J1060" s="173"/>
      <c r="L1060" s="202"/>
    </row>
    <row r="1061" spans="1:12" s="109" customFormat="1" ht="9.75" customHeight="1" x14ac:dyDescent="0.2">
      <c r="A1061" s="54" t="s">
        <v>14</v>
      </c>
      <c r="B1061" s="154"/>
      <c r="C1061" s="155"/>
      <c r="D1061" s="155"/>
      <c r="E1061" s="155"/>
      <c r="F1061" s="155"/>
      <c r="G1061" s="155"/>
      <c r="H1061" s="155"/>
      <c r="I1061" s="55"/>
      <c r="L1061" s="202"/>
    </row>
    <row r="1062" spans="1:12" s="109" customFormat="1" ht="9.75" customHeight="1" x14ac:dyDescent="0.2">
      <c r="A1062" s="915" t="s">
        <v>19</v>
      </c>
      <c r="B1062" s="916"/>
      <c r="C1062" s="916"/>
      <c r="D1062" s="916"/>
      <c r="E1062" s="916"/>
      <c r="F1062" s="156" t="s">
        <v>28</v>
      </c>
      <c r="G1062" s="156" t="s">
        <v>29</v>
      </c>
      <c r="H1062" s="156" t="s">
        <v>30</v>
      </c>
      <c r="I1062" s="56"/>
      <c r="L1062" s="202"/>
    </row>
    <row r="1063" spans="1:12" s="109" customFormat="1" ht="9.75" customHeight="1" x14ac:dyDescent="0.2">
      <c r="A1063" s="96" t="s">
        <v>1</v>
      </c>
      <c r="B1063" s="149" t="s">
        <v>90</v>
      </c>
      <c r="C1063" s="921" t="str">
        <f>IF($A1063="EQUI",VLOOKUP($B1063,[6]EQUI!B$16:G$46,2,FALSE),IF($A1063="TRAN",VLOOKUP($B1063,[6]TRAN!$B$16:$G$26,2,FALSE),IF(A1063="MAT",VLOOKUP($B1063,[6]MAT!$B$16:$G$83,2,FALSE),IF(A1063="MDEO",VLOOKUP($B1063,[6]MDEO!$B$16:$I$21,2,FALSE)))))</f>
        <v>LISTON Y VARILLA AJUS. FORMALETA METALICA</v>
      </c>
      <c r="D1063" s="921"/>
      <c r="E1063" s="921"/>
      <c r="F1063" s="162">
        <f>IF($A1063="EQUI",VLOOKUP($B1063,[6]EQUI!B$16:G$46,4,FALSE),IF($A1063="TRAN",VLOOKUP($B1063,[6]TRAN!$B$16:$G$26,4,FALSE),IF($A1063="MAT",VLOOKUP($B1063,[6]MAT!$B$16:$G$83,4,FALSE),IF($A1063="MDEO",VLOOKUP($B1063,[6]MDEO!$B$16:$I$21,4,FALSE)))))</f>
        <v>1000</v>
      </c>
      <c r="G1063" s="155">
        <v>0.5</v>
      </c>
      <c r="H1063" s="157">
        <f>+F1063*G1063</f>
        <v>500</v>
      </c>
      <c r="I1063" s="56"/>
      <c r="L1063" s="202"/>
    </row>
    <row r="1064" spans="1:12" s="109" customFormat="1" ht="9.75" customHeight="1" x14ac:dyDescent="0.2">
      <c r="A1064" s="96" t="s">
        <v>1</v>
      </c>
      <c r="B1064" s="149" t="s">
        <v>85</v>
      </c>
      <c r="C1064" s="921" t="str">
        <f>IF($A1064="EQUI",VLOOKUP($B1064,[6]EQUI!B$16:G$46,2,FALSE),IF($A1064="TRAN",VLOOKUP($B1064,[6]TRAN!$B$16:$G$26,2,FALSE),IF(A1064="MAT",VLOOKUP($B1064,[6]MAT!$B$16:$G$83,2,FALSE),IF(A1064="MDEO",VLOOKUP($B1064,[6]MDEO!$B$16:$I$21,2,FALSE)))))</f>
        <v>FORMALETA PARA BORDILLO/CUNETA</v>
      </c>
      <c r="D1064" s="921"/>
      <c r="E1064" s="921"/>
      <c r="F1064" s="162">
        <f>IF($A1064="EQUI",VLOOKUP($B1064,[6]EQUI!B$16:G$46,4,FALSE),IF($A1064="TRAN",VLOOKUP($B1064,[6]TRAN!$B$16:$G$26,4,FALSE),IF($A1064="MAT",VLOOKUP($B1064,[6]MAT!$B$16:$G$83,4,FALSE),IF($A1064="MDEO",VLOOKUP($B1064,[6]MDEO!$B$16:$I$21,4,FALSE)))))</f>
        <v>2150</v>
      </c>
      <c r="G1064" s="155">
        <v>1</v>
      </c>
      <c r="H1064" s="157">
        <f>+F1064*G1064</f>
        <v>2150</v>
      </c>
      <c r="I1064" s="56"/>
      <c r="L1064" s="202"/>
    </row>
    <row r="1065" spans="1:12" s="109" customFormat="1" ht="9.75" customHeight="1" x14ac:dyDescent="0.2">
      <c r="A1065" s="96" t="s">
        <v>1</v>
      </c>
      <c r="B1065" s="149"/>
      <c r="C1065" s="921"/>
      <c r="D1065" s="921"/>
      <c r="E1065" s="921"/>
      <c r="F1065" s="162"/>
      <c r="G1065" s="155"/>
      <c r="H1065" s="157"/>
      <c r="I1065" s="56"/>
      <c r="L1065" s="202"/>
    </row>
    <row r="1066" spans="1:12" s="109" customFormat="1" ht="9.75" customHeight="1" x14ac:dyDescent="0.2">
      <c r="A1066" s="96" t="s">
        <v>1</v>
      </c>
      <c r="B1066" s="149"/>
      <c r="C1066" s="921"/>
      <c r="D1066" s="921"/>
      <c r="E1066" s="921"/>
      <c r="F1066" s="162"/>
      <c r="G1066" s="155"/>
      <c r="H1066" s="157"/>
      <c r="I1066" s="56"/>
      <c r="L1066" s="202"/>
    </row>
    <row r="1067" spans="1:12" s="109" customFormat="1" ht="9.75" customHeight="1" x14ac:dyDescent="0.2">
      <c r="A1067" s="96" t="s">
        <v>1</v>
      </c>
      <c r="B1067" s="149"/>
      <c r="C1067" s="921"/>
      <c r="D1067" s="921"/>
      <c r="E1067" s="921"/>
      <c r="F1067" s="162"/>
      <c r="G1067" s="155"/>
      <c r="H1067" s="157"/>
      <c r="I1067" s="56"/>
      <c r="L1067" s="202"/>
    </row>
    <row r="1068" spans="1:12" s="109" customFormat="1" ht="9.75" customHeight="1" x14ac:dyDescent="0.2">
      <c r="A1068" s="57"/>
      <c r="B1068" s="155"/>
      <c r="C1068" s="155"/>
      <c r="D1068" s="155"/>
      <c r="E1068" s="155"/>
      <c r="F1068" s="158" t="s">
        <v>32</v>
      </c>
      <c r="G1068" s="160" t="str">
        <f>+B1059</f>
        <v>4.3</v>
      </c>
      <c r="H1068" s="160" t="s">
        <v>351</v>
      </c>
      <c r="I1068" s="55">
        <f>SUM(H1063:H1067)</f>
        <v>2650</v>
      </c>
      <c r="L1068" s="202"/>
    </row>
    <row r="1069" spans="1:12" s="109" customFormat="1" ht="9.75" customHeight="1" x14ac:dyDescent="0.2">
      <c r="A1069" s="54" t="s">
        <v>34</v>
      </c>
      <c r="B1069" s="154"/>
      <c r="C1069" s="155"/>
      <c r="D1069" s="155"/>
      <c r="E1069" s="155"/>
      <c r="F1069" s="155"/>
      <c r="G1069" s="155"/>
      <c r="H1069" s="155"/>
      <c r="I1069" s="56"/>
      <c r="L1069" s="202"/>
    </row>
    <row r="1070" spans="1:12" s="109" customFormat="1" ht="9.75" customHeight="1" x14ac:dyDescent="0.2">
      <c r="A1070" s="915" t="s">
        <v>35</v>
      </c>
      <c r="B1070" s="916"/>
      <c r="C1070" s="916"/>
      <c r="D1070" s="916"/>
      <c r="E1070" s="156" t="s">
        <v>12</v>
      </c>
      <c r="F1070" s="156" t="s">
        <v>36</v>
      </c>
      <c r="G1070" s="156" t="s">
        <v>37</v>
      </c>
      <c r="H1070" s="156" t="s">
        <v>38</v>
      </c>
      <c r="I1070" s="56"/>
      <c r="L1070" s="202"/>
    </row>
    <row r="1071" spans="1:12" s="109" customFormat="1" ht="9.75" customHeight="1" x14ac:dyDescent="0.2">
      <c r="A1071" s="96" t="s">
        <v>523</v>
      </c>
      <c r="B1071" s="149" t="s">
        <v>139</v>
      </c>
      <c r="C1071" s="878" t="str">
        <f>IF($A1071="EQUI",VLOOKUP($B1071,EQUI!B$16:G$35,2,FALSE),IF($A1071="TRAN",VLOOKUP($B1071,TRAN!$B$16:$G$26,2,FALSE),IF($A1071="MAT1",VLOOKUP($B1071,'MAT1'!$B$16:$G$43,2,FALSE),IF($A1071="MAT2",VLOOKUP($B1071,'MAT2'!$B$16:$G$65,2,FALSE),IF($A1071="MDEO",VLOOKUP($B1071,MDEO!$B$16:$P$27,2,FALSE))))))</f>
        <v>Concreto 3000psi en obra</v>
      </c>
      <c r="D1071" s="878"/>
      <c r="E1071" s="123" t="str">
        <f>IF($A1071="EQUI",VLOOKUP($B1071,EQUI!B$16:G$35,3,FALSE),IF($A1071="TRAN",VLOOKUP($B1071,TRAN!$B$16:$G$26,3,FALSE),IF($A1071="MAT1",VLOOKUP($B1071,'MAT1'!$B$16:$G$43,3,FALSE),IF($A1071="MAT2",VLOOKUP($B1071,'MAT2'!$B$16:$G$55,3,FALSE),IF($A1071="MDEO",VLOOKUP($B1071,MDEO!$B$16:$P$27,3,FALSE))))))</f>
        <v>M3</v>
      </c>
      <c r="F1071" s="123">
        <f>IF($A1071="EQUI",VLOOKUP($B1071,EQUI!B$16:G$35,4,FALSE),IF($A1071="TRAN",VLOOKUP($B1071,TRAN!$B$16:$G$26,4,FALSE),IF($A1071="MAT1",VLOOKUP($B1071,'MAT1'!$B$16:$G$43,4,FALSE),IF($A1071="MAT2",VLOOKUP($B1071,'MAT2'!$B$16:$G$53,4,FALSE),IF($A1071="MDEO",VLOOKUP($B1071,MDEO!$B$16:$P$27,4,FALSE))))))</f>
        <v>498450</v>
      </c>
      <c r="G1071" s="155">
        <v>0.08</v>
      </c>
      <c r="H1071" s="157">
        <f>+F1071*G1071</f>
        <v>39876</v>
      </c>
      <c r="I1071" s="56"/>
      <c r="L1071" s="202"/>
    </row>
    <row r="1072" spans="1:12" s="109" customFormat="1" ht="9.75" customHeight="1" x14ac:dyDescent="0.2">
      <c r="A1072" s="96" t="s">
        <v>522</v>
      </c>
      <c r="B1072" s="149" t="s">
        <v>159</v>
      </c>
      <c r="C1072" s="878" t="str">
        <f>IF($A1072="EQUI",VLOOKUP($B1072,EQUI!B$16:G$35,2,FALSE),IF($A1072="TRAN",VLOOKUP($B1072,TRAN!$B$16:$G$26,2,FALSE),IF($A1072="MAT1",VLOOKUP($B1072,'MAT1'!$B$16:$G$54,2,FALSE),IF($A1072="MAT2",VLOOKUP($B1072,'MAT2'!$B$16:$G$65,2,FALSE),IF($A1072="MDEO",VLOOKUP($B1072,MDEO!$B$16:$P$27,2,FALSE))))))</f>
        <v>tableta señalización 0,1*20 m gris</v>
      </c>
      <c r="D1072" s="878"/>
      <c r="E1072" s="123" t="str">
        <f>IF($A1072="EQUI",VLOOKUP($B1072,EQUI!B$16:G$35,3,FALSE),IF($A1072="TRAN",VLOOKUP($B1072,TRAN!$B$16:$G$26,3,FALSE),IF($A1072="MAT1",VLOOKUP($B1072,'MAT1'!$B$16:$G$54,3,FALSE),IF($A1072="MAT2",VLOOKUP($B1072,'MAT2'!$B$16:$G$55,3,FALSE),IF($A1072="MDEO",VLOOKUP($B1072,MDEO!$B$16:$P$27,3,FALSE))))))</f>
        <v>UN</v>
      </c>
      <c r="F1072" s="123">
        <f>IF($A1072="EQUI",VLOOKUP($B1072,EQUI!B$16:G$35,4,FALSE),IF($A1072="TRAN",VLOOKUP($B1072,TRAN!$B$16:$G$26,4,FALSE),IF($A1072="MAT1",VLOOKUP($B1072,'MAT1'!$B$16:$G$54,4,FALSE),IF($A1072="MAT2",VLOOKUP($B1072,'MAT2'!$B$16:$G$53,4,FALSE),IF($A1072="MDEO",VLOOKUP($B1072,MDEO!$B$16:$P$27,4,FALSE))))))</f>
        <v>1300</v>
      </c>
      <c r="G1072" s="155">
        <v>5</v>
      </c>
      <c r="H1072" s="157">
        <f>+F1072*G1072</f>
        <v>6500</v>
      </c>
      <c r="I1072" s="56"/>
      <c r="L1072" s="202"/>
    </row>
    <row r="1073" spans="1:12" s="109" customFormat="1" ht="9.75" customHeight="1" x14ac:dyDescent="0.2">
      <c r="A1073" s="96" t="s">
        <v>522</v>
      </c>
      <c r="B1073" s="149" t="s">
        <v>160</v>
      </c>
      <c r="C1073" s="878" t="str">
        <f>IF($A1073="EQUI",VLOOKUP($B1073,EQUI!B$16:G$35,2,FALSE),IF($A1073="TRAN",VLOOKUP($B1073,TRAN!$B$16:$G$26,2,FALSE),IF($A1073="MAT1",VLOOKUP($B1073,'MAT1'!$B$16:$G$54,2,FALSE),IF($A1073="MAT2",VLOOKUP($B1073,'MAT2'!$B$16:$G$65,2,FALSE),IF($A1073="MDEO",VLOOKUP($B1073,MDEO!$B$16:$P$27,2,FALSE))))))</f>
        <v>tableta táctil  guía 0,2*,2 m color gris</v>
      </c>
      <c r="D1073" s="878"/>
      <c r="E1073" s="123" t="str">
        <f>IF($A1073="EQUI",VLOOKUP($B1073,EQUI!B$16:G$35,3,FALSE),IF($A1073="TRAN",VLOOKUP($B1073,TRAN!$B$16:$G$26,3,FALSE),IF($A1073="MAT1",VLOOKUP($B1073,'MAT1'!$B$16:$G$54,3,FALSE),IF($A1073="MAT2",VLOOKUP($B1073,'MAT2'!$B$16:$G$55,3,FALSE),IF($A1073="MDEO",VLOOKUP($B1073,MDEO!$B$16:$P$27,3,FALSE))))))</f>
        <v>UN</v>
      </c>
      <c r="F1073" s="123">
        <f>IF($A1073="EQUI",VLOOKUP($B1073,EQUI!B$16:G$35,4,FALSE),IF($A1073="TRAN",VLOOKUP($B1073,TRAN!$B$16:$G$26,4,FALSE),IF($A1073="MAT1",VLOOKUP($B1073,'MAT1'!$B$16:$G$54,4,FALSE),IF($A1073="MAT2",VLOOKUP($B1073,'MAT2'!$B$16:$G$53,4,FALSE),IF($A1073="MDEO",VLOOKUP($B1073,MDEO!$B$16:$P$27,4,FALSE))))))</f>
        <v>2100</v>
      </c>
      <c r="G1073" s="155">
        <v>5</v>
      </c>
      <c r="H1073" s="157">
        <f>+F1073*G1073</f>
        <v>10500</v>
      </c>
      <c r="I1073" s="56"/>
      <c r="L1073" s="202"/>
    </row>
    <row r="1074" spans="1:12" s="109" customFormat="1" ht="9.75" customHeight="1" x14ac:dyDescent="0.2">
      <c r="A1074" s="96" t="s">
        <v>523</v>
      </c>
      <c r="B1074" s="149" t="s">
        <v>141</v>
      </c>
      <c r="C1074" s="878" t="str">
        <f>IF($A1074="EQUI",VLOOKUP($B1074,EQUI!B$16:G$35,2,FALSE),IF($A1074="TRAN",VLOOKUP($B1074,TRAN!$B$16:$G$26,2,FALSE),IF($A1074="MAT1",VLOOKUP($B1074,'MAT1'!$B$16:$G$43,2,FALSE),IF($A1074="MAT2",VLOOKUP($B1074,'MAT2'!$B$16:$G$65,2,FALSE),IF($A1074="MDEO",VLOOKUP($B1074,MDEO!$B$16:$P$27,2,FALSE))))))</f>
        <v>Malla electrosoldada</v>
      </c>
      <c r="D1074" s="878"/>
      <c r="E1074" s="123" t="str">
        <f>IF($A1074="EQUI",VLOOKUP($B1074,EQUI!B$16:G$35,3,FALSE),IF($A1074="TRAN",VLOOKUP($B1074,TRAN!$B$16:$G$26,3,FALSE),IF($A1074="MAT1",VLOOKUP($B1074,'MAT1'!$B$16:$G$43,3,FALSE),IF($A1074="MAT2",VLOOKUP($B1074,'MAT2'!$B$16:$G$55,3,FALSE),IF($A1074="MDEO",VLOOKUP($B1074,MDEO!$B$16:$P$27,3,FALSE))))))</f>
        <v>KG</v>
      </c>
      <c r="F1074" s="123">
        <f>IF($A1074="EQUI",VLOOKUP($B1074,EQUI!B$16:G$35,4,FALSE),IF($A1074="TRAN",VLOOKUP($B1074,TRAN!$B$16:$G$26,4,FALSE),IF($A1074="MAT1",VLOOKUP($B1074,'MAT1'!$B$16:$G$54,4,FALSE),IF($A1074="MAT2",VLOOKUP($B1074,'MAT2'!$B$16:$G$53,4,FALSE),IF($A1074="MDEO",VLOOKUP($B1074,MDEO!$B$16:$P$27,4,FALSE))))))</f>
        <v>6200</v>
      </c>
      <c r="G1074" s="155">
        <v>0.05</v>
      </c>
      <c r="H1074" s="157">
        <f>+F1074*G1074</f>
        <v>310</v>
      </c>
      <c r="I1074" s="56"/>
      <c r="L1074" s="202"/>
    </row>
    <row r="1075" spans="1:12" s="109" customFormat="1" ht="9.75" customHeight="1" x14ac:dyDescent="0.2">
      <c r="A1075" s="96" t="s">
        <v>523</v>
      </c>
      <c r="B1075" s="149" t="s">
        <v>143</v>
      </c>
      <c r="C1075" s="878" t="str">
        <f>IF($A1075="EQUI",VLOOKUP($B1075,EQUI!B$16:G$35,2,FALSE),IF($A1075="TRAN",VLOOKUP($B1075,TRAN!$B$16:$G$26,2,FALSE),IF($A1075="MAT1",VLOOKUP($B1075,'MAT1'!$B$16:$G$43,2,FALSE),IF($A1075="MAT2",VLOOKUP($B1075,'MAT2'!$B$16:$G$65,2,FALSE),IF($A1075="MDEO",VLOOKUP($B1075,MDEO!$B$16:$P$27,2,FALSE))))))</f>
        <v>Mortero 1:6 para pega y rebitada</v>
      </c>
      <c r="D1075" s="878"/>
      <c r="E1075" s="123" t="str">
        <f>IF($A1075="EQUI",VLOOKUP($B1075,EQUI!B$16:G$35,3,FALSE),IF($A1075="TRAN",VLOOKUP($B1075,TRAN!$B$16:$G$26,3,FALSE),IF($A1075="MAT1",VLOOKUP($B1075,'MAT1'!$B$16:$G$43,3,FALSE),IF($A1075="MAT2",VLOOKUP($B1075,'MAT2'!$B$16:$G$55,3,FALSE),IF($A1075="MDEO",VLOOKUP($B1075,MDEO!$B$16:$P$27,3,FALSE))))))</f>
        <v>M3</v>
      </c>
      <c r="F1075" s="123">
        <f>IF($A1075="EQUI",VLOOKUP($B1075,EQUI!B$16:G$35,4,FALSE),IF($A1075="TRAN",VLOOKUP($B1075,TRAN!$B$16:$G$26,4,FALSE),IF($A1075="MAT1",VLOOKUP($B1075,'MAT1'!$B$16:$G$43,4,FALSE),IF($A1075="MAT2",VLOOKUP($B1075,'MAT2'!$B$16:$G$53,4,FALSE),IF($A1075="MDEO",VLOOKUP($B1075,MDEO!$B$16:$P$27,4,FALSE))))))</f>
        <v>403352</v>
      </c>
      <c r="G1075" s="155">
        <f>0.02*0.3</f>
        <v>6.0000000000000001E-3</v>
      </c>
      <c r="H1075" s="157">
        <f>+F1075*G1075</f>
        <v>2420.1120000000001</v>
      </c>
      <c r="I1075" s="56"/>
      <c r="L1075" s="202"/>
    </row>
    <row r="1076" spans="1:12" s="109" customFormat="1" ht="9.75" customHeight="1" x14ac:dyDescent="0.2">
      <c r="A1076" s="57"/>
      <c r="B1076" s="155"/>
      <c r="C1076" s="155"/>
      <c r="D1076" s="155"/>
      <c r="E1076" s="155"/>
      <c r="F1076" s="158" t="s">
        <v>32</v>
      </c>
      <c r="G1076" s="160" t="str">
        <f>+B1059</f>
        <v>4.3</v>
      </c>
      <c r="H1076" s="160" t="s">
        <v>352</v>
      </c>
      <c r="I1076" s="55">
        <f>SUM(H1071:H1075)</f>
        <v>59606.112000000001</v>
      </c>
      <c r="L1076" s="202"/>
    </row>
    <row r="1077" spans="1:12" s="109" customFormat="1" ht="9.75" customHeight="1" x14ac:dyDescent="0.2">
      <c r="A1077" s="54" t="s">
        <v>15</v>
      </c>
      <c r="B1077" s="154"/>
      <c r="C1077" s="155"/>
      <c r="D1077" s="155"/>
      <c r="E1077" s="155"/>
      <c r="F1077" s="155"/>
      <c r="G1077" s="155"/>
      <c r="H1077" s="155"/>
      <c r="I1077" s="56"/>
      <c r="L1077" s="202"/>
    </row>
    <row r="1078" spans="1:12" s="109" customFormat="1" ht="9.75" customHeight="1" x14ac:dyDescent="0.2">
      <c r="A1078" s="915" t="s">
        <v>19</v>
      </c>
      <c r="B1078" s="916"/>
      <c r="C1078" s="916"/>
      <c r="D1078" s="156" t="s">
        <v>43</v>
      </c>
      <c r="E1078" s="156" t="s">
        <v>44</v>
      </c>
      <c r="F1078" s="162" t="s">
        <v>388</v>
      </c>
      <c r="G1078" s="156" t="s">
        <v>17</v>
      </c>
      <c r="H1078" s="156" t="s">
        <v>30</v>
      </c>
      <c r="I1078" s="56"/>
      <c r="L1078" s="202"/>
    </row>
    <row r="1079" spans="1:12" s="109" customFormat="1" ht="9.75" customHeight="1" x14ac:dyDescent="0.2">
      <c r="A1079" s="58" t="s">
        <v>3</v>
      </c>
      <c r="B1079" s="149" t="s">
        <v>170</v>
      </c>
      <c r="C1079" s="161" t="str">
        <f>IF($A1079="EQUI",VLOOKUP($B1079,[6]EQUI!B$16:G$46,2,FALSE),IF($A1079="TRAN",VLOOKUP($B1079,[6]TRAN!$B$16:$G$26,2,FALSE),IF(A1079="MAT",VLOOKUP($B1079,[6]MAT!$B$16:$G$83,2,FALSE),IF(A1079="MDEO",VLOOKUP($B1079,[6]MDEO!$B$16:$I$21,2,FALSE)))))</f>
        <v>TRANS INT TABLETA-ADOQUIN UN</v>
      </c>
      <c r="D1079" s="162">
        <f>+G1072+G1073</f>
        <v>10</v>
      </c>
      <c r="E1079" s="162">
        <v>1</v>
      </c>
      <c r="F1079" s="162">
        <v>20</v>
      </c>
      <c r="G1079" s="156">
        <f>IF($A1079="EQUI",VLOOKUP($B1079,[6]EQUI!B$16:G$46,4,FALSE),IF($A1079="TRAN",VLOOKUP($B1079,[6]TRAN!$B$16:$G$26,4,FALSE),IF($A1079="MAT",VLOOKUP($B1079,[6]MAT!$B$16:$G$83,4,FALSE),IF($A1079="MDEO",VLOOKUP($B1079,[6]MDEO!$B$16:$I$21,4,FALSE)))))</f>
        <v>200</v>
      </c>
      <c r="H1079" s="157">
        <f>+F1079*G1079</f>
        <v>4000</v>
      </c>
      <c r="I1079" s="56"/>
      <c r="L1079" s="202"/>
    </row>
    <row r="1080" spans="1:12" s="109" customFormat="1" ht="9.75" customHeight="1" x14ac:dyDescent="0.2">
      <c r="A1080" s="57"/>
      <c r="B1080" s="155"/>
      <c r="C1080" s="155"/>
      <c r="D1080" s="155"/>
      <c r="E1080" s="155"/>
      <c r="F1080" s="158" t="s">
        <v>32</v>
      </c>
      <c r="G1080" s="160" t="str">
        <f>+B1059</f>
        <v>4.3</v>
      </c>
      <c r="H1080" s="160" t="s">
        <v>353</v>
      </c>
      <c r="I1080" s="55">
        <f>SUM(H1079:H1079)</f>
        <v>4000</v>
      </c>
      <c r="L1080" s="202"/>
    </row>
    <row r="1081" spans="1:12" s="109" customFormat="1" ht="9.75" customHeight="1" x14ac:dyDescent="0.2">
      <c r="A1081" s="54"/>
      <c r="B1081" s="154"/>
      <c r="C1081" s="155"/>
      <c r="D1081" s="155"/>
      <c r="E1081" s="155"/>
      <c r="F1081" s="155"/>
      <c r="G1081" s="155"/>
      <c r="H1081" s="155"/>
      <c r="I1081" s="56"/>
      <c r="L1081" s="202"/>
    </row>
    <row r="1082" spans="1:12" s="109" customFormat="1" ht="9.75" customHeight="1" x14ac:dyDescent="0.2">
      <c r="A1082" s="919" t="s">
        <v>18</v>
      </c>
      <c r="B1082" s="920"/>
      <c r="C1082" s="920"/>
      <c r="D1082" s="162" t="s">
        <v>48</v>
      </c>
      <c r="E1082" s="162" t="s">
        <v>109</v>
      </c>
      <c r="F1082" s="142" t="s">
        <v>250</v>
      </c>
      <c r="G1082" s="142" t="s">
        <v>251</v>
      </c>
      <c r="H1082" s="162" t="s">
        <v>252</v>
      </c>
      <c r="I1082" s="59"/>
      <c r="L1082" s="202"/>
    </row>
    <row r="1083" spans="1:12" s="109" customFormat="1" ht="9.75" customHeight="1" x14ac:dyDescent="0.2">
      <c r="A1083" s="58" t="s">
        <v>4</v>
      </c>
      <c r="B1083" s="100" t="s">
        <v>175</v>
      </c>
      <c r="C1083" s="126" t="str">
        <f>IF($A1083="EQUI",VLOOKUP($B1083,EQUI!B$16:G$37,2,FALSE),IF($A1083="TRAN",VLOOKUP($B1083,TRAN!$B$16:$G$26,2,FALSE),IF($A1083="MAT",VLOOKUP($B1083,'MAT1'!$B$16:$G$43,2,FALSE),IF($A1083="MDEO",VLOOKUP($B1083,MDEO!$B$16:$P$27,2,FALSE)))))</f>
        <v xml:space="preserve">oficial </v>
      </c>
      <c r="D1083" s="31">
        <f>IF($A1083="EQUI",VLOOKUP($B1083,EQUI!B$16:G$35,3,FALSE),IF($A1083="TRAN",VLOOKUP($B1083,TRAN!$B$16:$G$26,3,FALSE),IF($A1083="MAT",VLOOKUP($B1083,'MAT1'!$B$16:$G$43,3,FALSE),IF($A1083="MDEO",VLOOKUP($B1083,MDEO!$B$16:$P$27,3,FALSE)))))</f>
        <v>4833.333333333333</v>
      </c>
      <c r="E1083" s="127"/>
      <c r="F1083" s="32">
        <f>+D1083+D1083*E1083</f>
        <v>4833.333333333333</v>
      </c>
      <c r="G1083" s="165">
        <v>1</v>
      </c>
      <c r="H1083" s="18">
        <f>G1083*F1083</f>
        <v>4833.333333333333</v>
      </c>
      <c r="I1083" s="56"/>
      <c r="L1083" s="202"/>
    </row>
    <row r="1084" spans="1:12" s="109" customFormat="1" ht="9.75" customHeight="1" x14ac:dyDescent="0.2">
      <c r="A1084" s="58" t="s">
        <v>4</v>
      </c>
      <c r="B1084" s="100" t="s">
        <v>176</v>
      </c>
      <c r="C1084" s="126" t="str">
        <f>IF($A1084="EQUI",VLOOKUP($B1084,EQUI!B$16:G$37,2,FALSE),IF($A1084="TRAN",VLOOKUP($B1084,TRAN!$B$16:$G$26,2,FALSE),IF($A1084="MAT",VLOOKUP($B1084,'MAT1'!$B$16:$G$43,2,FALSE),IF($A1084="MDEO",VLOOKUP($B1084,MDEO!$B$16:$P$27,2,FALSE)))))</f>
        <v xml:space="preserve">ayudante entendido </v>
      </c>
      <c r="D1084" s="31">
        <f>IF($A1084="EQUI",VLOOKUP($B1084,EQUI!B$16:G$35,3,FALSE),IF($A1084="TRAN",VLOOKUP($B1084,TRAN!$B$16:$G$26,3,FALSE),IF($A1084="MAT",VLOOKUP($B1084,'MAT1'!$B$16:$G$43,3,FALSE),IF($A1084="MDEO",VLOOKUP($B1084,MDEO!$B$16:$P$27,3,FALSE)))))</f>
        <v>4833.333333333333</v>
      </c>
      <c r="E1084" s="127"/>
      <c r="F1084" s="32">
        <f>+D1084+D1084*E1084</f>
        <v>4833.333333333333</v>
      </c>
      <c r="G1084" s="165">
        <v>1</v>
      </c>
      <c r="H1084" s="18">
        <f>G1084*F1084</f>
        <v>4833.333333333333</v>
      </c>
      <c r="I1084" s="56"/>
      <c r="L1084" s="202"/>
    </row>
    <row r="1085" spans="1:12" s="109" customFormat="1" ht="9.75" customHeight="1" x14ac:dyDescent="0.2">
      <c r="A1085" s="58" t="s">
        <v>4</v>
      </c>
      <c r="B1085" s="100" t="s">
        <v>177</v>
      </c>
      <c r="C1085" s="126" t="str">
        <f>IF($A1085="EQUI",VLOOKUP($B1085,EQUI!B$16:G$37,2,FALSE),IF($A1085="TRAN",VLOOKUP($B1085,TRAN!$B$16:$G$26,2,FALSE),IF($A1085="MAT",VLOOKUP($B1085,'MAT1'!$B$16:$G$43,2,FALSE),IF($A1085="MDEO",VLOOKUP($B1085,MDEO!$B$16:$P$27,2,FALSE)))))</f>
        <v xml:space="preserve">ayudante </v>
      </c>
      <c r="D1085" s="31">
        <f>IF($A1085="EQUI",VLOOKUP($B1085,EQUI!B$16:G$35,3,FALSE),IF($A1085="TRAN",VLOOKUP($B1085,TRAN!$B$16:$G$26,3,FALSE),IF($A1085="MAT",VLOOKUP($B1085,'MAT1'!$B$16:$G$43,3,FALSE),IF($A1085="MDEO",VLOOKUP($B1085,MDEO!$B$16:$P$27,3,FALSE)))))</f>
        <v>4833.333333333333</v>
      </c>
      <c r="E1085" s="127"/>
      <c r="F1085" s="32">
        <f>+D1085+D1085*E1085</f>
        <v>4833.333333333333</v>
      </c>
      <c r="G1085" s="165">
        <v>4</v>
      </c>
      <c r="H1085" s="18">
        <f>G1085*F1085</f>
        <v>19333.333333333332</v>
      </c>
      <c r="I1085" s="56"/>
      <c r="L1085" s="202"/>
    </row>
    <row r="1086" spans="1:12" s="109" customFormat="1" ht="9.75" customHeight="1" x14ac:dyDescent="0.2">
      <c r="A1086" s="58" t="s">
        <v>4</v>
      </c>
      <c r="B1086" s="100" t="s">
        <v>178</v>
      </c>
      <c r="C1086" s="126" t="str">
        <f>IF($A1086="EQUI",VLOOKUP($B1086,EQUI!B$16:G$37,2,FALSE),IF($A1086="TRAN",VLOOKUP($B1086,TRAN!$B$16:$G$26,2,FALSE),IF($A1086="MAT",VLOOKUP($B1086,'MAT1'!$B$16:$G$43,2,FALSE),IF($A1086="MDEO",VLOOKUP($B1086,MDEO!$B$16:$P$33,2,FALSE)))))</f>
        <v>contra maestro</v>
      </c>
      <c r="D1086" s="31">
        <f>IF($A1086="EQUI",VLOOKUP($B1086,EQUI!B$16:G$35,3,FALSE),IF($A1086="TRAN",VLOOKUP($B1086,TRAN!$B$16:$G$26,3,FALSE),IF($A1086="MAT",VLOOKUP($B1086,'MAT1'!$B$16:$G$43,3,FALSE),IF($A1086="MDEO",VLOOKUP($B1086,MDEO!$B$16:$P$33,3,FALSE)))))</f>
        <v>5208.333333333333</v>
      </c>
      <c r="E1086" s="127"/>
      <c r="F1086" s="32">
        <f>+D1086+D1086*E1086</f>
        <v>5208.333333333333</v>
      </c>
      <c r="G1086" s="165">
        <f>+G1083*0.1</f>
        <v>0.1</v>
      </c>
      <c r="H1086" s="18">
        <f>G1086*F1086</f>
        <v>520.83333333333337</v>
      </c>
      <c r="I1086" s="56"/>
      <c r="L1086" s="202"/>
    </row>
    <row r="1087" spans="1:12" s="109" customFormat="1" ht="9.75" customHeight="1" x14ac:dyDescent="0.2">
      <c r="A1087" s="58" t="s">
        <v>4</v>
      </c>
      <c r="B1087" s="100"/>
      <c r="C1087" s="163"/>
      <c r="D1087" s="33"/>
      <c r="E1087" s="164"/>
      <c r="F1087" s="34"/>
      <c r="G1087" s="165"/>
      <c r="H1087" s="18"/>
      <c r="I1087" s="56"/>
      <c r="L1087" s="202"/>
    </row>
    <row r="1088" spans="1:12" s="109" customFormat="1" ht="9.75" customHeight="1" x14ac:dyDescent="0.2">
      <c r="A1088" s="915"/>
      <c r="B1088" s="916"/>
      <c r="C1088" s="155"/>
      <c r="D1088" s="155"/>
      <c r="E1088" s="155"/>
      <c r="F1088" s="155"/>
      <c r="G1088" s="155"/>
      <c r="H1088" s="155"/>
      <c r="I1088" s="56"/>
      <c r="L1088" s="202"/>
    </row>
    <row r="1089" spans="1:12" s="109" customFormat="1" ht="9.75" customHeight="1" x14ac:dyDescent="0.2">
      <c r="A1089" s="57"/>
      <c r="B1089" s="155"/>
      <c r="C1089" s="155"/>
      <c r="D1089" s="155"/>
      <c r="E1089" s="155"/>
      <c r="F1089" s="158" t="s">
        <v>32</v>
      </c>
      <c r="G1089" s="160" t="str">
        <f>+B1059</f>
        <v>4.3</v>
      </c>
      <c r="H1089" s="158" t="s">
        <v>354</v>
      </c>
      <c r="I1089" s="55">
        <f>SUM(H1083:H1088)</f>
        <v>29520.833333333332</v>
      </c>
      <c r="L1089" s="202"/>
    </row>
    <row r="1090" spans="1:12" s="109" customFormat="1" ht="9.75" customHeight="1" x14ac:dyDescent="0.2">
      <c r="A1090" s="57" t="s">
        <v>54</v>
      </c>
      <c r="B1090" s="155"/>
      <c r="C1090" s="155"/>
      <c r="D1090" s="155"/>
      <c r="E1090" s="155"/>
      <c r="F1090" s="155"/>
      <c r="G1090" s="155"/>
      <c r="H1090" s="156"/>
      <c r="I1090" s="55">
        <f>I1089*0.05</f>
        <v>1476.0416666666667</v>
      </c>
      <c r="L1090" s="202"/>
    </row>
    <row r="1091" spans="1:12" s="109" customFormat="1" ht="9.75" customHeight="1" x14ac:dyDescent="0.2">
      <c r="A1091" s="57"/>
      <c r="B1091" s="155"/>
      <c r="C1091" s="155"/>
      <c r="D1091" s="155"/>
      <c r="E1091" s="155"/>
      <c r="F1091" s="158" t="s">
        <v>55</v>
      </c>
      <c r="G1091" s="156"/>
      <c r="H1091" s="156"/>
      <c r="I1091" s="55">
        <f>ROUND(I1089+I1090+I1076+I1068+I1080,0)</f>
        <v>97253</v>
      </c>
      <c r="L1091" s="202"/>
    </row>
    <row r="1092" spans="1:12" s="109" customFormat="1" ht="9.75" customHeight="1" x14ac:dyDescent="0.2">
      <c r="A1092" s="915" t="s">
        <v>56</v>
      </c>
      <c r="B1092" s="916"/>
      <c r="C1092" s="916"/>
      <c r="D1092" s="916"/>
      <c r="E1092" s="916" t="s">
        <v>57</v>
      </c>
      <c r="F1092" s="916"/>
      <c r="G1092" s="917" t="s">
        <v>58</v>
      </c>
      <c r="H1092" s="917"/>
      <c r="I1092" s="55"/>
      <c r="L1092" s="202"/>
    </row>
    <row r="1093" spans="1:12" s="109" customFormat="1" ht="9.75" customHeight="1" x14ac:dyDescent="0.2">
      <c r="A1093" s="915" t="s">
        <v>208</v>
      </c>
      <c r="B1093" s="916"/>
      <c r="C1093" s="916"/>
      <c r="D1093" s="916"/>
      <c r="E1093" s="918">
        <v>0.02</v>
      </c>
      <c r="F1093" s="918"/>
      <c r="G1093" s="917">
        <f>+I1091*E1093</f>
        <v>1945.06</v>
      </c>
      <c r="H1093" s="917"/>
      <c r="I1093" s="55"/>
      <c r="L1093" s="202"/>
    </row>
    <row r="1094" spans="1:12" s="109" customFormat="1" ht="9.75" customHeight="1" x14ac:dyDescent="0.2">
      <c r="A1094" s="915" t="s">
        <v>5</v>
      </c>
      <c r="B1094" s="916"/>
      <c r="C1094" s="916"/>
      <c r="D1094" s="916"/>
      <c r="E1094" s="918">
        <v>0.23</v>
      </c>
      <c r="F1094" s="918"/>
      <c r="G1094" s="917">
        <f>+E1094*I1091</f>
        <v>22368.190000000002</v>
      </c>
      <c r="H1094" s="917"/>
      <c r="I1094" s="55"/>
      <c r="L1094" s="202"/>
    </row>
    <row r="1095" spans="1:12" s="109" customFormat="1" ht="9.75" customHeight="1" x14ac:dyDescent="0.2">
      <c r="A1095" s="915" t="s">
        <v>6</v>
      </c>
      <c r="B1095" s="916"/>
      <c r="C1095" s="916"/>
      <c r="D1095" s="916"/>
      <c r="E1095" s="918">
        <v>0.05</v>
      </c>
      <c r="F1095" s="918"/>
      <c r="G1095" s="917">
        <f>+E1095*I1091</f>
        <v>4862.6500000000005</v>
      </c>
      <c r="H1095" s="917"/>
      <c r="I1095" s="55"/>
      <c r="L1095" s="202"/>
    </row>
    <row r="1096" spans="1:12" s="109" customFormat="1" ht="9.75" customHeight="1" x14ac:dyDescent="0.2">
      <c r="A1096" s="915" t="s">
        <v>207</v>
      </c>
      <c r="B1096" s="916"/>
      <c r="C1096" s="916"/>
      <c r="D1096" s="916"/>
      <c r="E1096" s="918">
        <v>0.02</v>
      </c>
      <c r="F1096" s="918"/>
      <c r="G1096" s="917">
        <f>+E1096*I1091</f>
        <v>1945.06</v>
      </c>
      <c r="H1096" s="917"/>
      <c r="I1096" s="55"/>
      <c r="L1096" s="202"/>
    </row>
    <row r="1097" spans="1:12" s="109" customFormat="1" ht="9.75" customHeight="1" x14ac:dyDescent="0.2">
      <c r="A1097" s="930" t="s">
        <v>397</v>
      </c>
      <c r="B1097" s="931"/>
      <c r="C1097" s="931"/>
      <c r="D1097" s="931"/>
      <c r="E1097" s="931"/>
      <c r="F1097" s="931"/>
      <c r="G1097" s="931"/>
      <c r="H1097" s="931"/>
      <c r="I1097" s="55">
        <f>+G1096+G1094+G1095+G1093</f>
        <v>31120.960000000006</v>
      </c>
      <c r="L1097" s="202"/>
    </row>
    <row r="1098" spans="1:12" s="109" customFormat="1" ht="9.75" customHeight="1" x14ac:dyDescent="0.2">
      <c r="A1098" s="930" t="s">
        <v>59</v>
      </c>
      <c r="B1098" s="931"/>
      <c r="C1098" s="931"/>
      <c r="D1098" s="931"/>
      <c r="E1098" s="931"/>
      <c r="F1098" s="931"/>
      <c r="G1098" s="931"/>
      <c r="H1098" s="931"/>
      <c r="I1098" s="55">
        <f>+I1097+I1091</f>
        <v>128373.96</v>
      </c>
      <c r="L1098" s="202"/>
    </row>
    <row r="1099" spans="1:12" ht="12.75" customHeight="1" x14ac:dyDescent="0.3">
      <c r="A1099" s="93"/>
      <c r="B1099" s="65"/>
      <c r="C1099" s="65"/>
      <c r="D1099" s="65"/>
      <c r="E1099" s="65"/>
      <c r="F1099" s="65"/>
      <c r="G1099" s="65"/>
      <c r="H1099" s="65"/>
      <c r="I1099" s="48"/>
    </row>
    <row r="1100" spans="1:12" ht="12.75" customHeight="1" x14ac:dyDescent="0.3">
      <c r="A1100" s="881" t="s">
        <v>114</v>
      </c>
      <c r="B1100" s="604"/>
      <c r="C1100" s="604"/>
      <c r="D1100" s="65"/>
      <c r="E1100" s="65"/>
      <c r="F1100" s="604" t="s">
        <v>396</v>
      </c>
      <c r="G1100" s="604"/>
      <c r="H1100" s="604"/>
      <c r="I1100" s="894"/>
    </row>
    <row r="1101" spans="1:12" ht="12.75" customHeight="1" x14ac:dyDescent="0.3">
      <c r="A1101" s="92" t="s">
        <v>111</v>
      </c>
      <c r="B1101" s="868"/>
      <c r="C1101" s="868"/>
      <c r="D1101" s="115"/>
      <c r="E1101" s="115"/>
      <c r="F1101" s="116" t="s">
        <v>111</v>
      </c>
      <c r="G1101" s="868"/>
      <c r="H1101" s="868"/>
      <c r="I1101" s="884"/>
    </row>
    <row r="1102" spans="1:12" ht="12.75" customHeight="1" x14ac:dyDescent="0.3">
      <c r="A1102" s="132" t="s">
        <v>115</v>
      </c>
      <c r="B1102" s="868" t="str">
        <f>VLOOKUP(A1102,[6]INICIO!$E$6:$H$26,2,FALSE)</f>
        <v>LINA MARCELA</v>
      </c>
      <c r="C1102" s="868"/>
      <c r="F1102" s="86" t="s">
        <v>112</v>
      </c>
      <c r="G1102" s="868"/>
      <c r="H1102" s="868"/>
      <c r="I1102" s="884"/>
    </row>
    <row r="1103" spans="1:12" ht="12.75" customHeight="1" x14ac:dyDescent="0.3">
      <c r="A1103" s="132" t="s">
        <v>113</v>
      </c>
      <c r="B1103" s="868" t="str">
        <f>VLOOKUP(A1102,[6]INICIO!$E$6:$H$26,4,FALSE)</f>
        <v>05202-316814 ANT</v>
      </c>
      <c r="C1103" s="868"/>
      <c r="F1103" s="86" t="s">
        <v>113</v>
      </c>
      <c r="G1103" s="868"/>
      <c r="H1103" s="868"/>
      <c r="I1103" s="884"/>
    </row>
    <row r="1104" spans="1:12" ht="12.75" customHeight="1" x14ac:dyDescent="0.3">
      <c r="A1104" s="132"/>
      <c r="B1104" s="116"/>
      <c r="C1104" s="116"/>
      <c r="F1104" s="86"/>
      <c r="G1104" s="116"/>
      <c r="H1104" s="116"/>
      <c r="I1104" s="95"/>
    </row>
    <row r="1105" spans="1:9" ht="12.75" customHeight="1" x14ac:dyDescent="0.3">
      <c r="A1105" s="872" t="s">
        <v>110</v>
      </c>
      <c r="B1105" s="869"/>
      <c r="C1105" s="869"/>
      <c r="D1105" s="869"/>
      <c r="E1105" s="869"/>
      <c r="F1105" s="869"/>
      <c r="G1105" s="869"/>
      <c r="H1105" s="869"/>
      <c r="I1105" s="873"/>
    </row>
    <row r="1106" spans="1:9" ht="20.25" customHeight="1" x14ac:dyDescent="0.3">
      <c r="A1106" s="870"/>
      <c r="B1106" s="691"/>
      <c r="C1106" s="691"/>
      <c r="D1106" s="691"/>
      <c r="E1106" s="691"/>
      <c r="F1106" s="691"/>
      <c r="G1106" s="691"/>
      <c r="H1106" s="691"/>
      <c r="I1106" s="871"/>
    </row>
    <row r="1107" spans="1:9" ht="12.75" customHeight="1" x14ac:dyDescent="0.3">
      <c r="A1107" s="872"/>
      <c r="B1107" s="869"/>
      <c r="C1107" s="869"/>
      <c r="D1107" s="869"/>
      <c r="E1107" s="869"/>
      <c r="F1107" s="869"/>
      <c r="G1107" s="869"/>
      <c r="H1107" s="869"/>
      <c r="I1107" s="873"/>
    </row>
    <row r="1108" spans="1:9" ht="12.75" customHeight="1" x14ac:dyDescent="0.3">
      <c r="A1108" s="83"/>
      <c r="I1108" s="134"/>
    </row>
    <row r="1109" spans="1:9" ht="12.75" customHeight="1" x14ac:dyDescent="0.3">
      <c r="A1109" s="881" t="s">
        <v>68</v>
      </c>
      <c r="B1109" s="604"/>
      <c r="C1109" s="604"/>
      <c r="D1109" s="604"/>
      <c r="E1109" s="604"/>
      <c r="F1109" s="604"/>
      <c r="G1109" s="604"/>
      <c r="H1109" s="604"/>
      <c r="I1109" s="894"/>
    </row>
    <row r="1110" spans="1:9" ht="12.75" customHeight="1" x14ac:dyDescent="0.3">
      <c r="A1110" s="94" t="s">
        <v>69</v>
      </c>
      <c r="B1110" s="112" t="s">
        <v>269</v>
      </c>
      <c r="C1110" s="604" t="s">
        <v>70</v>
      </c>
      <c r="D1110" s="868" t="str">
        <f>VLOOKUP(B1110,PRESUPUESTO!$A$18:$I$68,3,FALSE)</f>
        <v>PINTURA TIPO TRAFICO, RESALTOS Y CRUCES CICLORUTA</v>
      </c>
      <c r="E1110" s="868"/>
      <c r="F1110" s="868"/>
      <c r="G1110" s="868"/>
      <c r="H1110" s="868"/>
      <c r="I1110" s="884"/>
    </row>
    <row r="1111" spans="1:9" ht="12.75" customHeight="1" x14ac:dyDescent="0.3">
      <c r="A1111" s="94" t="s">
        <v>71</v>
      </c>
      <c r="B1111" s="112" t="str">
        <f>VLOOKUP(B1110,PRESUPUESTO!$A$18:$I$69,2,FALSE)</f>
        <v>710-13</v>
      </c>
      <c r="C1111" s="604"/>
      <c r="D1111" s="140" t="s">
        <v>12</v>
      </c>
      <c r="E1111" s="113" t="s">
        <v>129</v>
      </c>
      <c r="F1111" s="113" t="s">
        <v>13</v>
      </c>
      <c r="G1111" s="113">
        <f>VLOOKUP(B1111,PRESUPUESTO!$B$15:$I$1201,5,FALSE)</f>
        <v>540</v>
      </c>
      <c r="H1111" s="114" t="s">
        <v>27</v>
      </c>
      <c r="I1111" s="46">
        <f>+I1135</f>
        <v>13392</v>
      </c>
    </row>
    <row r="1112" spans="1:9" ht="12.75" customHeight="1" x14ac:dyDescent="0.3">
      <c r="A1112" s="47" t="s">
        <v>14</v>
      </c>
      <c r="B1112" s="3"/>
      <c r="C1112" s="115"/>
      <c r="D1112" s="115"/>
      <c r="E1112" s="115"/>
      <c r="F1112" s="115"/>
      <c r="G1112" s="115"/>
      <c r="H1112" s="115"/>
      <c r="I1112" s="48"/>
    </row>
    <row r="1113" spans="1:9" ht="12.75" customHeight="1" x14ac:dyDescent="0.3">
      <c r="A1113" s="879" t="s">
        <v>19</v>
      </c>
      <c r="B1113" s="868"/>
      <c r="C1113" s="868"/>
      <c r="D1113" s="868"/>
      <c r="E1113" s="868"/>
      <c r="F1113" s="116" t="s">
        <v>28</v>
      </c>
      <c r="G1113" s="116" t="s">
        <v>29</v>
      </c>
      <c r="H1113" s="116" t="s">
        <v>30</v>
      </c>
      <c r="I1113" s="50"/>
    </row>
    <row r="1114" spans="1:9" ht="12.75" customHeight="1" x14ac:dyDescent="0.3">
      <c r="A1114" s="92" t="s">
        <v>1</v>
      </c>
      <c r="B1114" s="117" t="s">
        <v>80</v>
      </c>
      <c r="C1114" s="878" t="str">
        <f>IF($A1114="EQUI",VLOOKUP($B1114,[6]EQUI!B$16:G$46,2,FALSE),IF($A1114="TRAN",VLOOKUP($B1114,[6]TRAN!$B$16:$G$26,2,FALSE),IF(A1114="MAT",VLOOKUP($B1114,[6]MAT!$B$16:$G$83,2,FALSE),IF(A1114="MDEO",VLOOKUP($B1114,[6]MDEO!$B$16:$I$21,2,FALSE)))))</f>
        <v>EQUIPO DE COMPRESOR PARA PINTURA</v>
      </c>
      <c r="D1114" s="878"/>
      <c r="E1114" s="878"/>
      <c r="F1114" s="123">
        <f>IF($A1114="EQUI",VLOOKUP($B1114,[6]EQUI!B$16:G$46,4,FALSE),IF($A1114="TRAN",VLOOKUP($B1114,[6]TRAN!$B$16:$G$26,4,FALSE),IF($A1114="MAT",VLOOKUP($B1114,[6]MAT!$B$16:$G$83,4,FALSE),IF($A1114="MDEO",VLOOKUP($B1114,[6]MDEO!$B$16:$I$21,4,FALSE)))))</f>
        <v>6500</v>
      </c>
      <c r="G1114" s="115">
        <v>0.2</v>
      </c>
      <c r="H1114" s="118">
        <f>+F1114*G1114</f>
        <v>1300</v>
      </c>
      <c r="I1114" s="50"/>
    </row>
    <row r="1115" spans="1:9" ht="12.75" customHeight="1" x14ac:dyDescent="0.3">
      <c r="A1115" s="92" t="s">
        <v>1</v>
      </c>
      <c r="B1115" s="117" t="s">
        <v>94</v>
      </c>
      <c r="C1115" s="878" t="str">
        <f>IF($A1115="EQUI",VLOOKUP($B1115,[6]EQUI!B$16:G$46,2,FALSE),IF($A1115="TRAN",VLOOKUP($B1115,[6]TRAN!$B$16:$G$26,2,FALSE),IF(A1115="MAT",VLOOKUP($B1115,[6]MAT!$B$16:$G$83,2,FALSE),IF(A1115="MDEO",VLOOKUP($B1115,[6]MDEO!$B$16:$I$21,2,FALSE)))))</f>
        <v>REGLETA, CODAL GUIA</v>
      </c>
      <c r="D1115" s="878"/>
      <c r="E1115" s="878"/>
      <c r="F1115" s="123">
        <f>IF($A1115="EQUI",VLOOKUP($B1115,[6]EQUI!B$16:G$46,4,FALSE),IF($A1115="TRAN",VLOOKUP($B1115,[6]TRAN!$B$16:$G$26,4,FALSE),IF($A1115="MAT",VLOOKUP($B1115,[6]MAT!$B$16:$G$83,4,FALSE),IF($A1115="MDEO",VLOOKUP($B1115,[6]MDEO!$B$16:$I$21,4,FALSE)))))</f>
        <v>1000</v>
      </c>
      <c r="G1115" s="115">
        <v>0.2</v>
      </c>
      <c r="H1115" s="118">
        <f>+F1115*G1115</f>
        <v>200</v>
      </c>
      <c r="I1115" s="50"/>
    </row>
    <row r="1116" spans="1:9" ht="12.75" customHeight="1" x14ac:dyDescent="0.3">
      <c r="A1116" s="92" t="s">
        <v>1</v>
      </c>
      <c r="B1116" s="117"/>
      <c r="C1116" s="878"/>
      <c r="D1116" s="878"/>
      <c r="E1116" s="878"/>
      <c r="F1116" s="123"/>
      <c r="G1116" s="115"/>
      <c r="H1116" s="118"/>
      <c r="I1116" s="50"/>
    </row>
    <row r="1117" spans="1:9" ht="12.75" customHeight="1" x14ac:dyDescent="0.3">
      <c r="A1117" s="49"/>
      <c r="B1117" s="115"/>
      <c r="C1117" s="115"/>
      <c r="D1117" s="115"/>
      <c r="E1117" s="115"/>
      <c r="F1117" s="120" t="s">
        <v>32</v>
      </c>
      <c r="G1117" s="121" t="str">
        <f>+B1110</f>
        <v>4.4</v>
      </c>
      <c r="H1117" s="121" t="s">
        <v>355</v>
      </c>
      <c r="I1117" s="48">
        <f>SUM(H1114:H1116)</f>
        <v>1500</v>
      </c>
    </row>
    <row r="1118" spans="1:9" ht="12.75" customHeight="1" x14ac:dyDescent="0.3">
      <c r="A1118" s="47" t="s">
        <v>34</v>
      </c>
      <c r="B1118" s="3"/>
      <c r="C1118" s="115"/>
      <c r="D1118" s="115"/>
      <c r="E1118" s="115"/>
      <c r="F1118" s="115"/>
      <c r="G1118" s="115"/>
      <c r="H1118" s="115"/>
      <c r="I1118" s="50"/>
    </row>
    <row r="1119" spans="1:9" ht="12.75" customHeight="1" x14ac:dyDescent="0.3">
      <c r="A1119" s="879" t="s">
        <v>35</v>
      </c>
      <c r="B1119" s="868"/>
      <c r="C1119" s="868"/>
      <c r="D1119" s="868"/>
      <c r="E1119" s="116" t="s">
        <v>12</v>
      </c>
      <c r="F1119" s="116" t="s">
        <v>36</v>
      </c>
      <c r="G1119" s="116" t="s">
        <v>37</v>
      </c>
      <c r="H1119" s="116" t="s">
        <v>38</v>
      </c>
      <c r="I1119" s="50"/>
    </row>
    <row r="1120" spans="1:9" ht="12.75" customHeight="1" x14ac:dyDescent="0.3">
      <c r="A1120" s="92" t="s">
        <v>522</v>
      </c>
      <c r="B1120" s="117" t="s">
        <v>150</v>
      </c>
      <c r="C1120" s="878" t="str">
        <f>IF($A1120="EQUI",VLOOKUP($B1120,EQUI!B$16:G$35,2,FALSE),IF($A1120="TRAN",VLOOKUP($B1120,TRAN!$B$16:$G$26,2,FALSE),IF($A1120="MAT1",VLOOKUP($B1120,'MAT1'!$B$16:$G$54,2,FALSE),IF($A1120="MAT2",VLOOKUP($B1120,'MAT2'!$B$16:$G$65,2,FALSE),IF($A1120="MDEO",VLOOKUP($B1120,MDEO!$B$16:$P$27,2,FALSE))))))</f>
        <v>pintura trafico</v>
      </c>
      <c r="D1120" s="878"/>
      <c r="E1120" s="123" t="str">
        <f>IF($A1120="EQUI",VLOOKUP($B1120,EQUI!B$16:G$35,3,FALSE),IF($A1120="TRAN",VLOOKUP($B1120,TRAN!$B$16:$G$26,3,FALSE),IF($A1120="MAT1",VLOOKUP($B1120,'MAT1'!$B$16:$G$54,3,FALSE),IF($A1120="MAT2",VLOOKUP($B1120,'MAT2'!$B$16:$G$55,3,FALSE),IF($A1120="MDEO",VLOOKUP($B1120,MDEO!$B$16:$P$27,3,FALSE))))))</f>
        <v>GL</v>
      </c>
      <c r="F1120" s="123">
        <f>IF($A1120="EQUI",VLOOKUP($B1120,EQUI!B$16:G$35,4,FALSE),IF($A1120="TRAN",VLOOKUP($B1120,TRAN!$B$16:$G$26,4,FALSE),IF($A1120="MAT1",VLOOKUP($B1120,'MAT1'!$B$16:$G$54,4,FALSE),IF($A1120="MAT2",VLOOKUP($B1120,'MAT2'!$B$16:$G$53,4,FALSE),IF($A1120="MDEO",VLOOKUP($B1120,MDEO!$B$16:$P$27,4,FALSE))))))</f>
        <v>145000</v>
      </c>
      <c r="G1120" s="115">
        <v>0.06</v>
      </c>
      <c r="H1120" s="118">
        <f>+F1120*G1120</f>
        <v>8700</v>
      </c>
      <c r="I1120" s="50"/>
    </row>
    <row r="1121" spans="1:12" ht="12.6" customHeight="1" x14ac:dyDescent="0.3">
      <c r="A1121" s="92" t="s">
        <v>522</v>
      </c>
      <c r="B1121" s="117" t="s">
        <v>142</v>
      </c>
      <c r="C1121" s="878" t="str">
        <f>IF($A1121="EQUI",VLOOKUP($B1121,EQUI!B$16:G$35,2,FALSE),IF($A1121="TRAN",VLOOKUP($B1121,TRAN!$B$16:$G$26,2,FALSE),IF($A1121="MAT1",VLOOKUP($B1121,'MAT1'!$B$16:$G$54,2,FALSE),IF($A1121="MAT2",VLOOKUP($B1121,'MAT2'!$B$16:$G$65,2,FALSE),IF($A1121="MDEO",VLOOKUP($B1121,MDEO!$B$16:$P$27,2,FALSE))))))</f>
        <v>disolvente</v>
      </c>
      <c r="D1121" s="878"/>
      <c r="E1121" s="123" t="str">
        <f>IF($A1121="EQUI",VLOOKUP($B1121,EQUI!B$16:G$35,3,FALSE),IF($A1121="TRAN",VLOOKUP($B1121,TRAN!$B$16:$G$26,3,FALSE),IF($A1121="MAT1",VLOOKUP($B1121,'MAT1'!$B$16:$G$54,3,FALSE),IF($A1121="MAT2",VLOOKUP($B1121,'MAT2'!$B$16:$G$55,3,FALSE),IF($A1121="MDEO",VLOOKUP($B1121,MDEO!$B$16:$P$27,3,FALSE))))))</f>
        <v>GL</v>
      </c>
      <c r="F1121" s="123">
        <f>IF($A1121="EQUI",VLOOKUP($B1121,EQUI!B$16:G$35,4,FALSE),IF($A1121="TRAN",VLOOKUP($B1121,TRAN!$B$16:$G$26,4,FALSE),IF($A1121="MAT1",VLOOKUP($B1121,'MAT1'!$B$16:$G$54,4,FALSE),IF($A1121="MAT2",VLOOKUP($B1121,'MAT2'!$B$16:$G$53,4,FALSE),IF($A1121="MDEO",VLOOKUP($B1121,MDEO!$B$16:$P$27,4,FALSE))))))</f>
        <v>21650</v>
      </c>
      <c r="G1121" s="115">
        <v>0.06</v>
      </c>
      <c r="H1121" s="118">
        <f>+F1121*G1121</f>
        <v>1299</v>
      </c>
      <c r="I1121" s="50"/>
    </row>
    <row r="1122" spans="1:12" ht="12.75" customHeight="1" x14ac:dyDescent="0.3">
      <c r="A1122" s="49"/>
      <c r="B1122" s="115"/>
      <c r="C1122" s="115"/>
      <c r="D1122" s="115"/>
      <c r="E1122" s="115"/>
      <c r="F1122" s="120" t="s">
        <v>32</v>
      </c>
      <c r="G1122" s="121" t="str">
        <f>+B1110</f>
        <v>4.4</v>
      </c>
      <c r="H1122" s="121" t="s">
        <v>356</v>
      </c>
      <c r="I1122" s="48">
        <f>SUM(H1120:H1121)</f>
        <v>9999</v>
      </c>
    </row>
    <row r="1123" spans="1:12" ht="12.75" customHeight="1" x14ac:dyDescent="0.3">
      <c r="A1123" s="47" t="s">
        <v>15</v>
      </c>
      <c r="B1123" s="3"/>
      <c r="C1123" s="115"/>
      <c r="D1123" s="115"/>
      <c r="E1123" s="115"/>
      <c r="F1123" s="115"/>
      <c r="G1123" s="115"/>
      <c r="H1123" s="115"/>
      <c r="I1123" s="50"/>
    </row>
    <row r="1124" spans="1:12" ht="12.75" customHeight="1" x14ac:dyDescent="0.3">
      <c r="A1124" s="879" t="s">
        <v>19</v>
      </c>
      <c r="B1124" s="868"/>
      <c r="C1124" s="868"/>
      <c r="D1124" s="116" t="s">
        <v>43</v>
      </c>
      <c r="E1124" s="116" t="s">
        <v>44</v>
      </c>
      <c r="F1124" s="123" t="s">
        <v>45</v>
      </c>
      <c r="G1124" s="116" t="s">
        <v>17</v>
      </c>
      <c r="H1124" s="116" t="s">
        <v>30</v>
      </c>
      <c r="I1124" s="50"/>
    </row>
    <row r="1125" spans="1:12" s="109" customFormat="1" ht="9.75" customHeight="1" x14ac:dyDescent="0.2">
      <c r="A1125" s="58"/>
      <c r="B1125" s="149"/>
      <c r="C1125" s="161"/>
      <c r="D1125" s="162"/>
      <c r="E1125" s="162"/>
      <c r="F1125" s="162"/>
      <c r="G1125" s="156"/>
      <c r="H1125" s="157"/>
      <c r="I1125" s="56"/>
      <c r="L1125" s="202"/>
    </row>
    <row r="1126" spans="1:12" ht="12.75" customHeight="1" x14ac:dyDescent="0.3">
      <c r="A1126" s="49"/>
      <c r="B1126" s="115"/>
      <c r="C1126" s="115"/>
      <c r="D1126" s="115"/>
      <c r="E1126" s="115"/>
      <c r="F1126" s="120" t="s">
        <v>32</v>
      </c>
      <c r="G1126" s="121" t="str">
        <f>+B1110</f>
        <v>4.4</v>
      </c>
      <c r="H1126" s="121" t="s">
        <v>357</v>
      </c>
      <c r="I1126" s="48">
        <f>SUM(H1125:H1125)</f>
        <v>0</v>
      </c>
    </row>
    <row r="1127" spans="1:12" ht="12.75" customHeight="1" x14ac:dyDescent="0.3">
      <c r="A1127" s="47"/>
      <c r="B1127" s="3"/>
      <c r="C1127" s="115"/>
      <c r="D1127" s="115"/>
      <c r="E1127" s="115"/>
      <c r="F1127" s="115"/>
      <c r="G1127" s="115"/>
      <c r="H1127" s="115"/>
      <c r="I1127" s="50"/>
    </row>
    <row r="1128" spans="1:12" ht="12.75" customHeight="1" x14ac:dyDescent="0.3">
      <c r="A1128" s="882" t="s">
        <v>18</v>
      </c>
      <c r="B1128" s="883"/>
      <c r="C1128" s="883"/>
      <c r="D1128" s="140" t="s">
        <v>48</v>
      </c>
      <c r="E1128" s="140" t="s">
        <v>109</v>
      </c>
      <c r="F1128" s="141" t="s">
        <v>250</v>
      </c>
      <c r="G1128" s="142" t="s">
        <v>251</v>
      </c>
      <c r="H1128" s="140" t="s">
        <v>252</v>
      </c>
      <c r="I1128" s="52"/>
    </row>
    <row r="1129" spans="1:12" s="109" customFormat="1" ht="9.75" customHeight="1" x14ac:dyDescent="0.2">
      <c r="A1129" s="58" t="s">
        <v>4</v>
      </c>
      <c r="B1129" s="100" t="s">
        <v>175</v>
      </c>
      <c r="C1129" s="126" t="str">
        <f>IF($A1129="EQUI",VLOOKUP($B1129,EQUI!B$16:G$37,2,FALSE),IF($A1129="TRAN",VLOOKUP($B1129,TRAN!$B$16:$G$26,2,FALSE),IF($A1129="MAT",VLOOKUP($B1129,'MAT1'!$B$16:$G$43,2,FALSE),IF($A1129="MDEO",VLOOKUP($B1129,MDEO!$B$16:$P$27,2,FALSE)))))</f>
        <v xml:space="preserve">oficial </v>
      </c>
      <c r="D1129" s="31">
        <f>IF($A1129="EQUI",VLOOKUP($B1129,EQUI!B$16:G$35,3,FALSE),IF($A1129="TRAN",VLOOKUP($B1129,TRAN!$B$16:$G$26,3,FALSE),IF($A1129="MAT",VLOOKUP($B1129,'MAT1'!$B$16:$G$43,3,FALSE),IF($A1129="MDEO",VLOOKUP($B1129,MDEO!$B$16:$P$27,3,FALSE)))))</f>
        <v>4833.333333333333</v>
      </c>
      <c r="E1129" s="127"/>
      <c r="F1129" s="32">
        <f>+D1129+D1129*E1129</f>
        <v>4833.333333333333</v>
      </c>
      <c r="G1129" s="165">
        <v>0.12</v>
      </c>
      <c r="H1129" s="18">
        <f>G1129*F1129</f>
        <v>579.99999999999989</v>
      </c>
      <c r="I1129" s="56"/>
      <c r="L1129" s="202"/>
    </row>
    <row r="1130" spans="1:12" s="109" customFormat="1" ht="9.75" customHeight="1" x14ac:dyDescent="0.2">
      <c r="A1130" s="58" t="s">
        <v>4</v>
      </c>
      <c r="B1130" s="100" t="s">
        <v>176</v>
      </c>
      <c r="C1130" s="126" t="str">
        <f>IF($A1130="EQUI",VLOOKUP($B1130,EQUI!B$16:G$37,2,FALSE),IF($A1130="TRAN",VLOOKUP($B1130,TRAN!$B$16:$G$26,2,FALSE),IF($A1130="MAT",VLOOKUP($B1130,'MAT1'!$B$16:$G$43,2,FALSE),IF($A1130="MDEO",VLOOKUP($B1130,MDEO!$B$16:$P$27,2,FALSE)))))</f>
        <v xml:space="preserve">ayudante entendido </v>
      </c>
      <c r="D1130" s="31">
        <f>IF($A1130="EQUI",VLOOKUP($B1130,EQUI!B$16:G$35,3,FALSE),IF($A1130="TRAN",VLOOKUP($B1130,TRAN!$B$16:$G$26,3,FALSE),IF($A1130="MAT",VLOOKUP($B1130,'MAT1'!$B$16:$G$43,3,FALSE),IF($A1130="MDEO",VLOOKUP($B1130,MDEO!$B$16:$P$27,3,FALSE)))))</f>
        <v>4833.333333333333</v>
      </c>
      <c r="E1130" s="127"/>
      <c r="F1130" s="32">
        <f>+D1130+D1130*E1130</f>
        <v>4833.333333333333</v>
      </c>
      <c r="G1130" s="165">
        <v>0.12</v>
      </c>
      <c r="H1130" s="18">
        <f>G1130*F1130</f>
        <v>579.99999999999989</v>
      </c>
      <c r="I1130" s="56"/>
      <c r="L1130" s="202"/>
    </row>
    <row r="1131" spans="1:12" s="109" customFormat="1" ht="9.75" customHeight="1" x14ac:dyDescent="0.2">
      <c r="A1131" s="58" t="s">
        <v>4</v>
      </c>
      <c r="B1131" s="100" t="s">
        <v>177</v>
      </c>
      <c r="C1131" s="126" t="str">
        <f>IF($A1131="EQUI",VLOOKUP($B1131,EQUI!B$16:G$37,2,FALSE),IF($A1131="TRAN",VLOOKUP($B1131,TRAN!$B$16:$G$26,2,FALSE),IF($A1131="MAT",VLOOKUP($B1131,'MAT1'!$B$16:$G$43,2,FALSE),IF($A1131="MDEO",VLOOKUP($B1131,MDEO!$B$16:$P$27,2,FALSE)))))</f>
        <v xml:space="preserve">ayudante </v>
      </c>
      <c r="D1131" s="31">
        <f>IF($A1131="EQUI",VLOOKUP($B1131,EQUI!B$16:G$35,3,FALSE),IF($A1131="TRAN",VLOOKUP($B1131,TRAN!$B$16:$G$26,3,FALSE),IF($A1131="MAT",VLOOKUP($B1131,'MAT1'!$B$16:$G$43,3,FALSE),IF($A1131="MDEO",VLOOKUP($B1131,MDEO!$B$16:$P$27,3,FALSE)))))</f>
        <v>4833.333333333333</v>
      </c>
      <c r="E1131" s="127"/>
      <c r="F1131" s="32">
        <f>+D1131+D1131*E1131</f>
        <v>4833.333333333333</v>
      </c>
      <c r="G1131" s="165">
        <v>0.12</v>
      </c>
      <c r="H1131" s="18">
        <f>G1131*F1131</f>
        <v>579.99999999999989</v>
      </c>
      <c r="I1131" s="56"/>
      <c r="L1131" s="202"/>
    </row>
    <row r="1132" spans="1:12" s="109" customFormat="1" ht="9.75" customHeight="1" x14ac:dyDescent="0.2">
      <c r="A1132" s="58" t="s">
        <v>4</v>
      </c>
      <c r="B1132" s="100" t="s">
        <v>178</v>
      </c>
      <c r="C1132" s="126" t="str">
        <f>IF($A1132="EQUI",VLOOKUP($B1132,EQUI!B$16:G$37,2,FALSE),IF($A1132="TRAN",VLOOKUP($B1132,TRAN!$B$16:$G$26,2,FALSE),IF($A1132="MAT",VLOOKUP($B1132,'MAT1'!$B$16:$G$43,2,FALSE),IF($A1132="MDEO",VLOOKUP($B1132,MDEO!$B$16:$P$33,2,FALSE)))))</f>
        <v>contra maestro</v>
      </c>
      <c r="D1132" s="31">
        <f>IF($A1132="EQUI",VLOOKUP($B1132,EQUI!B$16:G$35,3,FALSE),IF($A1132="TRAN",VLOOKUP($B1132,TRAN!$B$16:$G$26,3,FALSE),IF($A1132="MAT",VLOOKUP($B1132,'MAT1'!$B$16:$G$43,3,FALSE),IF($A1132="MDEO",VLOOKUP($B1132,MDEO!$B$16:$P$33,3,FALSE)))))</f>
        <v>5208.333333333333</v>
      </c>
      <c r="E1132" s="127"/>
      <c r="F1132" s="32">
        <f>+D1132+D1132*E1132</f>
        <v>5208.333333333333</v>
      </c>
      <c r="G1132" s="165">
        <f>+G1129*0.1</f>
        <v>1.2E-2</v>
      </c>
      <c r="H1132" s="18">
        <f>G1132*F1132</f>
        <v>62.5</v>
      </c>
      <c r="I1132" s="56"/>
      <c r="L1132" s="202"/>
    </row>
    <row r="1133" spans="1:12" ht="12.75" customHeight="1" x14ac:dyDescent="0.3">
      <c r="A1133" s="49"/>
      <c r="B1133" s="115"/>
      <c r="C1133" s="115"/>
      <c r="D1133" s="115"/>
      <c r="E1133" s="115"/>
      <c r="F1133" s="120" t="s">
        <v>32</v>
      </c>
      <c r="G1133" s="121" t="str">
        <f>+B1110</f>
        <v>4.4</v>
      </c>
      <c r="H1133" s="120" t="s">
        <v>358</v>
      </c>
      <c r="I1133" s="48">
        <f>SUM(H1129:H1132)</f>
        <v>1802.4999999999995</v>
      </c>
    </row>
    <row r="1134" spans="1:12" ht="12.75" customHeight="1" x14ac:dyDescent="0.3">
      <c r="A1134" s="49" t="s">
        <v>54</v>
      </c>
      <c r="B1134" s="115"/>
      <c r="C1134" s="115"/>
      <c r="D1134" s="115"/>
      <c r="E1134" s="115"/>
      <c r="F1134" s="115"/>
      <c r="G1134" s="115"/>
      <c r="H1134" s="116"/>
      <c r="I1134" s="48">
        <f>I1133*0.05</f>
        <v>90.124999999999986</v>
      </c>
    </row>
    <row r="1135" spans="1:12" ht="12.75" customHeight="1" x14ac:dyDescent="0.3">
      <c r="A1135" s="49"/>
      <c r="B1135" s="115"/>
      <c r="C1135" s="115"/>
      <c r="D1135" s="115"/>
      <c r="E1135" s="115"/>
      <c r="F1135" s="120" t="s">
        <v>55</v>
      </c>
      <c r="G1135" s="116"/>
      <c r="H1135" s="116"/>
      <c r="I1135" s="48">
        <f>ROUND(I1133+I1134+I1122+I1117+I1126,0)</f>
        <v>13392</v>
      </c>
    </row>
    <row r="1136" spans="1:12" ht="12.75" customHeight="1" x14ac:dyDescent="0.3">
      <c r="A1136" s="879" t="s">
        <v>56</v>
      </c>
      <c r="B1136" s="868"/>
      <c r="C1136" s="868"/>
      <c r="D1136" s="868"/>
      <c r="E1136" s="868" t="s">
        <v>57</v>
      </c>
      <c r="F1136" s="868"/>
      <c r="G1136" s="875" t="s">
        <v>58</v>
      </c>
      <c r="H1136" s="875"/>
      <c r="I1136" s="48"/>
    </row>
    <row r="1137" spans="1:9" ht="12.75" customHeight="1" x14ac:dyDescent="0.3">
      <c r="A1137" s="879" t="s">
        <v>208</v>
      </c>
      <c r="B1137" s="868"/>
      <c r="C1137" s="868"/>
      <c r="D1137" s="868"/>
      <c r="E1137" s="876">
        <v>0.02</v>
      </c>
      <c r="F1137" s="876"/>
      <c r="G1137" s="875">
        <f>+I1135*E1137</f>
        <v>267.84000000000003</v>
      </c>
      <c r="H1137" s="875"/>
      <c r="I1137" s="48"/>
    </row>
    <row r="1138" spans="1:9" ht="12.75" customHeight="1" x14ac:dyDescent="0.3">
      <c r="A1138" s="879" t="s">
        <v>5</v>
      </c>
      <c r="B1138" s="868"/>
      <c r="C1138" s="868"/>
      <c r="D1138" s="868"/>
      <c r="E1138" s="876">
        <v>0.23</v>
      </c>
      <c r="F1138" s="876"/>
      <c r="G1138" s="875">
        <f>+E1138*I1135</f>
        <v>3080.1600000000003</v>
      </c>
      <c r="H1138" s="875"/>
      <c r="I1138" s="48"/>
    </row>
    <row r="1139" spans="1:9" ht="12.75" customHeight="1" x14ac:dyDescent="0.3">
      <c r="A1139" s="879" t="s">
        <v>6</v>
      </c>
      <c r="B1139" s="868"/>
      <c r="C1139" s="868"/>
      <c r="D1139" s="868"/>
      <c r="E1139" s="876">
        <v>0.05</v>
      </c>
      <c r="F1139" s="876"/>
      <c r="G1139" s="875">
        <f>+E1139*I1135</f>
        <v>669.6</v>
      </c>
      <c r="H1139" s="875"/>
      <c r="I1139" s="48"/>
    </row>
    <row r="1140" spans="1:9" ht="12.75" customHeight="1" x14ac:dyDescent="0.3">
      <c r="A1140" s="879" t="s">
        <v>207</v>
      </c>
      <c r="B1140" s="868"/>
      <c r="C1140" s="868"/>
      <c r="D1140" s="868"/>
      <c r="E1140" s="876">
        <v>0.02</v>
      </c>
      <c r="F1140" s="876"/>
      <c r="G1140" s="875">
        <f>+E1140*I1135</f>
        <v>267.84000000000003</v>
      </c>
      <c r="H1140" s="875"/>
      <c r="I1140" s="48"/>
    </row>
    <row r="1141" spans="1:9" ht="12.75" customHeight="1" x14ac:dyDescent="0.3">
      <c r="A1141" s="880" t="s">
        <v>397</v>
      </c>
      <c r="B1141" s="867"/>
      <c r="C1141" s="867"/>
      <c r="D1141" s="867"/>
      <c r="E1141" s="867"/>
      <c r="F1141" s="867"/>
      <c r="G1141" s="867"/>
      <c r="H1141" s="867"/>
      <c r="I1141" s="48">
        <f>+G1140+G1138+G1139+G1137</f>
        <v>4285.4400000000005</v>
      </c>
    </row>
    <row r="1142" spans="1:9" ht="12.75" customHeight="1" x14ac:dyDescent="0.3">
      <c r="A1142" s="880" t="s">
        <v>59</v>
      </c>
      <c r="B1142" s="867"/>
      <c r="C1142" s="867"/>
      <c r="D1142" s="867"/>
      <c r="E1142" s="867"/>
      <c r="F1142" s="867"/>
      <c r="G1142" s="867"/>
      <c r="H1142" s="867"/>
      <c r="I1142" s="48">
        <f>+I1141+I1135</f>
        <v>17677.440000000002</v>
      </c>
    </row>
    <row r="1143" spans="1:9" ht="12.75" customHeight="1" x14ac:dyDescent="0.3">
      <c r="A1143" s="93"/>
      <c r="B1143" s="65"/>
      <c r="C1143" s="65"/>
      <c r="D1143" s="65"/>
      <c r="E1143" s="65"/>
      <c r="F1143" s="65"/>
      <c r="G1143" s="65"/>
      <c r="H1143" s="65"/>
      <c r="I1143" s="48"/>
    </row>
    <row r="1144" spans="1:9" ht="12.75" customHeight="1" x14ac:dyDescent="0.3">
      <c r="A1144" s="881" t="s">
        <v>114</v>
      </c>
      <c r="B1144" s="604"/>
      <c r="C1144" s="604"/>
      <c r="D1144" s="65"/>
      <c r="E1144" s="65"/>
      <c r="F1144" s="604" t="s">
        <v>396</v>
      </c>
      <c r="G1144" s="604"/>
      <c r="H1144" s="604"/>
      <c r="I1144" s="894"/>
    </row>
    <row r="1145" spans="1:9" ht="12.75" customHeight="1" x14ac:dyDescent="0.3">
      <c r="A1145" s="92" t="s">
        <v>111</v>
      </c>
      <c r="B1145" s="868"/>
      <c r="C1145" s="868"/>
      <c r="D1145" s="115"/>
      <c r="E1145" s="115"/>
      <c r="F1145" s="116" t="s">
        <v>111</v>
      </c>
      <c r="G1145" s="868"/>
      <c r="H1145" s="868"/>
      <c r="I1145" s="884"/>
    </row>
    <row r="1146" spans="1:9" ht="12.75" customHeight="1" x14ac:dyDescent="0.3">
      <c r="A1146" s="132" t="s">
        <v>115</v>
      </c>
      <c r="B1146" s="868" t="str">
        <f>VLOOKUP(A1146,[6]INICIO!$E$6:$H$26,2,FALSE)</f>
        <v>LINA MARCELA</v>
      </c>
      <c r="C1146" s="868"/>
      <c r="F1146" s="86" t="s">
        <v>112</v>
      </c>
      <c r="G1146" s="868"/>
      <c r="H1146" s="868"/>
      <c r="I1146" s="884"/>
    </row>
    <row r="1147" spans="1:9" ht="12.75" customHeight="1" x14ac:dyDescent="0.3">
      <c r="A1147" s="132" t="s">
        <v>113</v>
      </c>
      <c r="B1147" s="868" t="str">
        <f>VLOOKUP(A1146,[6]INICIO!$E$6:$H$26,4,FALSE)</f>
        <v>05202-316814 ANT</v>
      </c>
      <c r="C1147" s="868"/>
      <c r="F1147" s="86" t="s">
        <v>113</v>
      </c>
      <c r="G1147" s="868"/>
      <c r="H1147" s="868"/>
      <c r="I1147" s="884"/>
    </row>
    <row r="1148" spans="1:9" ht="12.75" customHeight="1" x14ac:dyDescent="0.3">
      <c r="A1148" s="132"/>
      <c r="B1148" s="116"/>
      <c r="C1148" s="116"/>
      <c r="F1148" s="86"/>
      <c r="G1148" s="116"/>
      <c r="H1148" s="116"/>
      <c r="I1148" s="95"/>
    </row>
    <row r="1149" spans="1:9" ht="12.75" customHeight="1" x14ac:dyDescent="0.3">
      <c r="A1149" s="872" t="s">
        <v>110</v>
      </c>
      <c r="B1149" s="869"/>
      <c r="C1149" s="869"/>
      <c r="D1149" s="869"/>
      <c r="E1149" s="869"/>
      <c r="F1149" s="869"/>
      <c r="G1149" s="869"/>
      <c r="H1149" s="869"/>
      <c r="I1149" s="873"/>
    </row>
    <row r="1150" spans="1:9" ht="12.75" customHeight="1" x14ac:dyDescent="0.3">
      <c r="A1150" s="870"/>
      <c r="B1150" s="691"/>
      <c r="C1150" s="691"/>
      <c r="D1150" s="691"/>
      <c r="E1150" s="691"/>
      <c r="F1150" s="691"/>
      <c r="G1150" s="691"/>
      <c r="H1150" s="691"/>
      <c r="I1150" s="871"/>
    </row>
    <row r="1151" spans="1:9" ht="12.75" customHeight="1" x14ac:dyDescent="0.3">
      <c r="A1151" s="872"/>
      <c r="B1151" s="869"/>
      <c r="C1151" s="869"/>
      <c r="D1151" s="869"/>
      <c r="E1151" s="869"/>
      <c r="F1151" s="869"/>
      <c r="G1151" s="869"/>
      <c r="H1151" s="869"/>
      <c r="I1151" s="873"/>
    </row>
    <row r="1152" spans="1:9" ht="12.75" customHeight="1" x14ac:dyDescent="0.3">
      <c r="A1152" s="891" t="s">
        <v>68</v>
      </c>
      <c r="B1152" s="892"/>
      <c r="C1152" s="892"/>
      <c r="D1152" s="892"/>
      <c r="E1152" s="892"/>
      <c r="F1152" s="892"/>
      <c r="G1152" s="892"/>
      <c r="H1152" s="892"/>
      <c r="I1152" s="893"/>
    </row>
    <row r="1153" spans="1:9" ht="12.75" customHeight="1" x14ac:dyDescent="0.3">
      <c r="A1153" s="94" t="s">
        <v>69</v>
      </c>
      <c r="B1153" s="112" t="s">
        <v>270</v>
      </c>
      <c r="C1153" s="604" t="s">
        <v>70</v>
      </c>
      <c r="D1153" s="924" t="str">
        <f>VLOOKUP(B1153,PRESUPUESTO!$A$18:$I$68,3,FALSE)</f>
        <v>PISO EN LOSETA CUADRATICA PREFABRICADA TACTIL ALERTA, 20*20 E=60 MM-SE INSTALARÁ SOBRE UNA CAPA DE MORTERO 1:4 DE 4CM.</v>
      </c>
      <c r="E1153" s="924"/>
      <c r="F1153" s="924"/>
      <c r="G1153" s="924"/>
      <c r="H1153" s="924"/>
      <c r="I1153" s="925"/>
    </row>
    <row r="1154" spans="1:9" ht="12.75" customHeight="1" x14ac:dyDescent="0.3">
      <c r="A1154" s="94" t="s">
        <v>71</v>
      </c>
      <c r="B1154" s="112" t="str">
        <f>VLOOKUP(B1153,PRESUPUESTO!$A$18:$I$69,2,FALSE)</f>
        <v>PAR-10</v>
      </c>
      <c r="C1154" s="604"/>
      <c r="D1154" s="140" t="s">
        <v>12</v>
      </c>
      <c r="E1154" s="113" t="s">
        <v>182</v>
      </c>
      <c r="F1154" s="113" t="s">
        <v>13</v>
      </c>
      <c r="G1154" s="113">
        <f>VLOOKUP(B1154,PRESUPUESTO!$B$15:$I$1201,5,FALSE)</f>
        <v>124</v>
      </c>
      <c r="H1154" s="114" t="s">
        <v>27</v>
      </c>
      <c r="I1154" s="46">
        <f>+I1180</f>
        <v>89406</v>
      </c>
    </row>
    <row r="1155" spans="1:9" ht="12.75" customHeight="1" x14ac:dyDescent="0.3">
      <c r="A1155" s="47" t="s">
        <v>14</v>
      </c>
      <c r="B1155" s="3"/>
      <c r="C1155" s="115"/>
      <c r="D1155" s="115"/>
      <c r="E1155" s="115"/>
      <c r="F1155" s="115"/>
      <c r="G1155" s="115"/>
      <c r="H1155" s="115"/>
      <c r="I1155" s="48"/>
    </row>
    <row r="1156" spans="1:9" ht="12.75" customHeight="1" x14ac:dyDescent="0.3">
      <c r="A1156" s="879" t="s">
        <v>19</v>
      </c>
      <c r="B1156" s="868"/>
      <c r="C1156" s="868"/>
      <c r="D1156" s="868"/>
      <c r="E1156" s="868"/>
      <c r="F1156" s="116" t="s">
        <v>28</v>
      </c>
      <c r="G1156" s="116" t="s">
        <v>29</v>
      </c>
      <c r="H1156" s="116" t="s">
        <v>30</v>
      </c>
      <c r="I1156" s="50"/>
    </row>
    <row r="1157" spans="1:9" ht="12.75" customHeight="1" x14ac:dyDescent="0.3">
      <c r="A1157" s="92" t="s">
        <v>1</v>
      </c>
      <c r="B1157" s="117" t="s">
        <v>80</v>
      </c>
      <c r="C1157" s="878"/>
      <c r="D1157" s="878"/>
      <c r="E1157" s="878"/>
      <c r="F1157" s="123"/>
      <c r="G1157" s="115"/>
      <c r="H1157" s="118">
        <f>+F1157*G1157</f>
        <v>0</v>
      </c>
      <c r="I1157" s="50"/>
    </row>
    <row r="1158" spans="1:9" ht="12.75" customHeight="1" x14ac:dyDescent="0.3">
      <c r="A1158" s="92" t="s">
        <v>1</v>
      </c>
      <c r="B1158" s="117" t="s">
        <v>94</v>
      </c>
      <c r="C1158" s="878"/>
      <c r="D1158" s="878"/>
      <c r="E1158" s="878"/>
      <c r="F1158" s="123"/>
      <c r="G1158" s="115"/>
      <c r="H1158" s="118">
        <f>+F1158*G1158</f>
        <v>0</v>
      </c>
      <c r="I1158" s="50"/>
    </row>
    <row r="1159" spans="1:9" ht="12.75" customHeight="1" x14ac:dyDescent="0.3">
      <c r="A1159" s="92" t="s">
        <v>1</v>
      </c>
      <c r="B1159" s="117"/>
      <c r="C1159" s="878"/>
      <c r="D1159" s="878"/>
      <c r="E1159" s="878"/>
      <c r="F1159" s="123"/>
      <c r="G1159" s="115"/>
      <c r="H1159" s="118"/>
      <c r="I1159" s="50"/>
    </row>
    <row r="1160" spans="1:9" ht="12.75" customHeight="1" x14ac:dyDescent="0.3">
      <c r="A1160" s="49"/>
      <c r="B1160" s="115"/>
      <c r="C1160" s="115"/>
      <c r="D1160" s="115"/>
      <c r="E1160" s="115"/>
      <c r="F1160" s="120" t="s">
        <v>32</v>
      </c>
      <c r="G1160" s="121" t="str">
        <f>+B1153</f>
        <v>4.5</v>
      </c>
      <c r="H1160" s="121" t="s">
        <v>359</v>
      </c>
      <c r="I1160" s="48">
        <f>SUM(H1157:H1159)</f>
        <v>0</v>
      </c>
    </row>
    <row r="1161" spans="1:9" ht="12.75" customHeight="1" x14ac:dyDescent="0.3">
      <c r="A1161" s="47" t="s">
        <v>34</v>
      </c>
      <c r="B1161" s="3"/>
      <c r="C1161" s="115"/>
      <c r="D1161" s="115"/>
      <c r="E1161" s="115"/>
      <c r="F1161" s="115"/>
      <c r="G1161" s="115"/>
      <c r="H1161" s="115"/>
      <c r="I1161" s="50"/>
    </row>
    <row r="1162" spans="1:9" ht="12.75" customHeight="1" x14ac:dyDescent="0.3">
      <c r="A1162" s="879" t="s">
        <v>35</v>
      </c>
      <c r="B1162" s="868"/>
      <c r="C1162" s="868"/>
      <c r="D1162" s="868"/>
      <c r="E1162" s="116" t="s">
        <v>12</v>
      </c>
      <c r="F1162" s="116" t="s">
        <v>36</v>
      </c>
      <c r="G1162" s="116" t="s">
        <v>37</v>
      </c>
      <c r="H1162" s="116" t="s">
        <v>38</v>
      </c>
      <c r="I1162" s="50"/>
    </row>
    <row r="1163" spans="1:9" ht="12.75" customHeight="1" x14ac:dyDescent="0.3">
      <c r="A1163" s="92" t="s">
        <v>522</v>
      </c>
      <c r="B1163" s="117" t="s">
        <v>161</v>
      </c>
      <c r="C1163" s="878" t="str">
        <f>IF($A1163="EQUI",VLOOKUP($B1163,EQUI!B$16:G$35,2,FALSE),IF($A1163="TRAN",VLOOKUP($B1163,TRAN!$B$16:$G$26,2,FALSE),IF($A1163="MAT1",VLOOKUP($B1163,'MAT1'!$B$16:$G$54,2,FALSE),IF($A1163="MAT2",VLOOKUP($B1163,'MAT2'!$B$16:$G$65,2,FALSE),IF($A1163="MDEO",VLOOKUP($B1163,MDEO!$B$16:$P$27,2,FALSE))))))</f>
        <v>tableta táctil alerta 20*20</v>
      </c>
      <c r="D1163" s="878"/>
      <c r="E1163" s="123" t="str">
        <f>IF($A1163="EQUI",VLOOKUP($B1163,EQUI!B$16:G$35,3,FALSE),IF($A1163="TRAN",VLOOKUP($B1163,TRAN!$B$16:$G$26,3,FALSE),IF($A1163="MAT1",VLOOKUP($B1163,'MAT1'!$B$16:$G$54,3,FALSE),IF($A1163="MAT2",VLOOKUP($B1163,'MAT2'!$B$16:$G$55,3,FALSE),IF($A1163="MDEO",VLOOKUP($B1163,MDEO!$B$16:$P$27,3,FALSE))))))</f>
        <v>UN</v>
      </c>
      <c r="F1163" s="123">
        <f>IF($A1163="EQUI",VLOOKUP($B1163,EQUI!B$16:G$35,4,FALSE),IF($A1163="TRAN",VLOOKUP($B1163,TRAN!$B$16:$G$26,4,FALSE),IF($A1163="MAT1",VLOOKUP($B1163,'MAT1'!$B$16:$G$54,4,FALSE),IF($A1163="MAT2",VLOOKUP($B1163,'MAT2'!$B$16:$G$53,4,FALSE),IF($A1163="MDEO",VLOOKUP($B1163,MDEO!$B$16:$P$27,4,FALSE))))))</f>
        <v>2100</v>
      </c>
      <c r="G1163" s="115">
        <v>25</v>
      </c>
      <c r="H1163" s="118">
        <f>+F1163*G1163</f>
        <v>52500</v>
      </c>
      <c r="I1163" s="50"/>
    </row>
    <row r="1164" spans="1:9" ht="12.75" customHeight="1" x14ac:dyDescent="0.3">
      <c r="A1164" s="92" t="s">
        <v>523</v>
      </c>
      <c r="B1164" s="117" t="s">
        <v>143</v>
      </c>
      <c r="C1164" s="878" t="str">
        <f>IF($A1164="EQUI",VLOOKUP($B1164,EQUI!B$16:G$35,2,FALSE),IF($A1164="TRAN",VLOOKUP($B1164,TRAN!$B$16:$G$26,2,FALSE),IF($A1164="MAT1",VLOOKUP($B1164,'MAT1'!$B$16:$G$54,2,FALSE),IF($A1164="MAT2",VLOOKUP($B1164,'MAT2'!$B$16:$G$65,2,FALSE),IF($A1164="MDEO",VLOOKUP($B1164,MDEO!$B$16:$P$27,2,FALSE))))))</f>
        <v>Mortero 1:6 para pega y rebitada</v>
      </c>
      <c r="D1164" s="878"/>
      <c r="E1164" s="123" t="str">
        <f>IF($A1164="EQUI",VLOOKUP($B1164,EQUI!B$16:G$35,3,FALSE),IF($A1164="TRAN",VLOOKUP($B1164,TRAN!$B$16:$G$26,3,FALSE),IF($A1164="MAT1",VLOOKUP($B1164,'MAT1'!$B$16:$G$54,3,FALSE),IF($A1164="MAT2",VLOOKUP($B1164,'MAT2'!$B$16:$G$55,3,FALSE),IF($A1164="MDEO",VLOOKUP($B1164,MDEO!$B$16:$P$27,3,FALSE))))))</f>
        <v>M3</v>
      </c>
      <c r="F1164" s="123">
        <f>IF($A1164="EQUI",VLOOKUP($B1164,EQUI!B$16:G$35,4,FALSE),IF($A1164="TRAN",VLOOKUP($B1164,TRAN!$B$16:$G$26,4,FALSE),IF($A1164="MAT1",VLOOKUP($B1164,'MAT1'!$B$16:$G$54,4,FALSE),IF($A1164="MAT2",VLOOKUP($B1164,'MAT2'!$B$16:$G$53,4,FALSE),IF($A1164="MDEO",VLOOKUP($B1164,MDEO!$B$16:$P$27,4,FALSE))))))</f>
        <v>403352</v>
      </c>
      <c r="G1164" s="115">
        <v>0.04</v>
      </c>
      <c r="H1164" s="118">
        <f>+F1164*G1164</f>
        <v>16134.08</v>
      </c>
      <c r="I1164" s="50"/>
    </row>
    <row r="1165" spans="1:9" ht="12.75" customHeight="1" x14ac:dyDescent="0.3">
      <c r="A1165" s="92" t="s">
        <v>0</v>
      </c>
      <c r="B1165" s="117"/>
      <c r="C1165" s="878"/>
      <c r="D1165" s="878"/>
      <c r="E1165" s="123"/>
      <c r="F1165" s="123"/>
      <c r="G1165" s="115"/>
      <c r="H1165" s="118"/>
      <c r="I1165" s="50"/>
    </row>
    <row r="1166" spans="1:9" ht="12.75" customHeight="1" x14ac:dyDescent="0.3">
      <c r="A1166" s="49"/>
      <c r="B1166" s="115"/>
      <c r="C1166" s="115"/>
      <c r="D1166" s="115"/>
      <c r="E1166" s="115"/>
      <c r="F1166" s="120" t="s">
        <v>32</v>
      </c>
      <c r="G1166" s="121" t="str">
        <f>+B1153</f>
        <v>4.5</v>
      </c>
      <c r="H1166" s="121" t="s">
        <v>360</v>
      </c>
      <c r="I1166" s="48">
        <f>SUM(H1163:H1165)</f>
        <v>68634.080000000002</v>
      </c>
    </row>
    <row r="1167" spans="1:9" ht="12.75" customHeight="1" x14ac:dyDescent="0.3">
      <c r="A1167" s="47" t="s">
        <v>15</v>
      </c>
      <c r="B1167" s="3"/>
      <c r="C1167" s="115"/>
      <c r="D1167" s="115"/>
      <c r="E1167" s="115"/>
      <c r="F1167" s="115"/>
      <c r="G1167" s="115"/>
      <c r="H1167" s="115"/>
      <c r="I1167" s="50"/>
    </row>
    <row r="1168" spans="1:9" ht="12.75" customHeight="1" x14ac:dyDescent="0.3">
      <c r="A1168" s="879" t="s">
        <v>19</v>
      </c>
      <c r="B1168" s="868"/>
      <c r="C1168" s="868"/>
      <c r="D1168" s="116" t="s">
        <v>43</v>
      </c>
      <c r="E1168" s="116" t="s">
        <v>44</v>
      </c>
      <c r="F1168" s="123" t="s">
        <v>45</v>
      </c>
      <c r="G1168" s="116" t="s">
        <v>17</v>
      </c>
      <c r="H1168" s="116" t="s">
        <v>30</v>
      </c>
      <c r="I1168" s="50"/>
    </row>
    <row r="1169" spans="1:12" s="109" customFormat="1" ht="9.75" customHeight="1" x14ac:dyDescent="0.2">
      <c r="A1169" s="58" t="s">
        <v>3</v>
      </c>
      <c r="B1169" s="149" t="s">
        <v>170</v>
      </c>
      <c r="C1169" s="161" t="str">
        <f>IF($A1169="EQUI",VLOOKUP($B1169,[6]EQUI!B$16:G$46,2,FALSE),IF($A1169="TRAN",VLOOKUP($B1169,[6]TRAN!$B$16:$G$26,2,FALSE),IF(A1169="MAT",VLOOKUP($B1169,[6]MAT!$B$16:$G$83,2,FALSE),IF(A1169="MDEO",VLOOKUP($B1169,[6]MDEO!$B$16:$I$21,2,FALSE)))))</f>
        <v>TRANS INT TABLETA-ADOQUIN UN</v>
      </c>
      <c r="D1169" s="162">
        <f>+G1163</f>
        <v>25</v>
      </c>
      <c r="E1169" s="162">
        <v>1</v>
      </c>
      <c r="F1169" s="162">
        <f>E1169*D1169</f>
        <v>25</v>
      </c>
      <c r="G1169" s="156">
        <f>IF($A1169="EQUI",VLOOKUP($B1169,[6]EQUI!B$16:G$46,4,FALSE),IF($A1169="TRAN",VLOOKUP($B1169,[6]TRAN!$B$16:$G$26,4,FALSE),IF($A1169="MAT",VLOOKUP($B1169,[6]MAT!$B$16:$G$83,4,FALSE),IF($A1169="MDEO",VLOOKUP($B1169,[6]MDEO!$B$16:$I$21,4,FALSE)))))</f>
        <v>200</v>
      </c>
      <c r="H1169" s="157">
        <f>+F1169*G1169</f>
        <v>5000</v>
      </c>
      <c r="I1169" s="56"/>
      <c r="L1169" s="202"/>
    </row>
    <row r="1170" spans="1:12" ht="12.75" customHeight="1" x14ac:dyDescent="0.3">
      <c r="A1170" s="51"/>
      <c r="B1170" s="117"/>
      <c r="C1170" s="133"/>
      <c r="D1170" s="123"/>
      <c r="E1170" s="123"/>
      <c r="F1170" s="123"/>
      <c r="G1170" s="116"/>
      <c r="H1170" s="118"/>
      <c r="I1170" s="50"/>
    </row>
    <row r="1171" spans="1:12" ht="12.75" customHeight="1" x14ac:dyDescent="0.3">
      <c r="A1171" s="49"/>
      <c r="B1171" s="115"/>
      <c r="C1171" s="115"/>
      <c r="D1171" s="115"/>
      <c r="E1171" s="115"/>
      <c r="F1171" s="120" t="s">
        <v>32</v>
      </c>
      <c r="G1171" s="121" t="str">
        <f>+B1153</f>
        <v>4.5</v>
      </c>
      <c r="H1171" s="121" t="s">
        <v>361</v>
      </c>
      <c r="I1171" s="48">
        <f>SUM(H1169:H1170)</f>
        <v>5000</v>
      </c>
    </row>
    <row r="1172" spans="1:12" ht="12.75" customHeight="1" x14ac:dyDescent="0.3">
      <c r="A1172" s="47"/>
      <c r="B1172" s="3"/>
      <c r="C1172" s="115"/>
      <c r="D1172" s="115"/>
      <c r="E1172" s="115"/>
      <c r="F1172" s="115"/>
      <c r="G1172" s="115"/>
      <c r="H1172" s="115"/>
      <c r="I1172" s="50"/>
    </row>
    <row r="1173" spans="1:12" ht="12.75" customHeight="1" x14ac:dyDescent="0.3">
      <c r="A1173" s="882" t="s">
        <v>18</v>
      </c>
      <c r="B1173" s="883"/>
      <c r="C1173" s="883"/>
      <c r="D1173" s="140" t="s">
        <v>48</v>
      </c>
      <c r="E1173" s="140" t="s">
        <v>109</v>
      </c>
      <c r="F1173" s="141" t="s">
        <v>250</v>
      </c>
      <c r="G1173" s="142" t="s">
        <v>251</v>
      </c>
      <c r="H1173" s="140" t="s">
        <v>252</v>
      </c>
      <c r="I1173" s="52"/>
    </row>
    <row r="1174" spans="1:12" s="109" customFormat="1" ht="9.75" customHeight="1" x14ac:dyDescent="0.2">
      <c r="A1174" s="58" t="s">
        <v>4</v>
      </c>
      <c r="B1174" s="100" t="s">
        <v>175</v>
      </c>
      <c r="C1174" s="126" t="str">
        <f>IF($A1174="EQUI",VLOOKUP($B1174,EQUI!B$16:G$37,2,FALSE),IF($A1174="TRAN",VLOOKUP($B1174,TRAN!$B$16:$G$26,2,FALSE),IF($A1174="MAT",VLOOKUP($B1174,'MAT1'!$B$16:$G$43,2,FALSE),IF($A1174="MDEO",VLOOKUP($B1174,MDEO!$B$16:$P$27,2,FALSE)))))</f>
        <v xml:space="preserve">oficial </v>
      </c>
      <c r="D1174" s="31">
        <f>IF($A1174="EQUI",VLOOKUP($B1174,EQUI!B$16:G$35,3,FALSE),IF($A1174="TRAN",VLOOKUP($B1174,TRAN!$B$16:$G$26,3,FALSE),IF($A1174="MAT",VLOOKUP($B1174,'MAT1'!$B$16:$G$43,3,FALSE),IF($A1174="MDEO",VLOOKUP($B1174,MDEO!$B$16:$P$27,3,FALSE)))))</f>
        <v>4833.333333333333</v>
      </c>
      <c r="E1174" s="127"/>
      <c r="F1174" s="32">
        <f>+D1174+D1174*E1174</f>
        <v>4833.333333333333</v>
      </c>
      <c r="G1174" s="165">
        <v>1</v>
      </c>
      <c r="H1174" s="18">
        <f>G1174*F1174</f>
        <v>4833.333333333333</v>
      </c>
      <c r="I1174" s="56"/>
      <c r="L1174" s="202"/>
    </row>
    <row r="1175" spans="1:12" s="109" customFormat="1" ht="9.75" customHeight="1" x14ac:dyDescent="0.2">
      <c r="A1175" s="58" t="s">
        <v>4</v>
      </c>
      <c r="B1175" s="100" t="s">
        <v>176</v>
      </c>
      <c r="C1175" s="126" t="str">
        <f>IF($A1175="EQUI",VLOOKUP($B1175,EQUI!B$16:G$37,2,FALSE),IF($A1175="TRAN",VLOOKUP($B1175,TRAN!$B$16:$G$26,2,FALSE),IF($A1175="MAT",VLOOKUP($B1175,'MAT1'!$B$16:$G$43,2,FALSE),IF($A1175="MDEO",VLOOKUP($B1175,MDEO!$B$16:$P$27,2,FALSE)))))</f>
        <v xml:space="preserve">ayudante entendido </v>
      </c>
      <c r="D1175" s="31">
        <f>IF($A1175="EQUI",VLOOKUP($B1175,EQUI!B$16:G$35,3,FALSE),IF($A1175="TRAN",VLOOKUP($B1175,TRAN!$B$16:$G$26,3,FALSE),IF($A1175="MAT",VLOOKUP($B1175,'MAT1'!$B$16:$G$43,3,FALSE),IF($A1175="MDEO",VLOOKUP($B1175,MDEO!$B$16:$P$27,3,FALSE)))))</f>
        <v>4833.333333333333</v>
      </c>
      <c r="E1175" s="127"/>
      <c r="F1175" s="32">
        <f>+D1175+D1175*E1175</f>
        <v>4833.333333333333</v>
      </c>
      <c r="G1175" s="165">
        <v>0</v>
      </c>
      <c r="H1175" s="18">
        <f>G1175*F1175</f>
        <v>0</v>
      </c>
      <c r="I1175" s="56"/>
      <c r="L1175" s="202"/>
    </row>
    <row r="1176" spans="1:12" s="109" customFormat="1" ht="9.75" customHeight="1" x14ac:dyDescent="0.2">
      <c r="A1176" s="58" t="s">
        <v>4</v>
      </c>
      <c r="B1176" s="100" t="s">
        <v>177</v>
      </c>
      <c r="C1176" s="126" t="str">
        <f>IF($A1176="EQUI",VLOOKUP($B1176,EQUI!B$16:G$37,2,FALSE),IF($A1176="TRAN",VLOOKUP($B1176,TRAN!$B$16:$G$26,2,FALSE),IF($A1176="MAT",VLOOKUP($B1176,'MAT1'!$B$16:$G$43,2,FALSE),IF($A1176="MDEO",VLOOKUP($B1176,MDEO!$B$16:$P$27,2,FALSE)))))</f>
        <v xml:space="preserve">ayudante </v>
      </c>
      <c r="D1176" s="31">
        <f>IF($A1176="EQUI",VLOOKUP($B1176,EQUI!B$16:G$35,3,FALSE),IF($A1176="TRAN",VLOOKUP($B1176,TRAN!$B$16:$G$26,3,FALSE),IF($A1176="MAT",VLOOKUP($B1176,'MAT1'!$B$16:$G$43,3,FALSE),IF($A1176="MDEO",VLOOKUP($B1176,MDEO!$B$16:$P$27,3,FALSE)))))</f>
        <v>4833.333333333333</v>
      </c>
      <c r="E1176" s="127"/>
      <c r="F1176" s="32">
        <f>+D1176+D1176*E1176</f>
        <v>4833.333333333333</v>
      </c>
      <c r="G1176" s="165">
        <v>2</v>
      </c>
      <c r="H1176" s="18">
        <f>G1176*F1176</f>
        <v>9666.6666666666661</v>
      </c>
      <c r="I1176" s="56"/>
      <c r="L1176" s="202"/>
    </row>
    <row r="1177" spans="1:12" s="109" customFormat="1" ht="9.75" customHeight="1" x14ac:dyDescent="0.2">
      <c r="A1177" s="58" t="s">
        <v>4</v>
      </c>
      <c r="B1177" s="100" t="s">
        <v>178</v>
      </c>
      <c r="C1177" s="126" t="str">
        <f>IF($A1177="EQUI",VLOOKUP($B1177,EQUI!B$16:G$37,2,FALSE),IF($A1177="TRAN",VLOOKUP($B1177,TRAN!$B$16:$G$26,2,FALSE),IF($A1177="MAT",VLOOKUP($B1177,'MAT1'!$B$16:$G$43,2,FALSE),IF($A1177="MDEO",VLOOKUP($B1177,MDEO!$B$16:$P$33,2,FALSE)))))</f>
        <v>contra maestro</v>
      </c>
      <c r="D1177" s="31">
        <f>IF($A1177="EQUI",VLOOKUP($B1177,EQUI!B$16:G$35,3,FALSE),IF($A1177="TRAN",VLOOKUP($B1177,TRAN!$B$16:$G$26,3,FALSE),IF($A1177="MAT",VLOOKUP($B1177,'MAT1'!$B$16:$G$43,3,FALSE),IF($A1177="MDEO",VLOOKUP($B1177,MDEO!$B$16:$P$33,3,FALSE)))))</f>
        <v>5208.333333333333</v>
      </c>
      <c r="E1177" s="127"/>
      <c r="F1177" s="32">
        <f>+D1177+D1177*E1177</f>
        <v>5208.333333333333</v>
      </c>
      <c r="G1177" s="165">
        <f>+G1174*0.1</f>
        <v>0.1</v>
      </c>
      <c r="H1177" s="18">
        <f>G1177*F1177</f>
        <v>520.83333333333337</v>
      </c>
      <c r="I1177" s="56"/>
      <c r="L1177" s="202"/>
    </row>
    <row r="1178" spans="1:12" ht="12.75" customHeight="1" x14ac:dyDescent="0.3">
      <c r="A1178" s="49"/>
      <c r="B1178" s="115"/>
      <c r="C1178" s="115"/>
      <c r="D1178" s="115"/>
      <c r="E1178" s="115"/>
      <c r="F1178" s="120" t="s">
        <v>32</v>
      </c>
      <c r="G1178" s="121" t="str">
        <f>+B1153</f>
        <v>4.5</v>
      </c>
      <c r="H1178" s="120" t="s">
        <v>362</v>
      </c>
      <c r="I1178" s="48">
        <f>SUM(H1174:H1177)</f>
        <v>15020.833333333334</v>
      </c>
    </row>
    <row r="1179" spans="1:12" ht="12.75" customHeight="1" x14ac:dyDescent="0.3">
      <c r="A1179" s="49" t="s">
        <v>54</v>
      </c>
      <c r="B1179" s="115"/>
      <c r="C1179" s="115"/>
      <c r="D1179" s="115"/>
      <c r="E1179" s="115"/>
      <c r="F1179" s="115"/>
      <c r="G1179" s="115"/>
      <c r="H1179" s="116"/>
      <c r="I1179" s="48">
        <f>I1178*0.05</f>
        <v>751.04166666666674</v>
      </c>
    </row>
    <row r="1180" spans="1:12" ht="12.75" customHeight="1" x14ac:dyDescent="0.3">
      <c r="A1180" s="49"/>
      <c r="B1180" s="115"/>
      <c r="C1180" s="115"/>
      <c r="D1180" s="115"/>
      <c r="E1180" s="115"/>
      <c r="F1180" s="120" t="s">
        <v>55</v>
      </c>
      <c r="G1180" s="116"/>
      <c r="H1180" s="116"/>
      <c r="I1180" s="48">
        <f>ROUND(I1178+I1179+I1166+I1160+I1171,0)</f>
        <v>89406</v>
      </c>
    </row>
    <row r="1181" spans="1:12" ht="12.75" customHeight="1" x14ac:dyDescent="0.3">
      <c r="A1181" s="879" t="s">
        <v>56</v>
      </c>
      <c r="B1181" s="868"/>
      <c r="C1181" s="868"/>
      <c r="D1181" s="868"/>
      <c r="E1181" s="868" t="s">
        <v>57</v>
      </c>
      <c r="F1181" s="868"/>
      <c r="G1181" s="875" t="s">
        <v>58</v>
      </c>
      <c r="H1181" s="875"/>
      <c r="I1181" s="48"/>
    </row>
    <row r="1182" spans="1:12" ht="12.75" customHeight="1" x14ac:dyDescent="0.3">
      <c r="A1182" s="879" t="s">
        <v>208</v>
      </c>
      <c r="B1182" s="868"/>
      <c r="C1182" s="868"/>
      <c r="D1182" s="868"/>
      <c r="E1182" s="876">
        <v>0.02</v>
      </c>
      <c r="F1182" s="876"/>
      <c r="G1182" s="875">
        <f>+I1180*E1182</f>
        <v>1788.1200000000001</v>
      </c>
      <c r="H1182" s="875"/>
      <c r="I1182" s="48"/>
    </row>
    <row r="1183" spans="1:12" ht="12.75" customHeight="1" x14ac:dyDescent="0.3">
      <c r="A1183" s="879" t="s">
        <v>5</v>
      </c>
      <c r="B1183" s="868"/>
      <c r="C1183" s="868"/>
      <c r="D1183" s="868"/>
      <c r="E1183" s="876">
        <v>0.23</v>
      </c>
      <c r="F1183" s="876"/>
      <c r="G1183" s="875">
        <f>+E1183*I1180</f>
        <v>20563.38</v>
      </c>
      <c r="H1183" s="875"/>
      <c r="I1183" s="48"/>
    </row>
    <row r="1184" spans="1:12" ht="12.75" customHeight="1" x14ac:dyDescent="0.3">
      <c r="A1184" s="879" t="s">
        <v>6</v>
      </c>
      <c r="B1184" s="868"/>
      <c r="C1184" s="868"/>
      <c r="D1184" s="868"/>
      <c r="E1184" s="876">
        <v>0.05</v>
      </c>
      <c r="F1184" s="876"/>
      <c r="G1184" s="875">
        <f>+E1184*I1180</f>
        <v>4470.3</v>
      </c>
      <c r="H1184" s="875"/>
      <c r="I1184" s="48"/>
    </row>
    <row r="1185" spans="1:9" ht="12.75" customHeight="1" x14ac:dyDescent="0.3">
      <c r="A1185" s="879" t="s">
        <v>207</v>
      </c>
      <c r="B1185" s="868"/>
      <c r="C1185" s="868"/>
      <c r="D1185" s="868"/>
      <c r="E1185" s="876">
        <v>0.02</v>
      </c>
      <c r="F1185" s="876"/>
      <c r="G1185" s="875">
        <f>+E1185*I1180</f>
        <v>1788.1200000000001</v>
      </c>
      <c r="H1185" s="875"/>
      <c r="I1185" s="48"/>
    </row>
    <row r="1186" spans="1:9" ht="12.75" customHeight="1" x14ac:dyDescent="0.3">
      <c r="A1186" s="880" t="s">
        <v>397</v>
      </c>
      <c r="B1186" s="867"/>
      <c r="C1186" s="867"/>
      <c r="D1186" s="867"/>
      <c r="E1186" s="867"/>
      <c r="F1186" s="867"/>
      <c r="G1186" s="867"/>
      <c r="H1186" s="867"/>
      <c r="I1186" s="48">
        <f>+G1185+G1183+G1184+G1182</f>
        <v>28609.919999999998</v>
      </c>
    </row>
    <row r="1187" spans="1:9" ht="12.75" customHeight="1" x14ac:dyDescent="0.3">
      <c r="A1187" s="880" t="s">
        <v>59</v>
      </c>
      <c r="B1187" s="867"/>
      <c r="C1187" s="867"/>
      <c r="D1187" s="867"/>
      <c r="E1187" s="867"/>
      <c r="F1187" s="867"/>
      <c r="G1187" s="867"/>
      <c r="H1187" s="867"/>
      <c r="I1187" s="48">
        <f>+I1186+I1180</f>
        <v>118015.92</v>
      </c>
    </row>
    <row r="1188" spans="1:9" ht="12.75" customHeight="1" x14ac:dyDescent="0.3">
      <c r="A1188" s="93"/>
      <c r="B1188" s="65"/>
      <c r="C1188" s="65"/>
      <c r="D1188" s="65"/>
      <c r="E1188" s="65"/>
      <c r="F1188" s="65"/>
      <c r="G1188" s="65"/>
      <c r="H1188" s="65"/>
      <c r="I1188" s="48"/>
    </row>
    <row r="1189" spans="1:9" ht="12.75" customHeight="1" x14ac:dyDescent="0.3">
      <c r="A1189" s="881" t="s">
        <v>114</v>
      </c>
      <c r="B1189" s="604"/>
      <c r="C1189" s="604"/>
      <c r="D1189" s="65"/>
      <c r="E1189" s="65"/>
      <c r="F1189" s="604" t="s">
        <v>396</v>
      </c>
      <c r="G1189" s="604"/>
      <c r="H1189" s="604"/>
      <c r="I1189" s="894"/>
    </row>
    <row r="1190" spans="1:9" ht="12.75" customHeight="1" x14ac:dyDescent="0.3">
      <c r="A1190" s="92" t="s">
        <v>111</v>
      </c>
      <c r="B1190" s="868"/>
      <c r="C1190" s="868"/>
      <c r="D1190" s="115"/>
      <c r="E1190" s="115"/>
      <c r="F1190" s="116" t="s">
        <v>111</v>
      </c>
      <c r="G1190" s="868"/>
      <c r="H1190" s="868"/>
      <c r="I1190" s="884"/>
    </row>
    <row r="1191" spans="1:9" ht="12.75" customHeight="1" x14ac:dyDescent="0.3">
      <c r="A1191" s="132" t="s">
        <v>115</v>
      </c>
      <c r="B1191" s="868" t="str">
        <f>VLOOKUP(A1191,[6]INICIO!$E$6:$H$26,2,FALSE)</f>
        <v>LINA MARCELA</v>
      </c>
      <c r="C1191" s="868"/>
      <c r="F1191" s="86" t="s">
        <v>112</v>
      </c>
      <c r="G1191" s="868"/>
      <c r="H1191" s="868"/>
      <c r="I1191" s="884"/>
    </row>
    <row r="1192" spans="1:9" ht="12.75" customHeight="1" x14ac:dyDescent="0.3">
      <c r="A1192" s="132" t="s">
        <v>113</v>
      </c>
      <c r="B1192" s="868" t="str">
        <f>VLOOKUP(A1191,[6]INICIO!$E$6:$H$26,4,FALSE)</f>
        <v>05202-316814 ANT</v>
      </c>
      <c r="C1192" s="868"/>
      <c r="F1192" s="86" t="s">
        <v>113</v>
      </c>
      <c r="G1192" s="868"/>
      <c r="H1192" s="868"/>
      <c r="I1192" s="884"/>
    </row>
    <row r="1193" spans="1:9" ht="12.75" customHeight="1" x14ac:dyDescent="0.3">
      <c r="A1193" s="132"/>
      <c r="B1193" s="116"/>
      <c r="C1193" s="116"/>
      <c r="F1193" s="86"/>
      <c r="G1193" s="116"/>
      <c r="H1193" s="116"/>
      <c r="I1193" s="95"/>
    </row>
    <row r="1194" spans="1:9" ht="12.75" customHeight="1" x14ac:dyDescent="0.3">
      <c r="A1194" s="872" t="s">
        <v>110</v>
      </c>
      <c r="B1194" s="869"/>
      <c r="C1194" s="869"/>
      <c r="D1194" s="869"/>
      <c r="E1194" s="869"/>
      <c r="F1194" s="869"/>
      <c r="G1194" s="869"/>
      <c r="H1194" s="869"/>
      <c r="I1194" s="873"/>
    </row>
    <row r="1195" spans="1:9" ht="12.75" customHeight="1" x14ac:dyDescent="0.3">
      <c r="A1195" s="870"/>
      <c r="B1195" s="691"/>
      <c r="C1195" s="691"/>
      <c r="D1195" s="691"/>
      <c r="E1195" s="691"/>
      <c r="F1195" s="691"/>
      <c r="G1195" s="691"/>
      <c r="H1195" s="691"/>
      <c r="I1195" s="871"/>
    </row>
    <row r="1196" spans="1:9" ht="12.75" customHeight="1" x14ac:dyDescent="0.3">
      <c r="A1196" s="872"/>
      <c r="B1196" s="869"/>
      <c r="C1196" s="869"/>
      <c r="D1196" s="869"/>
      <c r="E1196" s="869"/>
      <c r="F1196" s="869"/>
      <c r="G1196" s="869"/>
      <c r="H1196" s="869"/>
      <c r="I1196" s="873"/>
    </row>
    <row r="1197" spans="1:9" ht="12.75" customHeight="1" x14ac:dyDescent="0.3">
      <c r="A1197" s="83"/>
      <c r="I1197" s="134"/>
    </row>
    <row r="1198" spans="1:9" ht="12.75" customHeight="1" x14ac:dyDescent="0.3">
      <c r="A1198" s="881" t="s">
        <v>68</v>
      </c>
      <c r="B1198" s="604"/>
      <c r="C1198" s="604"/>
      <c r="D1198" s="604"/>
      <c r="E1198" s="604"/>
      <c r="F1198" s="604"/>
      <c r="G1198" s="604"/>
      <c r="H1198" s="604"/>
      <c r="I1198" s="894"/>
    </row>
    <row r="1199" spans="1:9" ht="22.5" customHeight="1" x14ac:dyDescent="0.3">
      <c r="A1199" s="94" t="s">
        <v>69</v>
      </c>
      <c r="B1199" s="112" t="s">
        <v>271</v>
      </c>
      <c r="C1199" s="604" t="s">
        <v>70</v>
      </c>
      <c r="D1199" s="874" t="str">
        <f>VLOOKUP(B1199,PRESUPUESTO!$A$18:$I$68,3,FALSE)</f>
        <v>CONCRETO REFORZADO 21MPA PARA VIGA DE CIERRE ANDENES, ZONAS VERDES</v>
      </c>
      <c r="E1199" s="874"/>
      <c r="F1199" s="874"/>
      <c r="G1199" s="874"/>
      <c r="H1199" s="874"/>
      <c r="I1199" s="877"/>
    </row>
    <row r="1200" spans="1:9" ht="12.75" customHeight="1" x14ac:dyDescent="0.3">
      <c r="A1200" s="94" t="s">
        <v>71</v>
      </c>
      <c r="B1200" s="112" t="str">
        <f>VLOOKUP(B1199,PRESUPUESTO!$A$18:$I$69,2,FALSE)</f>
        <v>630-13A</v>
      </c>
      <c r="C1200" s="604"/>
      <c r="D1200" s="140" t="s">
        <v>12</v>
      </c>
      <c r="E1200" s="113" t="s">
        <v>124</v>
      </c>
      <c r="F1200" s="113" t="s">
        <v>13</v>
      </c>
      <c r="G1200" s="113">
        <f>VLOOKUP(B1200,PRESUPUESTO!$B$15:$I$1201,5,FALSE)</f>
        <v>454</v>
      </c>
      <c r="H1200" s="114" t="s">
        <v>27</v>
      </c>
      <c r="I1200" s="46">
        <f>+I1225</f>
        <v>730651</v>
      </c>
    </row>
    <row r="1201" spans="1:9" ht="12.75" customHeight="1" x14ac:dyDescent="0.3">
      <c r="A1201" s="47" t="s">
        <v>14</v>
      </c>
      <c r="B1201" s="3"/>
      <c r="C1201" s="115"/>
      <c r="D1201" s="115"/>
      <c r="E1201" s="115"/>
      <c r="F1201" s="115"/>
      <c r="G1201" s="115"/>
      <c r="H1201" s="115"/>
      <c r="I1201" s="48"/>
    </row>
    <row r="1202" spans="1:9" ht="12.75" customHeight="1" x14ac:dyDescent="0.3">
      <c r="A1202" s="879" t="s">
        <v>19</v>
      </c>
      <c r="B1202" s="868"/>
      <c r="C1202" s="868"/>
      <c r="D1202" s="868"/>
      <c r="E1202" s="868"/>
      <c r="F1202" s="116" t="s">
        <v>28</v>
      </c>
      <c r="G1202" s="116" t="s">
        <v>29</v>
      </c>
      <c r="H1202" s="116" t="s">
        <v>30</v>
      </c>
      <c r="I1202" s="50"/>
    </row>
    <row r="1203" spans="1:9" ht="10.5" customHeight="1" x14ac:dyDescent="0.3">
      <c r="A1203" s="92" t="s">
        <v>1</v>
      </c>
      <c r="B1203" s="149" t="s">
        <v>98</v>
      </c>
      <c r="C1203" s="921" t="str">
        <f>IF($A1203="EQUI",VLOOKUP($B1203,[6]EQUI!B$16:G$46,2,FALSE),IF($A1203="TRAN",VLOOKUP($B1203,[6]TRAN!$B$16:$G$26,2,FALSE),IF(A1203="MAT",VLOOKUP($B1203,[6]MAT!$B$16:$G$83,2,FALSE),IF(A1203="MDEO",VLOOKUP($B1203,[6]MDEO!$B$16:$I$21,2,FALSE)))))</f>
        <v>VIBRADOR DE AGUJA</v>
      </c>
      <c r="D1203" s="921"/>
      <c r="E1203" s="921"/>
      <c r="F1203" s="162">
        <f>IF($A1203="EQUI",VLOOKUP($B1203,[6]EQUI!B$16:G$46,4,FALSE),IF($A1203="TRAN",VLOOKUP($B1203,[6]TRAN!$B$16:$G$26,4,FALSE),IF($A1203="MAT",VLOOKUP($B1203,[6]MAT!$B$16:$G$83,4,FALSE),IF($A1203="MDEO",VLOOKUP($B1203,[6]MDEO!$B$16:$I$21,4,FALSE)))))</f>
        <v>4375</v>
      </c>
      <c r="G1203" s="155">
        <v>1</v>
      </c>
      <c r="H1203" s="118">
        <f>+F1203*G1203</f>
        <v>4375</v>
      </c>
      <c r="I1203" s="50"/>
    </row>
    <row r="1204" spans="1:9" ht="10.5" customHeight="1" x14ac:dyDescent="0.3">
      <c r="A1204" s="92" t="s">
        <v>1</v>
      </c>
      <c r="B1204" s="149" t="s">
        <v>90</v>
      </c>
      <c r="C1204" s="921" t="str">
        <f>IF($A1204="EQUI",VLOOKUP($B1204,[6]EQUI!B$16:G$46,2,FALSE),IF($A1204="TRAN",VLOOKUP($B1204,[6]TRAN!$B$16:$G$26,2,FALSE),IF(A1204="MAT",VLOOKUP($B1204,[6]MAT!$B$16:$G$83,2,FALSE),IF(A1204="MDEO",VLOOKUP($B1204,[6]MDEO!$B$16:$I$21,2,FALSE)))))</f>
        <v>LISTON Y VARILLA AJUS. FORMALETA METALICA</v>
      </c>
      <c r="D1204" s="921"/>
      <c r="E1204" s="921"/>
      <c r="F1204" s="162">
        <f>IF($A1204="EQUI",VLOOKUP($B1204,[6]EQUI!B$16:G$46,4,FALSE),IF($A1204="TRAN",VLOOKUP($B1204,[6]TRAN!$B$16:$G$26,4,FALSE),IF($A1204="MAT",VLOOKUP($B1204,[6]MAT!$B$16:$G$83,4,FALSE),IF($A1204="MDEO",VLOOKUP($B1204,[6]MDEO!$B$16:$I$21,4,FALSE)))))</f>
        <v>1000</v>
      </c>
      <c r="G1204" s="155">
        <v>0.5</v>
      </c>
      <c r="H1204" s="118">
        <f>+F1204*G1204</f>
        <v>500</v>
      </c>
      <c r="I1204" s="50"/>
    </row>
    <row r="1205" spans="1:9" ht="10.5" customHeight="1" x14ac:dyDescent="0.3">
      <c r="A1205" s="92" t="s">
        <v>1</v>
      </c>
      <c r="B1205" s="149" t="s">
        <v>85</v>
      </c>
      <c r="C1205" s="921" t="str">
        <f>IF($A1205="EQUI",VLOOKUP($B1205,[6]EQUI!B$16:G$46,2,FALSE),IF($A1205="TRAN",VLOOKUP($B1205,[6]TRAN!$B$16:$G$26,2,FALSE),IF(A1205="MAT",VLOOKUP($B1205,[6]MAT!$B$16:$G$83,2,FALSE),IF(A1205="MDEO",VLOOKUP($B1205,[6]MDEO!$B$16:$I$21,2,FALSE)))))</f>
        <v>FORMALETA PARA BORDILLO/CUNETA</v>
      </c>
      <c r="D1205" s="921"/>
      <c r="E1205" s="921"/>
      <c r="F1205" s="162">
        <f>IF($A1205="EQUI",VLOOKUP($B1205,[6]EQUI!B$16:G$46,4,FALSE),IF($A1205="TRAN",VLOOKUP($B1205,[6]TRAN!$B$16:$G$26,4,FALSE),IF($A1205="MAT",VLOOKUP($B1205,[6]MAT!$B$16:$G$83,4,FALSE),IF($A1205="MDEO",VLOOKUP($B1205,[6]MDEO!$B$16:$I$21,4,FALSE)))))</f>
        <v>2150</v>
      </c>
      <c r="G1205" s="155">
        <v>1</v>
      </c>
      <c r="H1205" s="118">
        <f>+F1205*G1205</f>
        <v>2150</v>
      </c>
      <c r="I1205" s="50"/>
    </row>
    <row r="1206" spans="1:9" ht="10.5" customHeight="1" x14ac:dyDescent="0.3">
      <c r="A1206" s="49"/>
      <c r="B1206" s="115"/>
      <c r="C1206" s="115"/>
      <c r="D1206" s="115"/>
      <c r="E1206" s="115"/>
      <c r="F1206" s="120" t="s">
        <v>32</v>
      </c>
      <c r="G1206" s="121" t="str">
        <f>+B1199</f>
        <v>4.6</v>
      </c>
      <c r="H1206" s="121" t="s">
        <v>363</v>
      </c>
      <c r="I1206" s="48">
        <f>SUM(H1203:H1205)</f>
        <v>7025</v>
      </c>
    </row>
    <row r="1207" spans="1:9" ht="10.5" customHeight="1" x14ac:dyDescent="0.3">
      <c r="A1207" s="47" t="s">
        <v>34</v>
      </c>
      <c r="B1207" s="3"/>
      <c r="C1207" s="115"/>
      <c r="D1207" s="115"/>
      <c r="E1207" s="115"/>
      <c r="F1207" s="115"/>
      <c r="G1207" s="115"/>
      <c r="H1207" s="115"/>
      <c r="I1207" s="50"/>
    </row>
    <row r="1208" spans="1:9" ht="10.5" customHeight="1" x14ac:dyDescent="0.3">
      <c r="A1208" s="879" t="s">
        <v>35</v>
      </c>
      <c r="B1208" s="868"/>
      <c r="C1208" s="868"/>
      <c r="D1208" s="868"/>
      <c r="E1208" s="116" t="s">
        <v>12</v>
      </c>
      <c r="F1208" s="116" t="s">
        <v>36</v>
      </c>
      <c r="G1208" s="116" t="s">
        <v>37</v>
      </c>
      <c r="H1208" s="116" t="s">
        <v>38</v>
      </c>
      <c r="I1208" s="50"/>
    </row>
    <row r="1209" spans="1:9" ht="10.5" customHeight="1" x14ac:dyDescent="0.3">
      <c r="A1209" s="92" t="s">
        <v>523</v>
      </c>
      <c r="B1209" s="149" t="s">
        <v>139</v>
      </c>
      <c r="C1209" s="878" t="str">
        <f>IF($A1209="EQUI",VLOOKUP($B1209,EQUI!B$16:G$35,2,FALSE),IF($A1209="TRAN",VLOOKUP($B1209,TRAN!$B$16:$G$26,2,FALSE),IF($A1209="MAT1",VLOOKUP($B1209,'MAT1'!$B$16:$G$54,2,FALSE),IF($A1209="MAT2",VLOOKUP($B1209,'MAT2'!$B$16:$G$65,2,FALSE),IF($A1209="MDEO",VLOOKUP($B1209,MDEO!$B$16:$P$27,2,FALSE))))))</f>
        <v>Concreto 3000psi en obra</v>
      </c>
      <c r="D1209" s="878"/>
      <c r="E1209" s="123" t="str">
        <f>IF($A1209="EQUI",VLOOKUP($B1209,EQUI!B$16:G$35,3,FALSE),IF($A1209="TRAN",VLOOKUP($B1209,TRAN!$B$16:$G$26,3,FALSE),IF($A1209="MAT1",VLOOKUP($B1209,'MAT1'!$B$16:$G$54,3,FALSE),IF($A1209="MAT2",VLOOKUP($B1209,'MAT2'!$B$16:$G$55,3,FALSE),IF($A1209="MDEO",VLOOKUP($B1209,MDEO!$B$16:$P$27,3,FALSE))))))</f>
        <v>M3</v>
      </c>
      <c r="F1209" s="123">
        <f>IF($A1209="EQUI",VLOOKUP($B1209,EQUI!B$16:G$35,4,FALSE),IF($A1209="TRAN",VLOOKUP($B1209,TRAN!$B$16:$G$26,4,FALSE),IF($A1209="MAT1",VLOOKUP($B1209,'MAT1'!$B$16:$G$54,4,FALSE),IF($A1209="MAT2",VLOOKUP($B1209,'MAT2'!$B$16:$G$53,4,FALSE),IF($A1209="MDEO",VLOOKUP($B1209,MDEO!$B$16:$P$27,4,FALSE))))))</f>
        <v>498450</v>
      </c>
      <c r="G1209" s="155">
        <v>1</v>
      </c>
      <c r="H1209" s="118">
        <f>+F1209*G1209</f>
        <v>498450</v>
      </c>
      <c r="I1209" s="50"/>
    </row>
    <row r="1210" spans="1:9" ht="10.5" customHeight="1" x14ac:dyDescent="0.3">
      <c r="A1210" s="92" t="s">
        <v>523</v>
      </c>
      <c r="B1210" s="149" t="s">
        <v>134</v>
      </c>
      <c r="C1210" s="878" t="str">
        <f>IF($A1210="EQUI",VLOOKUP($B1210,EQUI!B$16:G$35,2,FALSE),IF($A1210="TRAN",VLOOKUP($B1210,TRAN!$B$16:$G$26,2,FALSE),IF($A1210="MAT1",VLOOKUP($B1210,'MAT1'!$B$16:$G$54,2,FALSE),IF($A1210="MAT2",VLOOKUP($B1210,'MAT2'!$B$16:$G$65,2,FALSE),IF($A1210="MDEO",VLOOKUP($B1210,MDEO!$B$16:$P$27,2,FALSE))))))</f>
        <v>Acero  60000 psi</v>
      </c>
      <c r="D1210" s="878"/>
      <c r="E1210" s="123" t="str">
        <f>IF($A1210="EQUI",VLOOKUP($B1210,EQUI!B$16:G$35,3,FALSE),IF($A1210="TRAN",VLOOKUP($B1210,TRAN!$B$16:$G$26,3,FALSE),IF($A1210="MAT1",VLOOKUP($B1210,'MAT1'!$B$16:$G$54,3,FALSE),IF($A1210="MAT2",VLOOKUP($B1210,'MAT2'!$B$16:$G$55,3,FALSE),IF($A1210="MDEO",VLOOKUP($B1210,MDEO!$B$16:$P$27,3,FALSE))))))</f>
        <v>KG</v>
      </c>
      <c r="F1210" s="123">
        <f>IF($A1210="EQUI",VLOOKUP($B1210,EQUI!B$16:G$35,4,FALSE),IF($A1210="TRAN",VLOOKUP($B1210,TRAN!$B$16:$G$26,4,FALSE),IF($A1210="MAT1",VLOOKUP($B1210,'MAT1'!$B$16:$G$54,4,FALSE),IF($A1210="MAT2",VLOOKUP($B1210,'MAT2'!$B$16:$G$53,4,FALSE),IF($A1210="MDEO",VLOOKUP($B1210,MDEO!$B$16:$P$27,4,FALSE))))))</f>
        <v>6913</v>
      </c>
      <c r="G1210" s="155">
        <v>25</v>
      </c>
      <c r="H1210" s="118">
        <f>+F1210*G1210</f>
        <v>172825</v>
      </c>
      <c r="I1210" s="50"/>
    </row>
    <row r="1211" spans="1:9" ht="10.5" customHeight="1" x14ac:dyDescent="0.3">
      <c r="A1211" s="92" t="s">
        <v>523</v>
      </c>
      <c r="B1211" s="149" t="s">
        <v>41</v>
      </c>
      <c r="C1211" s="878" t="str">
        <f>IF($A1211="EQUI",VLOOKUP($B1211,EQUI!B$16:G$35,2,FALSE),IF($A1211="TRAN",VLOOKUP($B1211,TRAN!$B$16:$G$26,2,FALSE),IF($A1211="MAT1",VLOOKUP($B1211,'MAT1'!$B$16:$G$54,2,FALSE),IF($A1211="MAT2",VLOOKUP($B1211,'MAT2'!$B$16:$G$65,2,FALSE),IF($A1211="MDEO",VLOOKUP($B1211,MDEO!$B$16:$P$27,2,FALSE))))))</f>
        <v>Alambre quemado</v>
      </c>
      <c r="D1211" s="878"/>
      <c r="E1211" s="123" t="str">
        <f>IF($A1211="EQUI",VLOOKUP($B1211,EQUI!B$16:G$35,3,FALSE),IF($A1211="TRAN",VLOOKUP($B1211,TRAN!$B$16:$G$26,3,FALSE),IF($A1211="MAT1",VLOOKUP($B1211,'MAT1'!$B$16:$G$54,3,FALSE),IF($A1211="MAT2",VLOOKUP($B1211,'MAT2'!$B$16:$G$55,3,FALSE),IF($A1211="MDEO",VLOOKUP($B1211,MDEO!$B$16:$P$27,3,FALSE))))))</f>
        <v>KG</v>
      </c>
      <c r="F1211" s="123">
        <f>IF($A1211="EQUI",VLOOKUP($B1211,EQUI!B$16:G$35,4,FALSE),IF($A1211="TRAN",VLOOKUP($B1211,TRAN!$B$16:$G$26,4,FALSE),IF($A1211="MAT1",VLOOKUP($B1211,'MAT1'!$B$16:$G$54,4,FALSE),IF($A1211="MAT2",VLOOKUP($B1211,'MAT2'!$B$16:$G$53,4,FALSE),IF($A1211="MDEO",VLOOKUP($B1211,MDEO!$B$16:$P$27,4,FALSE))))))</f>
        <v>8321</v>
      </c>
      <c r="G1211" s="155">
        <v>0.8</v>
      </c>
      <c r="H1211" s="118">
        <f>+F1211*G1211</f>
        <v>6656.8</v>
      </c>
      <c r="I1211" s="50"/>
    </row>
    <row r="1212" spans="1:9" ht="10.5" customHeight="1" x14ac:dyDescent="0.3">
      <c r="A1212" s="49"/>
      <c r="B1212" s="115"/>
      <c r="C1212" s="115"/>
      <c r="D1212" s="115"/>
      <c r="E1212" s="115"/>
      <c r="F1212" s="120" t="s">
        <v>32</v>
      </c>
      <c r="G1212" s="121" t="str">
        <f>+B1199</f>
        <v>4.6</v>
      </c>
      <c r="H1212" s="121" t="s">
        <v>364</v>
      </c>
      <c r="I1212" s="48">
        <f>SUM(H1209:H1211)</f>
        <v>677931.8</v>
      </c>
    </row>
    <row r="1213" spans="1:9" ht="10.5" customHeight="1" x14ac:dyDescent="0.3">
      <c r="A1213" s="47" t="s">
        <v>15</v>
      </c>
      <c r="B1213" s="3"/>
      <c r="C1213" s="115"/>
      <c r="D1213" s="115"/>
      <c r="E1213" s="115"/>
      <c r="F1213" s="115"/>
      <c r="G1213" s="115"/>
      <c r="H1213" s="115"/>
      <c r="I1213" s="50"/>
    </row>
    <row r="1214" spans="1:9" ht="10.5" customHeight="1" x14ac:dyDescent="0.3">
      <c r="A1214" s="879" t="s">
        <v>19</v>
      </c>
      <c r="B1214" s="868"/>
      <c r="C1214" s="868"/>
      <c r="D1214" s="116" t="s">
        <v>43</v>
      </c>
      <c r="E1214" s="116" t="s">
        <v>44</v>
      </c>
      <c r="F1214" s="123" t="s">
        <v>45</v>
      </c>
      <c r="G1214" s="116" t="s">
        <v>17</v>
      </c>
      <c r="H1214" s="116" t="s">
        <v>30</v>
      </c>
      <c r="I1214" s="50"/>
    </row>
    <row r="1215" spans="1:9" ht="10.5" customHeight="1" x14ac:dyDescent="0.3">
      <c r="A1215" s="51" t="s">
        <v>3</v>
      </c>
      <c r="B1215" s="149" t="s">
        <v>164</v>
      </c>
      <c r="C1215" s="161" t="str">
        <f>IF($A1215="EQUI",VLOOKUP($B1215,[6]EQUI!B$16:G$46,2,FALSE),IF($A1215="TRAN",VLOOKUP($B1215,[6]TRAN!$B$16:$G$26,2,FALSE),IF(A1215="MAT",VLOOKUP($B1215,[6]MAT!$B$16:$G$83,2,FALSE),IF(A1215="MDEO",VLOOKUP($B1215,[6]MDEO!$B$16:$I$21,2,FALSE)))))</f>
        <v>TRANS INT CONCRETO M3</v>
      </c>
      <c r="D1215" s="162">
        <f>+G1209</f>
        <v>1</v>
      </c>
      <c r="E1215" s="162">
        <v>1</v>
      </c>
      <c r="F1215" s="162">
        <f>+E1215*D1215</f>
        <v>1</v>
      </c>
      <c r="G1215" s="156">
        <f>IF($A1215="EQUI",VLOOKUP($B1215,[6]EQUI!B$16:G$46,4,FALSE),IF($A1215="TRAN",VLOOKUP($B1215,[6]TRAN!$B$16:$G$26,4,FALSE),IF($A1215="MAT",VLOOKUP($B1215,[6]MAT!$B$16:$G$83,4,FALSE),IF($A1215="MDEO",VLOOKUP($B1215,[6]MDEO!$B$16:$I$21,4,FALSE)))))</f>
        <v>4000</v>
      </c>
      <c r="H1215" s="118">
        <f>+F1215*G1215</f>
        <v>4000</v>
      </c>
      <c r="I1215" s="50"/>
    </row>
    <row r="1216" spans="1:9" ht="10.5" customHeight="1" x14ac:dyDescent="0.3">
      <c r="A1216" s="49"/>
      <c r="B1216" s="115"/>
      <c r="C1216" s="115"/>
      <c r="D1216" s="115"/>
      <c r="E1216" s="115"/>
      <c r="F1216" s="120" t="s">
        <v>32</v>
      </c>
      <c r="G1216" s="121" t="str">
        <f>+B1199</f>
        <v>4.6</v>
      </c>
      <c r="H1216" s="121" t="s">
        <v>365</v>
      </c>
      <c r="I1216" s="48">
        <f>SUM(H1215:H1215)</f>
        <v>4000</v>
      </c>
    </row>
    <row r="1217" spans="1:12" ht="10.5" customHeight="1" x14ac:dyDescent="0.3">
      <c r="A1217" s="47"/>
      <c r="B1217" s="3"/>
      <c r="C1217" s="115"/>
      <c r="D1217" s="115"/>
      <c r="E1217" s="115"/>
      <c r="F1217" s="115"/>
      <c r="G1217" s="115"/>
      <c r="H1217" s="115"/>
      <c r="I1217" s="50"/>
    </row>
    <row r="1218" spans="1:12" ht="10.5" customHeight="1" x14ac:dyDescent="0.3">
      <c r="A1218" s="882" t="s">
        <v>18</v>
      </c>
      <c r="B1218" s="883"/>
      <c r="C1218" s="883"/>
      <c r="D1218" s="140" t="s">
        <v>48</v>
      </c>
      <c r="E1218" s="140" t="s">
        <v>109</v>
      </c>
      <c r="F1218" s="141" t="s">
        <v>250</v>
      </c>
      <c r="G1218" s="142" t="s">
        <v>251</v>
      </c>
      <c r="H1218" s="140" t="s">
        <v>252</v>
      </c>
      <c r="I1218" s="52"/>
    </row>
    <row r="1219" spans="1:12" s="109" customFormat="1" ht="9.75" customHeight="1" x14ac:dyDescent="0.2">
      <c r="A1219" s="58" t="s">
        <v>4</v>
      </c>
      <c r="B1219" s="100" t="s">
        <v>175</v>
      </c>
      <c r="C1219" s="126" t="str">
        <f>IF($A1219="EQUI",VLOOKUP($B1219,EQUI!B$16:G$37,2,FALSE),IF($A1219="TRAN",VLOOKUP($B1219,TRAN!$B$16:$G$26,2,FALSE),IF($A1219="MAT",VLOOKUP($B1219,'MAT1'!$B$16:$G$43,2,FALSE),IF($A1219="MDEO",VLOOKUP($B1219,MDEO!$B$16:$P$27,2,FALSE)))))</f>
        <v xml:space="preserve">oficial </v>
      </c>
      <c r="D1219" s="31">
        <f>IF($A1219="EQUI",VLOOKUP($B1219,EQUI!B$16:G$35,3,FALSE),IF($A1219="TRAN",VLOOKUP($B1219,TRAN!$B$16:$G$26,3,FALSE),IF($A1219="MAT",VLOOKUP($B1219,'MAT1'!$B$16:$G$43,3,FALSE),IF($A1219="MDEO",VLOOKUP($B1219,MDEO!$B$16:$P$27,3,FALSE)))))</f>
        <v>4833.333333333333</v>
      </c>
      <c r="E1219" s="127"/>
      <c r="F1219" s="32">
        <f>+D1219+D1219*E1219</f>
        <v>4833.333333333333</v>
      </c>
      <c r="G1219" s="165">
        <v>2</v>
      </c>
      <c r="H1219" s="18">
        <f>G1219*F1219</f>
        <v>9666.6666666666661</v>
      </c>
      <c r="I1219" s="56"/>
      <c r="L1219" s="202"/>
    </row>
    <row r="1220" spans="1:12" s="109" customFormat="1" ht="9.75" customHeight="1" x14ac:dyDescent="0.2">
      <c r="A1220" s="58" t="s">
        <v>4</v>
      </c>
      <c r="B1220" s="100" t="s">
        <v>176</v>
      </c>
      <c r="C1220" s="126" t="str">
        <f>IF($A1220="EQUI",VLOOKUP($B1220,EQUI!B$16:G$37,2,FALSE),IF($A1220="TRAN",VLOOKUP($B1220,TRAN!$B$16:$G$26,2,FALSE),IF($A1220="MAT",VLOOKUP($B1220,'MAT1'!$B$16:$G$43,2,FALSE),IF($A1220="MDEO",VLOOKUP($B1220,MDEO!$B$16:$P$27,2,FALSE)))))</f>
        <v xml:space="preserve">ayudante entendido </v>
      </c>
      <c r="D1220" s="31">
        <f>IF($A1220="EQUI",VLOOKUP($B1220,EQUI!B$16:G$35,3,FALSE),IF($A1220="TRAN",VLOOKUP($B1220,TRAN!$B$16:$G$26,3,FALSE),IF($A1220="MAT",VLOOKUP($B1220,'MAT1'!$B$16:$G$43,3,FALSE),IF($A1220="MDEO",VLOOKUP($B1220,MDEO!$B$16:$P$27,3,FALSE)))))</f>
        <v>4833.333333333333</v>
      </c>
      <c r="E1220" s="127"/>
      <c r="F1220" s="32">
        <f>+D1220+D1220*E1220</f>
        <v>4833.333333333333</v>
      </c>
      <c r="G1220" s="165">
        <v>1</v>
      </c>
      <c r="H1220" s="18">
        <f>G1220*F1220</f>
        <v>4833.333333333333</v>
      </c>
      <c r="I1220" s="56"/>
      <c r="L1220" s="202"/>
    </row>
    <row r="1221" spans="1:12" s="109" customFormat="1" ht="9.75" customHeight="1" x14ac:dyDescent="0.2">
      <c r="A1221" s="58" t="s">
        <v>4</v>
      </c>
      <c r="B1221" s="100" t="s">
        <v>177</v>
      </c>
      <c r="C1221" s="126" t="str">
        <f>IF($A1221="EQUI",VLOOKUP($B1221,EQUI!B$16:G$37,2,FALSE),IF($A1221="TRAN",VLOOKUP($B1221,TRAN!$B$16:$G$26,2,FALSE),IF($A1221="MAT",VLOOKUP($B1221,'MAT1'!$B$16:$G$43,2,FALSE),IF($A1221="MDEO",VLOOKUP($B1221,MDEO!$B$16:$P$27,2,FALSE)))))</f>
        <v xml:space="preserve">ayudante </v>
      </c>
      <c r="D1221" s="31">
        <f>IF($A1221="EQUI",VLOOKUP($B1221,EQUI!B$16:G$35,3,FALSE),IF($A1221="TRAN",VLOOKUP($B1221,TRAN!$B$16:$G$26,3,FALSE),IF($A1221="MAT",VLOOKUP($B1221,'MAT1'!$B$16:$G$43,3,FALSE),IF($A1221="MDEO",VLOOKUP($B1221,MDEO!$B$16:$P$27,3,FALSE)))))</f>
        <v>4833.333333333333</v>
      </c>
      <c r="E1221" s="127"/>
      <c r="F1221" s="32">
        <f>+D1221+D1221*E1221</f>
        <v>4833.333333333333</v>
      </c>
      <c r="G1221" s="165">
        <v>5</v>
      </c>
      <c r="H1221" s="18">
        <f>G1221*F1221</f>
        <v>24166.666666666664</v>
      </c>
      <c r="I1221" s="56"/>
      <c r="L1221" s="202"/>
    </row>
    <row r="1222" spans="1:12" s="109" customFormat="1" ht="9.75" customHeight="1" x14ac:dyDescent="0.2">
      <c r="A1222" s="58" t="s">
        <v>4</v>
      </c>
      <c r="B1222" s="100" t="s">
        <v>178</v>
      </c>
      <c r="C1222" s="126" t="str">
        <f>IF($A1222="EQUI",VLOOKUP($B1222,EQUI!B$16:G$37,2,FALSE),IF($A1222="TRAN",VLOOKUP($B1222,TRAN!$B$16:$G$26,2,FALSE),IF($A1222="MAT",VLOOKUP($B1222,'MAT1'!$B$16:$G$43,2,FALSE),IF($A1222="MDEO",VLOOKUP($B1222,MDEO!$B$16:$P$33,2,FALSE)))))</f>
        <v>contra maestro</v>
      </c>
      <c r="D1222" s="31">
        <f>IF($A1222="EQUI",VLOOKUP($B1222,EQUI!B$16:G$35,3,FALSE),IF($A1222="TRAN",VLOOKUP($B1222,TRAN!$B$16:$G$26,3,FALSE),IF($A1222="MAT",VLOOKUP($B1222,'MAT1'!$B$16:$G$43,3,FALSE),IF($A1222="MDEO",VLOOKUP($B1222,MDEO!$B$16:$P$33,3,FALSE)))))</f>
        <v>5208.333333333333</v>
      </c>
      <c r="E1222" s="127"/>
      <c r="F1222" s="32">
        <f>+D1222+D1222*E1222</f>
        <v>5208.333333333333</v>
      </c>
      <c r="G1222" s="165">
        <f>+G1219*0.1</f>
        <v>0.2</v>
      </c>
      <c r="H1222" s="18">
        <f>G1222*F1222</f>
        <v>1041.6666666666667</v>
      </c>
      <c r="I1222" s="56"/>
      <c r="L1222" s="202"/>
    </row>
    <row r="1223" spans="1:12" ht="12.75" customHeight="1" x14ac:dyDescent="0.3">
      <c r="A1223" s="49"/>
      <c r="B1223" s="115"/>
      <c r="C1223" s="115"/>
      <c r="D1223" s="115"/>
      <c r="E1223" s="115"/>
      <c r="F1223" s="120" t="s">
        <v>32</v>
      </c>
      <c r="G1223" s="121" t="str">
        <f>+B1199</f>
        <v>4.6</v>
      </c>
      <c r="H1223" s="120" t="s">
        <v>366</v>
      </c>
      <c r="I1223" s="48">
        <f>SUM(H1219:H1222)</f>
        <v>39708.333333333328</v>
      </c>
    </row>
    <row r="1224" spans="1:12" ht="12.75" customHeight="1" x14ac:dyDescent="0.3">
      <c r="A1224" s="49" t="s">
        <v>54</v>
      </c>
      <c r="B1224" s="115"/>
      <c r="C1224" s="115"/>
      <c r="D1224" s="115"/>
      <c r="E1224" s="115"/>
      <c r="F1224" s="115"/>
      <c r="G1224" s="115"/>
      <c r="H1224" s="116"/>
      <c r="I1224" s="48">
        <f>I1223*0.05</f>
        <v>1985.4166666666665</v>
      </c>
    </row>
    <row r="1225" spans="1:12" ht="12.75" customHeight="1" x14ac:dyDescent="0.3">
      <c r="A1225" s="49"/>
      <c r="B1225" s="115"/>
      <c r="C1225" s="115"/>
      <c r="D1225" s="115"/>
      <c r="E1225" s="115"/>
      <c r="F1225" s="120" t="s">
        <v>55</v>
      </c>
      <c r="G1225" s="116"/>
      <c r="H1225" s="116"/>
      <c r="I1225" s="48">
        <f>ROUND(I1223+I1224+I1212+I1206+I1216,0)</f>
        <v>730651</v>
      </c>
    </row>
    <row r="1226" spans="1:12" ht="12.75" customHeight="1" x14ac:dyDescent="0.3">
      <c r="A1226" s="879" t="s">
        <v>56</v>
      </c>
      <c r="B1226" s="868"/>
      <c r="C1226" s="868"/>
      <c r="D1226" s="868"/>
      <c r="E1226" s="868" t="s">
        <v>57</v>
      </c>
      <c r="F1226" s="868"/>
      <c r="G1226" s="875" t="s">
        <v>58</v>
      </c>
      <c r="H1226" s="875"/>
      <c r="I1226" s="48"/>
    </row>
    <row r="1227" spans="1:12" ht="12.75" customHeight="1" x14ac:dyDescent="0.3">
      <c r="A1227" s="879" t="s">
        <v>208</v>
      </c>
      <c r="B1227" s="868"/>
      <c r="C1227" s="868"/>
      <c r="D1227" s="868"/>
      <c r="E1227" s="876">
        <v>0.02</v>
      </c>
      <c r="F1227" s="876"/>
      <c r="G1227" s="875">
        <f>+I1225*E1227</f>
        <v>14613.02</v>
      </c>
      <c r="H1227" s="875"/>
      <c r="I1227" s="48"/>
    </row>
    <row r="1228" spans="1:12" ht="12.75" customHeight="1" x14ac:dyDescent="0.3">
      <c r="A1228" s="879" t="s">
        <v>5</v>
      </c>
      <c r="B1228" s="868"/>
      <c r="C1228" s="868"/>
      <c r="D1228" s="868"/>
      <c r="E1228" s="876">
        <v>0.23</v>
      </c>
      <c r="F1228" s="876"/>
      <c r="G1228" s="875">
        <f>+E1228*I1225</f>
        <v>168049.73</v>
      </c>
      <c r="H1228" s="875"/>
      <c r="I1228" s="48"/>
    </row>
    <row r="1229" spans="1:12" ht="12.75" customHeight="1" x14ac:dyDescent="0.3">
      <c r="A1229" s="879" t="s">
        <v>6</v>
      </c>
      <c r="B1229" s="868"/>
      <c r="C1229" s="868"/>
      <c r="D1229" s="868"/>
      <c r="E1229" s="876">
        <v>0.05</v>
      </c>
      <c r="F1229" s="876"/>
      <c r="G1229" s="875">
        <f>+E1229*I1225</f>
        <v>36532.550000000003</v>
      </c>
      <c r="H1229" s="875"/>
      <c r="I1229" s="48"/>
    </row>
    <row r="1230" spans="1:12" ht="12.75" customHeight="1" x14ac:dyDescent="0.3">
      <c r="A1230" s="879" t="s">
        <v>207</v>
      </c>
      <c r="B1230" s="868"/>
      <c r="C1230" s="868"/>
      <c r="D1230" s="868"/>
      <c r="E1230" s="876">
        <v>0.02</v>
      </c>
      <c r="F1230" s="876"/>
      <c r="G1230" s="875">
        <f>+E1230*I1225</f>
        <v>14613.02</v>
      </c>
      <c r="H1230" s="875"/>
      <c r="I1230" s="48"/>
    </row>
    <row r="1231" spans="1:12" ht="12.75" customHeight="1" x14ac:dyDescent="0.3">
      <c r="A1231" s="880" t="s">
        <v>397</v>
      </c>
      <c r="B1231" s="867"/>
      <c r="C1231" s="867"/>
      <c r="D1231" s="867"/>
      <c r="E1231" s="867"/>
      <c r="F1231" s="867"/>
      <c r="G1231" s="867"/>
      <c r="H1231" s="867"/>
      <c r="I1231" s="48">
        <f>+G1230+G1228+G1229+G1227</f>
        <v>233808.31999999998</v>
      </c>
    </row>
    <row r="1232" spans="1:12" ht="12.75" customHeight="1" x14ac:dyDescent="0.3">
      <c r="A1232" s="880" t="s">
        <v>59</v>
      </c>
      <c r="B1232" s="867"/>
      <c r="C1232" s="867"/>
      <c r="D1232" s="867"/>
      <c r="E1232" s="867"/>
      <c r="F1232" s="867"/>
      <c r="G1232" s="867"/>
      <c r="H1232" s="867"/>
      <c r="I1232" s="48">
        <f>+I1231+I1225</f>
        <v>964459.32</v>
      </c>
    </row>
    <row r="1233" spans="1:9" ht="12.75" customHeight="1" x14ac:dyDescent="0.3">
      <c r="A1233" s="93"/>
      <c r="B1233" s="65"/>
      <c r="C1233" s="65"/>
      <c r="D1233" s="65"/>
      <c r="E1233" s="65"/>
      <c r="F1233" s="65"/>
      <c r="G1233" s="65"/>
      <c r="H1233" s="65"/>
      <c r="I1233" s="48"/>
    </row>
    <row r="1234" spans="1:9" ht="12.75" customHeight="1" x14ac:dyDescent="0.3">
      <c r="A1234" s="881" t="s">
        <v>114</v>
      </c>
      <c r="B1234" s="604"/>
      <c r="C1234" s="604"/>
      <c r="D1234" s="65"/>
      <c r="E1234" s="65"/>
      <c r="F1234" s="604" t="s">
        <v>396</v>
      </c>
      <c r="G1234" s="604"/>
      <c r="H1234" s="604"/>
      <c r="I1234" s="894"/>
    </row>
    <row r="1235" spans="1:9" ht="12.75" customHeight="1" x14ac:dyDescent="0.3">
      <c r="A1235" s="92" t="s">
        <v>111</v>
      </c>
      <c r="B1235" s="868"/>
      <c r="C1235" s="868"/>
      <c r="D1235" s="115"/>
      <c r="E1235" s="115"/>
      <c r="F1235" s="116" t="s">
        <v>111</v>
      </c>
      <c r="G1235" s="868"/>
      <c r="H1235" s="868"/>
      <c r="I1235" s="884"/>
    </row>
    <row r="1236" spans="1:9" ht="12.75" customHeight="1" x14ac:dyDescent="0.3">
      <c r="A1236" s="132" t="s">
        <v>115</v>
      </c>
      <c r="B1236" s="868" t="str">
        <f>VLOOKUP(A1236,[6]INICIO!$E$6:$H$26,2,FALSE)</f>
        <v>LINA MARCELA</v>
      </c>
      <c r="C1236" s="868"/>
      <c r="F1236" s="86" t="s">
        <v>112</v>
      </c>
      <c r="G1236" s="868"/>
      <c r="H1236" s="868"/>
      <c r="I1236" s="884"/>
    </row>
    <row r="1237" spans="1:9" ht="12.75" customHeight="1" x14ac:dyDescent="0.3">
      <c r="A1237" s="132" t="s">
        <v>113</v>
      </c>
      <c r="B1237" s="868" t="str">
        <f>VLOOKUP(A1236,[6]INICIO!$E$6:$H$26,4,FALSE)</f>
        <v>05202-316814 ANT</v>
      </c>
      <c r="C1237" s="868"/>
      <c r="F1237" s="86" t="s">
        <v>113</v>
      </c>
      <c r="G1237" s="868"/>
      <c r="H1237" s="868"/>
      <c r="I1237" s="884"/>
    </row>
    <row r="1238" spans="1:9" ht="12.75" customHeight="1" x14ac:dyDescent="0.3">
      <c r="A1238" s="132"/>
      <c r="B1238" s="116"/>
      <c r="C1238" s="116"/>
      <c r="F1238" s="86"/>
      <c r="G1238" s="116"/>
      <c r="H1238" s="116"/>
      <c r="I1238" s="95"/>
    </row>
    <row r="1239" spans="1:9" ht="12.75" customHeight="1" x14ac:dyDescent="0.3">
      <c r="A1239" s="872" t="s">
        <v>110</v>
      </c>
      <c r="B1239" s="869"/>
      <c r="C1239" s="869"/>
      <c r="D1239" s="869"/>
      <c r="E1239" s="869"/>
      <c r="F1239" s="869"/>
      <c r="G1239" s="869"/>
      <c r="H1239" s="869"/>
      <c r="I1239" s="873"/>
    </row>
    <row r="1240" spans="1:9" ht="12.75" customHeight="1" x14ac:dyDescent="0.3">
      <c r="A1240" s="870"/>
      <c r="B1240" s="691"/>
      <c r="C1240" s="691"/>
      <c r="D1240" s="691"/>
      <c r="E1240" s="691"/>
      <c r="F1240" s="691"/>
      <c r="G1240" s="691"/>
      <c r="H1240" s="691"/>
      <c r="I1240" s="871"/>
    </row>
    <row r="1241" spans="1:9" ht="12.75" customHeight="1" x14ac:dyDescent="0.3">
      <c r="A1241" s="872"/>
      <c r="B1241" s="869"/>
      <c r="C1241" s="869"/>
      <c r="D1241" s="869"/>
      <c r="E1241" s="869"/>
      <c r="F1241" s="869"/>
      <c r="G1241" s="869"/>
      <c r="H1241" s="869"/>
      <c r="I1241" s="873"/>
    </row>
    <row r="1242" spans="1:9" ht="12.75" customHeight="1" x14ac:dyDescent="0.3">
      <c r="A1242" s="891" t="s">
        <v>68</v>
      </c>
      <c r="B1242" s="892"/>
      <c r="C1242" s="892"/>
      <c r="D1242" s="892"/>
      <c r="E1242" s="892"/>
      <c r="F1242" s="892"/>
      <c r="G1242" s="892"/>
      <c r="H1242" s="892"/>
      <c r="I1242" s="893"/>
    </row>
    <row r="1243" spans="1:9" ht="12.75" customHeight="1" x14ac:dyDescent="0.3">
      <c r="A1243" s="94" t="s">
        <v>69</v>
      </c>
      <c r="B1243" s="112" t="s">
        <v>272</v>
      </c>
      <c r="C1243" s="604" t="s">
        <v>70</v>
      </c>
      <c r="D1243" s="874" t="str">
        <f>VLOOKUP(B1243,PRESUPUESTO!$A$18:$I$69,3,FALSE)</f>
        <v xml:space="preserve">SEÑAL VERTICAL </v>
      </c>
      <c r="E1243" s="874"/>
      <c r="F1243" s="874"/>
      <c r="G1243" s="874"/>
      <c r="H1243" s="874"/>
      <c r="I1243" s="877"/>
    </row>
    <row r="1244" spans="1:9" ht="12.75" customHeight="1" x14ac:dyDescent="0.3">
      <c r="A1244" s="94" t="s">
        <v>71</v>
      </c>
      <c r="B1244" s="112" t="str">
        <f>VLOOKUP(B1243,PRESUPUESTO!$A$18:$I$69,2,FALSE)</f>
        <v>PAR-22</v>
      </c>
      <c r="C1244" s="604"/>
      <c r="D1244" s="140" t="s">
        <v>12</v>
      </c>
      <c r="E1244" s="113" t="s">
        <v>12</v>
      </c>
      <c r="F1244" s="113" t="s">
        <v>13</v>
      </c>
      <c r="G1244" s="113">
        <f>VLOOKUP(B1244,PRESUPUESTO!$B$15:$I$1201,5,FALSE)</f>
        <v>422</v>
      </c>
      <c r="H1244" s="114" t="s">
        <v>27</v>
      </c>
      <c r="I1244" s="46">
        <f>+I1269</f>
        <v>560828</v>
      </c>
    </row>
    <row r="1245" spans="1:9" ht="12.75" customHeight="1" x14ac:dyDescent="0.3">
      <c r="A1245" s="47" t="s">
        <v>14</v>
      </c>
      <c r="B1245" s="3"/>
      <c r="C1245" s="115"/>
      <c r="D1245" s="115"/>
      <c r="E1245" s="115"/>
      <c r="F1245" s="115"/>
      <c r="G1245" s="115"/>
      <c r="H1245" s="115"/>
      <c r="I1245" s="48"/>
    </row>
    <row r="1246" spans="1:9" ht="12.75" customHeight="1" x14ac:dyDescent="0.3">
      <c r="A1246" s="879" t="s">
        <v>19</v>
      </c>
      <c r="B1246" s="868"/>
      <c r="C1246" s="868"/>
      <c r="D1246" s="868"/>
      <c r="E1246" s="868"/>
      <c r="F1246" s="116" t="s">
        <v>28</v>
      </c>
      <c r="G1246" s="116" t="s">
        <v>29</v>
      </c>
      <c r="H1246" s="116" t="s">
        <v>30</v>
      </c>
      <c r="I1246" s="50"/>
    </row>
    <row r="1247" spans="1:9" ht="12.75" customHeight="1" x14ac:dyDescent="0.3">
      <c r="A1247" s="92" t="s">
        <v>1</v>
      </c>
      <c r="B1247" s="117" t="s">
        <v>90</v>
      </c>
      <c r="C1247" s="878"/>
      <c r="D1247" s="878"/>
      <c r="E1247" s="878"/>
      <c r="F1247" s="123"/>
      <c r="G1247" s="115"/>
      <c r="H1247" s="118"/>
      <c r="I1247" s="50"/>
    </row>
    <row r="1248" spans="1:9" ht="12.75" customHeight="1" x14ac:dyDescent="0.3">
      <c r="A1248" s="49"/>
      <c r="B1248" s="115"/>
      <c r="C1248" s="115"/>
      <c r="D1248" s="115"/>
      <c r="E1248" s="115"/>
      <c r="F1248" s="120" t="s">
        <v>32</v>
      </c>
      <c r="G1248" s="121" t="str">
        <f>+B1243</f>
        <v>4.7</v>
      </c>
      <c r="H1248" s="121" t="s">
        <v>367</v>
      </c>
      <c r="I1248" s="48">
        <f>SUM(H1247:H1247)</f>
        <v>0</v>
      </c>
    </row>
    <row r="1249" spans="1:9" ht="12.75" customHeight="1" x14ac:dyDescent="0.3">
      <c r="A1249" s="47" t="s">
        <v>34</v>
      </c>
      <c r="B1249" s="3"/>
      <c r="C1249" s="115"/>
      <c r="D1249" s="115"/>
      <c r="E1249" s="115"/>
      <c r="F1249" s="115"/>
      <c r="G1249" s="115"/>
      <c r="H1249" s="115"/>
      <c r="I1249" s="50"/>
    </row>
    <row r="1250" spans="1:9" ht="12.75" customHeight="1" x14ac:dyDescent="0.3">
      <c r="A1250" s="879" t="s">
        <v>35</v>
      </c>
      <c r="B1250" s="868"/>
      <c r="C1250" s="868"/>
      <c r="D1250" s="868"/>
      <c r="E1250" s="116" t="s">
        <v>12</v>
      </c>
      <c r="F1250" s="116" t="s">
        <v>36</v>
      </c>
      <c r="G1250" s="116" t="s">
        <v>37</v>
      </c>
      <c r="H1250" s="116" t="s">
        <v>38</v>
      </c>
      <c r="I1250" s="50"/>
    </row>
    <row r="1251" spans="1:9" ht="12.75" customHeight="1" x14ac:dyDescent="0.3">
      <c r="A1251" s="92" t="s">
        <v>523</v>
      </c>
      <c r="B1251" s="149" t="s">
        <v>139</v>
      </c>
      <c r="C1251" s="878" t="str">
        <f>IF($A1251="EQUI",VLOOKUP($B1251,EQUI!B$16:G$35,2,FALSE),IF($A1251="TRAN",VLOOKUP($B1251,TRAN!$B$16:$G$26,2,FALSE),IF($A1251="MAT1",VLOOKUP($B1251,'MAT1'!$B$16:$G$54,2,FALSE),IF($A1251="MAT2",VLOOKUP($B1251,'MAT2'!$B$16:$G$65,2,FALSE),IF($A1251="MDEO",VLOOKUP($B1251,MDEO!$B$16:$P$27,2,FALSE))))))</f>
        <v>Concreto 3000psi en obra</v>
      </c>
      <c r="D1251" s="878"/>
      <c r="E1251" s="123" t="str">
        <f>IF($A1251="EQUI",VLOOKUP($B1251,EQUI!B$16:G$35,3,FALSE),IF($A1251="TRAN",VLOOKUP($B1251,TRAN!$B$16:$G$26,3,FALSE),IF($A1251="MAT1",VLOOKUP($B1251,'MAT1'!$B$16:$G$54,3,FALSE),IF($A1251="MAT2",VLOOKUP($B1251,'MAT2'!$B$16:$G$55,3,FALSE),IF($A1251="MDEO",VLOOKUP($B1251,MDEO!$B$16:$P$27,3,FALSE))))))</f>
        <v>M3</v>
      </c>
      <c r="F1251" s="123">
        <f>IF($A1251="EQUI",VLOOKUP($B1251,EQUI!B$16:G$35,4,FALSE),IF($A1251="TRAN",VLOOKUP($B1251,TRAN!$B$16:$G$26,4,FALSE),IF($A1251="MAT1",VLOOKUP($B1251,'MAT1'!$B$16:$G$54,4,FALSE),IF($A1251="MAT2",VLOOKUP($B1251,'MAT2'!$B$16:$G$53,4,FALSE),IF($A1251="MDEO",VLOOKUP($B1251,MDEO!$B$16:$P$27,4,FALSE))))))</f>
        <v>498450</v>
      </c>
      <c r="G1251" s="115">
        <v>5.3999999999999999E-2</v>
      </c>
      <c r="H1251" s="118">
        <f>+F1251*G1251</f>
        <v>26916.3</v>
      </c>
      <c r="I1251" s="50"/>
    </row>
    <row r="1252" spans="1:9" ht="12.75" customHeight="1" x14ac:dyDescent="0.3">
      <c r="A1252" s="92" t="s">
        <v>522</v>
      </c>
      <c r="B1252" s="117" t="s">
        <v>154</v>
      </c>
      <c r="C1252" s="878" t="str">
        <f>IF($A1252="EQUI",VLOOKUP($B1252,EQUI!B$16:G$35,2,FALSE),IF($A1252="TRAN",VLOOKUP($B1252,TRAN!$B$16:$G$26,2,FALSE),IF($A1252="MAT1",VLOOKUP($B1252,'MAT1'!$B$16:$G$54,2,FALSE),IF($A1252="MAT2",VLOOKUP($B1252,'MAT2'!$B$16:$G$65,2,FALSE),IF($A1252="MDEO",VLOOKUP($B1252,MDEO!$B$16:$P$27,2,FALSE))))))</f>
        <v>señal vertical</v>
      </c>
      <c r="D1252" s="878"/>
      <c r="E1252" s="123" t="str">
        <f>IF($A1252="EQUI",VLOOKUP($B1252,EQUI!B$16:G$35,3,FALSE),IF($A1252="TRAN",VLOOKUP($B1252,TRAN!$B$16:$G$26,3,FALSE),IF($A1252="MAT1",VLOOKUP($B1252,'MAT1'!$B$16:$G$54,3,FALSE),IF($A1252="MAT2",VLOOKUP($B1252,'MAT2'!$B$16:$G$55,3,FALSE),IF($A1252="MDEO",VLOOKUP($B1252,MDEO!$B$16:$P$27,3,FALSE))))))</f>
        <v>un</v>
      </c>
      <c r="F1252" s="123">
        <f>IF($A1252="EQUI",VLOOKUP($B1252,EQUI!B$16:G$35,4,FALSE),IF($A1252="TRAN",VLOOKUP($B1252,TRAN!$B$16:$G$26,4,FALSE),IF($A1252="MAT1",VLOOKUP($B1252,'MAT1'!$B$16:$G$54,4,FALSE),IF($A1252="MAT2",VLOOKUP($B1252,'MAT2'!$B$16:$G$53,4,FALSE),IF($A1252="MDEO",VLOOKUP($B1252,MDEO!$B$16:$P$27,4,FALSE))))))</f>
        <v>410000</v>
      </c>
      <c r="G1252" s="115">
        <v>1</v>
      </c>
      <c r="H1252" s="118">
        <f>+F1252*G1252</f>
        <v>410000</v>
      </c>
      <c r="I1252" s="50"/>
    </row>
    <row r="1253" spans="1:9" ht="12.75" customHeight="1" x14ac:dyDescent="0.3">
      <c r="A1253" s="49"/>
      <c r="B1253" s="115"/>
      <c r="C1253" s="115"/>
      <c r="D1253" s="115"/>
      <c r="E1253" s="115"/>
      <c r="F1253" s="120" t="s">
        <v>32</v>
      </c>
      <c r="G1253" s="121" t="str">
        <f>+B1243</f>
        <v>4.7</v>
      </c>
      <c r="H1253" s="121" t="s">
        <v>370</v>
      </c>
      <c r="I1253" s="48">
        <f>SUM(H1251:H1252)</f>
        <v>436916.3</v>
      </c>
    </row>
    <row r="1254" spans="1:9" ht="12.75" customHeight="1" x14ac:dyDescent="0.3">
      <c r="A1254" s="47" t="s">
        <v>15</v>
      </c>
      <c r="B1254" s="3"/>
      <c r="C1254" s="115"/>
      <c r="D1254" s="115"/>
      <c r="E1254" s="115"/>
      <c r="F1254" s="115"/>
      <c r="G1254" s="115"/>
      <c r="H1254" s="115"/>
      <c r="I1254" s="50"/>
    </row>
    <row r="1255" spans="1:9" ht="12.75" customHeight="1" x14ac:dyDescent="0.3">
      <c r="A1255" s="879" t="s">
        <v>19</v>
      </c>
      <c r="B1255" s="868"/>
      <c r="C1255" s="868"/>
      <c r="D1255" s="116" t="s">
        <v>43</v>
      </c>
      <c r="E1255" s="116" t="s">
        <v>44</v>
      </c>
      <c r="F1255" s="123" t="s">
        <v>45</v>
      </c>
      <c r="G1255" s="116" t="s">
        <v>17</v>
      </c>
      <c r="H1255" s="116" t="s">
        <v>30</v>
      </c>
      <c r="I1255" s="50"/>
    </row>
    <row r="1256" spans="1:9" ht="12.75" customHeight="1" x14ac:dyDescent="0.3">
      <c r="A1256" s="51" t="s">
        <v>3</v>
      </c>
      <c r="B1256" s="117" t="s">
        <v>164</v>
      </c>
      <c r="C1256" s="133" t="str">
        <f>IF($A1256="EQUI",VLOOKUP($B1256,[6]EQUI!B$16:G$46,2,FALSE),IF($A1256="TRAN",VLOOKUP($B1256,[6]TRAN!$B$16:$G$26,2,FALSE),IF(A1256="MAT",VLOOKUP($B1256,[6]MAT!$B$16:$G$83,2,FALSE),IF(A1256="MDEO",VLOOKUP($B1256,[6]MDEO!$B$16:$I$21,2,FALSE)))))</f>
        <v>TRANS INT CONCRETO M3</v>
      </c>
      <c r="D1256" s="123">
        <f>+G1251</f>
        <v>5.3999999999999999E-2</v>
      </c>
      <c r="E1256" s="123">
        <v>1</v>
      </c>
      <c r="F1256" s="123">
        <f>+E1256*D1256</f>
        <v>5.3999999999999999E-2</v>
      </c>
      <c r="G1256" s="116">
        <f>IF($A1256="EQUI",VLOOKUP($B1256,[6]EQUI!B$16:G$46,4,FALSE),IF($A1256="TRAN",VLOOKUP($B1256,[6]TRAN!$B$16:$G$26,4,FALSE),IF($A1256="MAT",VLOOKUP($B1256,[6]MAT!$B$16:$G$83,4,FALSE),IF($A1256="MDEO",VLOOKUP($B1256,[6]MDEO!$B$16:$I$21,4,FALSE)))))</f>
        <v>4000</v>
      </c>
      <c r="H1256" s="118">
        <f>+F1256*G1256</f>
        <v>216</v>
      </c>
      <c r="I1256" s="50"/>
    </row>
    <row r="1257" spans="1:9" ht="12.75" customHeight="1" x14ac:dyDescent="0.3">
      <c r="A1257" s="51"/>
      <c r="B1257" s="117"/>
      <c r="C1257" s="133"/>
      <c r="D1257" s="123"/>
      <c r="E1257" s="123"/>
      <c r="F1257" s="123"/>
      <c r="G1257" s="116"/>
      <c r="H1257" s="118"/>
      <c r="I1257" s="50"/>
    </row>
    <row r="1258" spans="1:9" ht="12.75" customHeight="1" x14ac:dyDescent="0.3">
      <c r="A1258" s="49"/>
      <c r="B1258" s="115"/>
      <c r="C1258" s="115"/>
      <c r="D1258" s="115"/>
      <c r="E1258" s="115"/>
      <c r="F1258" s="120" t="s">
        <v>32</v>
      </c>
      <c r="G1258" s="121" t="str">
        <f>+B1243</f>
        <v>4.7</v>
      </c>
      <c r="H1258" s="121" t="s">
        <v>373</v>
      </c>
      <c r="I1258" s="48">
        <f>SUM(H1256:H1257)</f>
        <v>216</v>
      </c>
    </row>
    <row r="1259" spans="1:9" ht="12.75" customHeight="1" x14ac:dyDescent="0.3">
      <c r="A1259" s="47"/>
      <c r="B1259" s="3"/>
      <c r="C1259" s="115"/>
      <c r="D1259" s="115"/>
      <c r="E1259" s="115"/>
      <c r="F1259" s="115"/>
      <c r="G1259" s="115"/>
      <c r="H1259" s="115"/>
      <c r="I1259" s="50"/>
    </row>
    <row r="1260" spans="1:9" ht="12.75" customHeight="1" x14ac:dyDescent="0.3">
      <c r="A1260" s="882" t="s">
        <v>18</v>
      </c>
      <c r="B1260" s="883"/>
      <c r="C1260" s="883"/>
      <c r="D1260" s="140" t="s">
        <v>48</v>
      </c>
      <c r="E1260" s="140" t="s">
        <v>109</v>
      </c>
      <c r="F1260" s="141" t="s">
        <v>250</v>
      </c>
      <c r="G1260" s="142" t="s">
        <v>251</v>
      </c>
      <c r="H1260" s="140" t="s">
        <v>252</v>
      </c>
      <c r="I1260" s="52"/>
    </row>
    <row r="1261" spans="1:9" ht="12.75" customHeight="1" x14ac:dyDescent="0.3">
      <c r="A1261" s="51" t="s">
        <v>4</v>
      </c>
      <c r="B1261" s="131" t="s">
        <v>175</v>
      </c>
      <c r="C1261" s="126" t="str">
        <f>IF($A1261="EQUI",VLOOKUP($B1261,[6]EQUI!B$16:G$46,2,FALSE),IF($A1261="TRAN",VLOOKUP($B1261,[6]TRAN!$B$16:$G$26,2,FALSE),IF($A1261="MAT",VLOOKUP($B1261,[6]MAT!$B$16:$G$83,2,FALSE),IF($A1261="MDEO",VLOOKUP($B1261,[6]MDEO!$B$16:$I$21,2,FALSE)))))</f>
        <v>OFICIAL</v>
      </c>
      <c r="D1261" s="31">
        <f>IF($A1261="EQUI",VLOOKUP($B1261,[6]EQUI!B$16:G$46,3,FALSE),IF($A1261="TRAN",VLOOKUP($B1261,[6]TRAN!$B$16:$G$26,3,FALSE),IF($A1261="MAT",VLOOKUP($B1261,[6]MAT!$B$16:$G$83,3,FALSE),IF($A1261="MDEO",VLOOKUP($B1261,[6]MDEO!$B$16:$I$21,3,FALSE)))))</f>
        <v>9301.6465000000026</v>
      </c>
      <c r="E1261" s="127">
        <f>IF($A1261="EQUI",VLOOKUP($B1261,[6]EQUI!B$16:G$46,4,FALSE),IF($A1261="TRAN",VLOOKUP($B1261,[6]TRAN!$B$16:$G$26,4,FALSE),IF($A1261="MAT",VLOOKUP($B1261,[6]MAT!$B$16:$G$83,4,FALSE),IF($A1261="MDEO",VLOOKUP($B1261,[6]MDEO!$B$16:$I$21,5,FALSE)))))</f>
        <v>0.56000000000000005</v>
      </c>
      <c r="F1261" s="32">
        <f>+D1261+D1261*E1261</f>
        <v>14510.568540000004</v>
      </c>
      <c r="G1261" s="130">
        <v>2</v>
      </c>
      <c r="H1261" s="128">
        <f>G1261*F1261</f>
        <v>29021.137080000008</v>
      </c>
      <c r="I1261" s="50"/>
    </row>
    <row r="1262" spans="1:9" ht="12.75" customHeight="1" x14ac:dyDescent="0.3">
      <c r="A1262" s="51" t="s">
        <v>4</v>
      </c>
      <c r="B1262" s="131" t="s">
        <v>176</v>
      </c>
      <c r="C1262" s="126" t="str">
        <f>IF($A1262="EQUI",VLOOKUP($B1262,[6]EQUI!B$16:G$46,2,FALSE),IF($A1262="TRAN",VLOOKUP($B1262,[6]TRAN!$B$16:$G$26,2,FALSE),IF($A1262="MAT",VLOOKUP($B1262,[6]MAT!$B$16:$G$83,2,FALSE),IF($A1262="MDEO",VLOOKUP($B1262,[6]MDEO!$B$16:$I$21,2,FALSE)))))</f>
        <v>AYUDANTE ENTENDIDO</v>
      </c>
      <c r="D1262" s="31">
        <f>IF($A1262="EQUI",VLOOKUP($B1262,[6]EQUI!B$16:G$46,3,FALSE),IF($A1262="TRAN",VLOOKUP($B1262,[6]TRAN!$B$16:$G$26,3,FALSE),IF($A1262="MAT",VLOOKUP($B1262,[6]MAT!$B$16:$G$83,3,FALSE),IF($A1262="MDEO",VLOOKUP($B1262,[6]MDEO!$B$16:$I$21,3,FALSE)))))</f>
        <v>8051.6465000000007</v>
      </c>
      <c r="E1262" s="127">
        <f>IF($A1262="EQUI",VLOOKUP($B1262,[6]EQUI!B$16:G$46,4,FALSE),IF($A1262="TRAN",VLOOKUP($B1262,[6]TRAN!$B$16:$G$26,4,FALSE),IF($A1262="MAT",VLOOKUP($B1262,[6]MAT!$B$16:$G$83,4,FALSE),IF($A1262="MDEO",VLOOKUP($B1262,[6]MDEO!$B$16:$I$21,5,FALSE)))))</f>
        <v>0.56000000000000005</v>
      </c>
      <c r="F1262" s="32">
        <f>+D1262+D1262*E1262</f>
        <v>12560.568540000002</v>
      </c>
      <c r="G1262" s="130">
        <v>2</v>
      </c>
      <c r="H1262" s="128">
        <f>G1262*F1262</f>
        <v>25121.137080000004</v>
      </c>
      <c r="I1262" s="50"/>
    </row>
    <row r="1263" spans="1:9" ht="12.75" customHeight="1" x14ac:dyDescent="0.3">
      <c r="A1263" s="51" t="s">
        <v>4</v>
      </c>
      <c r="B1263" s="131" t="s">
        <v>177</v>
      </c>
      <c r="C1263" s="126" t="str">
        <f>IF($A1263="EQUI",VLOOKUP($B1263,[6]EQUI!B$16:G$46,2,FALSE),IF($A1263="TRAN",VLOOKUP($B1263,[6]TRAN!$B$16:$G$26,2,FALSE),IF($A1263="MAT",VLOOKUP($B1263,[6]MAT!$B$16:$G$83,2,FALSE),IF($A1263="MDEO",VLOOKUP($B1263,[6]MDEO!$B$16:$I$21,2,FALSE)))))</f>
        <v>AYUDANTE</v>
      </c>
      <c r="D1263" s="31">
        <f>IF($A1263="EQUI",VLOOKUP($B1263,[6]EQUI!B$16:G$46,3,FALSE),IF($A1263="TRAN",VLOOKUP($B1263,[6]TRAN!$B$16:$G$26,3,FALSE),IF($A1263="MAT",VLOOKUP($B1263,[6]MAT!$B$16:$G$83,3,FALSE),IF($A1263="MDEO",VLOOKUP($B1263,[6]MDEO!$B$16:$I$21,3,FALSE)))))</f>
        <v>6801.6465000000007</v>
      </c>
      <c r="E1263" s="127">
        <f>IF($A1263="EQUI",VLOOKUP($B1263,[6]EQUI!B$16:G$46,4,FALSE),IF($A1263="TRAN",VLOOKUP($B1263,[6]TRAN!$B$16:$G$26,4,FALSE),IF($A1263="MAT",VLOOKUP($B1263,[6]MAT!$B$16:$G$83,4,FALSE),IF($A1263="MDEO",VLOOKUP($B1263,[6]MDEO!$B$16:$I$21,5,FALSE)))))</f>
        <v>0.56000000000000005</v>
      </c>
      <c r="F1263" s="32">
        <f>+D1263+D1263*E1263</f>
        <v>10610.568540000002</v>
      </c>
      <c r="G1263" s="130">
        <v>6</v>
      </c>
      <c r="H1263" s="128">
        <f>G1263*F1263</f>
        <v>63663.411240000016</v>
      </c>
      <c r="I1263" s="50"/>
    </row>
    <row r="1264" spans="1:9" ht="12.75" customHeight="1" x14ac:dyDescent="0.3">
      <c r="A1264" s="51"/>
      <c r="B1264" s="131"/>
      <c r="C1264" s="126"/>
      <c r="D1264" s="31"/>
      <c r="E1264" s="127"/>
      <c r="F1264" s="32"/>
      <c r="G1264" s="130"/>
      <c r="H1264" s="128"/>
      <c r="I1264" s="50"/>
    </row>
    <row r="1265" spans="1:9" ht="12.75" customHeight="1" x14ac:dyDescent="0.3">
      <c r="A1265" s="51"/>
      <c r="B1265" s="131"/>
      <c r="C1265" s="126"/>
      <c r="D1265" s="31"/>
      <c r="E1265" s="127"/>
      <c r="F1265" s="32"/>
      <c r="G1265" s="130"/>
      <c r="H1265" s="128"/>
      <c r="I1265" s="50"/>
    </row>
    <row r="1266" spans="1:9" ht="12.75" customHeight="1" x14ac:dyDescent="0.3">
      <c r="A1266" s="879"/>
      <c r="B1266" s="868"/>
      <c r="C1266" s="115"/>
      <c r="D1266" s="115"/>
      <c r="E1266" s="115"/>
      <c r="F1266" s="115"/>
      <c r="G1266" s="115"/>
      <c r="H1266" s="115"/>
      <c r="I1266" s="50"/>
    </row>
    <row r="1267" spans="1:9" ht="12.75" customHeight="1" x14ac:dyDescent="0.3">
      <c r="A1267" s="49"/>
      <c r="B1267" s="115"/>
      <c r="C1267" s="115"/>
      <c r="D1267" s="115"/>
      <c r="E1267" s="115"/>
      <c r="F1267" s="120" t="s">
        <v>32</v>
      </c>
      <c r="G1267" s="121" t="str">
        <f>+B1243</f>
        <v>4.7</v>
      </c>
      <c r="H1267" s="120" t="s">
        <v>376</v>
      </c>
      <c r="I1267" s="48">
        <f>SUM(H1261:H1266)</f>
        <v>117805.68540000003</v>
      </c>
    </row>
    <row r="1268" spans="1:9" ht="12.75" customHeight="1" x14ac:dyDescent="0.3">
      <c r="A1268" s="49" t="s">
        <v>54</v>
      </c>
      <c r="B1268" s="115"/>
      <c r="C1268" s="115"/>
      <c r="D1268" s="115"/>
      <c r="E1268" s="115"/>
      <c r="F1268" s="115"/>
      <c r="G1268" s="115"/>
      <c r="H1268" s="116"/>
      <c r="I1268" s="48">
        <f>I1267*0.05</f>
        <v>5890.2842700000019</v>
      </c>
    </row>
    <row r="1269" spans="1:9" ht="12.75" customHeight="1" x14ac:dyDescent="0.3">
      <c r="A1269" s="49"/>
      <c r="B1269" s="115"/>
      <c r="C1269" s="115"/>
      <c r="D1269" s="115"/>
      <c r="E1269" s="115"/>
      <c r="F1269" s="120" t="s">
        <v>55</v>
      </c>
      <c r="G1269" s="116"/>
      <c r="H1269" s="116"/>
      <c r="I1269" s="48">
        <f>ROUND(I1267+I1268+I1253+I1248+I1258,0)</f>
        <v>560828</v>
      </c>
    </row>
    <row r="1270" spans="1:9" ht="12.75" customHeight="1" x14ac:dyDescent="0.3">
      <c r="A1270" s="879" t="s">
        <v>56</v>
      </c>
      <c r="B1270" s="868"/>
      <c r="C1270" s="868"/>
      <c r="D1270" s="868"/>
      <c r="E1270" s="868" t="s">
        <v>57</v>
      </c>
      <c r="F1270" s="868"/>
      <c r="G1270" s="875" t="s">
        <v>58</v>
      </c>
      <c r="H1270" s="875"/>
      <c r="I1270" s="48"/>
    </row>
    <row r="1271" spans="1:9" ht="12.75" customHeight="1" x14ac:dyDescent="0.3">
      <c r="A1271" s="879" t="s">
        <v>208</v>
      </c>
      <c r="B1271" s="868"/>
      <c r="C1271" s="868"/>
      <c r="D1271" s="868"/>
      <c r="E1271" s="876">
        <v>0.02</v>
      </c>
      <c r="F1271" s="876"/>
      <c r="G1271" s="875">
        <f>+I1269*E1271</f>
        <v>11216.56</v>
      </c>
      <c r="H1271" s="875"/>
      <c r="I1271" s="48"/>
    </row>
    <row r="1272" spans="1:9" ht="12.75" customHeight="1" x14ac:dyDescent="0.3">
      <c r="A1272" s="879" t="s">
        <v>5</v>
      </c>
      <c r="B1272" s="868"/>
      <c r="C1272" s="868"/>
      <c r="D1272" s="868"/>
      <c r="E1272" s="876">
        <v>0.23</v>
      </c>
      <c r="F1272" s="876"/>
      <c r="G1272" s="875">
        <f>+E1272*I1269</f>
        <v>128990.44</v>
      </c>
      <c r="H1272" s="875"/>
      <c r="I1272" s="48"/>
    </row>
    <row r="1273" spans="1:9" ht="12.75" customHeight="1" x14ac:dyDescent="0.3">
      <c r="A1273" s="879" t="s">
        <v>6</v>
      </c>
      <c r="B1273" s="868"/>
      <c r="C1273" s="868"/>
      <c r="D1273" s="868"/>
      <c r="E1273" s="876">
        <v>0.05</v>
      </c>
      <c r="F1273" s="876"/>
      <c r="G1273" s="875">
        <f>+E1273*I1269</f>
        <v>28041.4</v>
      </c>
      <c r="H1273" s="875"/>
      <c r="I1273" s="48"/>
    </row>
    <row r="1274" spans="1:9" ht="12.75" customHeight="1" x14ac:dyDescent="0.3">
      <c r="A1274" s="879" t="s">
        <v>207</v>
      </c>
      <c r="B1274" s="868"/>
      <c r="C1274" s="868"/>
      <c r="D1274" s="868"/>
      <c r="E1274" s="876">
        <v>0.02</v>
      </c>
      <c r="F1274" s="876"/>
      <c r="G1274" s="875">
        <f>+E1274*I1269</f>
        <v>11216.56</v>
      </c>
      <c r="H1274" s="875"/>
      <c r="I1274" s="48"/>
    </row>
    <row r="1275" spans="1:9" ht="12.75" customHeight="1" x14ac:dyDescent="0.3">
      <c r="A1275" s="880" t="s">
        <v>397</v>
      </c>
      <c r="B1275" s="867"/>
      <c r="C1275" s="867"/>
      <c r="D1275" s="867"/>
      <c r="E1275" s="867"/>
      <c r="F1275" s="867"/>
      <c r="G1275" s="867"/>
      <c r="H1275" s="867"/>
      <c r="I1275" s="48">
        <f>+G1274+G1272+G1273+G1271</f>
        <v>179464.95999999999</v>
      </c>
    </row>
    <row r="1276" spans="1:9" ht="12.75" customHeight="1" x14ac:dyDescent="0.3">
      <c r="A1276" s="880" t="s">
        <v>59</v>
      </c>
      <c r="B1276" s="867"/>
      <c r="C1276" s="867"/>
      <c r="D1276" s="867"/>
      <c r="E1276" s="867"/>
      <c r="F1276" s="867"/>
      <c r="G1276" s="867"/>
      <c r="H1276" s="867"/>
      <c r="I1276" s="48">
        <f>+I1275+I1269</f>
        <v>740292.96</v>
      </c>
    </row>
    <row r="1277" spans="1:9" ht="12.75" customHeight="1" x14ac:dyDescent="0.3">
      <c r="A1277" s="93"/>
      <c r="B1277" s="65"/>
      <c r="C1277" s="65"/>
      <c r="D1277" s="65"/>
      <c r="E1277" s="65"/>
      <c r="F1277" s="65"/>
      <c r="G1277" s="65"/>
      <c r="H1277" s="65"/>
      <c r="I1277" s="48"/>
    </row>
    <row r="1278" spans="1:9" ht="12.75" customHeight="1" x14ac:dyDescent="0.3">
      <c r="A1278" s="881" t="s">
        <v>114</v>
      </c>
      <c r="B1278" s="604"/>
      <c r="C1278" s="604"/>
      <c r="D1278" s="65"/>
      <c r="E1278" s="65"/>
      <c r="F1278" s="604" t="s">
        <v>396</v>
      </c>
      <c r="G1278" s="604"/>
      <c r="H1278" s="604"/>
      <c r="I1278" s="894"/>
    </row>
    <row r="1279" spans="1:9" ht="12.75" customHeight="1" x14ac:dyDescent="0.3">
      <c r="A1279" s="92" t="s">
        <v>111</v>
      </c>
      <c r="B1279" s="868"/>
      <c r="C1279" s="868"/>
      <c r="D1279" s="115"/>
      <c r="E1279" s="115"/>
      <c r="F1279" s="116" t="s">
        <v>111</v>
      </c>
      <c r="G1279" s="868"/>
      <c r="H1279" s="868"/>
      <c r="I1279" s="884"/>
    </row>
    <row r="1280" spans="1:9" ht="12.75" customHeight="1" x14ac:dyDescent="0.3">
      <c r="A1280" s="132" t="s">
        <v>115</v>
      </c>
      <c r="B1280" s="868" t="str">
        <f>VLOOKUP(A1280,[6]INICIO!$E$6:$H$26,2,FALSE)</f>
        <v>LINA MARCELA</v>
      </c>
      <c r="C1280" s="868"/>
      <c r="F1280" s="86" t="s">
        <v>112</v>
      </c>
      <c r="G1280" s="868"/>
      <c r="H1280" s="868"/>
      <c r="I1280" s="884"/>
    </row>
    <row r="1281" spans="1:9" ht="12.75" customHeight="1" x14ac:dyDescent="0.3">
      <c r="A1281" s="132" t="s">
        <v>113</v>
      </c>
      <c r="B1281" s="868" t="str">
        <f>VLOOKUP(A1280,[6]INICIO!$E$6:$H$26,4,FALSE)</f>
        <v>05202-316814 ANT</v>
      </c>
      <c r="C1281" s="868"/>
      <c r="F1281" s="86" t="s">
        <v>113</v>
      </c>
      <c r="G1281" s="868"/>
      <c r="H1281" s="868"/>
      <c r="I1281" s="884"/>
    </row>
    <row r="1282" spans="1:9" ht="12.75" customHeight="1" x14ac:dyDescent="0.3">
      <c r="A1282" s="132"/>
      <c r="B1282" s="116"/>
      <c r="C1282" s="116"/>
      <c r="F1282" s="86"/>
      <c r="G1282" s="116"/>
      <c r="H1282" s="116"/>
      <c r="I1282" s="95"/>
    </row>
    <row r="1283" spans="1:9" ht="12.75" customHeight="1" x14ac:dyDescent="0.3">
      <c r="A1283" s="872" t="s">
        <v>110</v>
      </c>
      <c r="B1283" s="869"/>
      <c r="C1283" s="869"/>
      <c r="D1283" s="869"/>
      <c r="E1283" s="869"/>
      <c r="F1283" s="869"/>
      <c r="G1283" s="869"/>
      <c r="H1283" s="869"/>
      <c r="I1283" s="873"/>
    </row>
    <row r="1284" spans="1:9" ht="12.75" customHeight="1" x14ac:dyDescent="0.3">
      <c r="A1284" s="870"/>
      <c r="B1284" s="691"/>
      <c r="C1284" s="691"/>
      <c r="D1284" s="691"/>
      <c r="E1284" s="691"/>
      <c r="F1284" s="691"/>
      <c r="G1284" s="691"/>
      <c r="H1284" s="691"/>
      <c r="I1284" s="871"/>
    </row>
    <row r="1285" spans="1:9" ht="12.75" customHeight="1" x14ac:dyDescent="0.3">
      <c r="A1285" s="872"/>
      <c r="B1285" s="869"/>
      <c r="C1285" s="869"/>
      <c r="D1285" s="869"/>
      <c r="E1285" s="869"/>
      <c r="F1285" s="869"/>
      <c r="G1285" s="869"/>
      <c r="H1285" s="869"/>
      <c r="I1285" s="873"/>
    </row>
    <row r="1286" spans="1:9" ht="12.75" hidden="1" customHeight="1" x14ac:dyDescent="0.3">
      <c r="A1286" s="891" t="s">
        <v>68</v>
      </c>
      <c r="B1286" s="892"/>
      <c r="C1286" s="892"/>
      <c r="D1286" s="892"/>
      <c r="E1286" s="892"/>
      <c r="F1286" s="892"/>
      <c r="G1286" s="892"/>
      <c r="H1286" s="892"/>
      <c r="I1286" s="893"/>
    </row>
    <row r="1287" spans="1:9" ht="12.75" hidden="1" customHeight="1" x14ac:dyDescent="0.3">
      <c r="A1287" s="94" t="s">
        <v>69</v>
      </c>
      <c r="B1287" s="112" t="s">
        <v>279</v>
      </c>
      <c r="C1287" s="604" t="s">
        <v>70</v>
      </c>
      <c r="D1287" s="874" t="str">
        <f>VLOOKUP(B1287,[6]PRESUPUESTO!$A$18:$I$90,3,FALSE)</f>
        <v>ESPECIES Y JARDINERIA TIPO I</v>
      </c>
      <c r="E1287" s="874"/>
      <c r="F1287" s="874"/>
      <c r="G1287" s="874"/>
      <c r="H1287" s="874"/>
      <c r="I1287" s="877"/>
    </row>
    <row r="1288" spans="1:9" ht="12.75" hidden="1" customHeight="1" x14ac:dyDescent="0.3">
      <c r="A1288" s="94" t="s">
        <v>71</v>
      </c>
      <c r="B1288" s="112" t="str">
        <f>VLOOKUP(B1287,[6]PRESUPUESTO!$A$18:$I$90,2,FALSE)</f>
        <v>820-13B</v>
      </c>
      <c r="C1288" s="604"/>
      <c r="D1288" s="140" t="s">
        <v>12</v>
      </c>
      <c r="E1288" s="113" t="s">
        <v>12</v>
      </c>
      <c r="F1288" s="113" t="s">
        <v>13</v>
      </c>
      <c r="G1288" s="113" t="e">
        <f>VLOOKUP(B1288,[6]PRESUPUESTO!$B$15:$I$1222,5,FALSE)</f>
        <v>#N/A</v>
      </c>
      <c r="H1288" s="114" t="s">
        <v>27</v>
      </c>
      <c r="I1288" s="46">
        <f>+I1320</f>
        <v>138107</v>
      </c>
    </row>
    <row r="1289" spans="1:9" ht="12.75" hidden="1" customHeight="1" x14ac:dyDescent="0.3">
      <c r="A1289" s="47" t="s">
        <v>14</v>
      </c>
      <c r="B1289" s="3"/>
      <c r="C1289" s="115"/>
      <c r="D1289" s="115"/>
      <c r="E1289" s="115"/>
      <c r="F1289" s="115"/>
      <c r="G1289" s="115"/>
      <c r="H1289" s="115"/>
      <c r="I1289" s="48"/>
    </row>
    <row r="1290" spans="1:9" ht="12.75" hidden="1" customHeight="1" x14ac:dyDescent="0.3">
      <c r="A1290" s="879" t="s">
        <v>19</v>
      </c>
      <c r="B1290" s="868"/>
      <c r="C1290" s="868"/>
      <c r="D1290" s="868"/>
      <c r="E1290" s="868"/>
      <c r="F1290" s="116" t="s">
        <v>28</v>
      </c>
      <c r="G1290" s="116" t="s">
        <v>29</v>
      </c>
      <c r="H1290" s="116" t="s">
        <v>30</v>
      </c>
      <c r="I1290" s="50"/>
    </row>
    <row r="1291" spans="1:9" ht="12.75" hidden="1" customHeight="1" x14ac:dyDescent="0.3">
      <c r="A1291" s="92" t="s">
        <v>1</v>
      </c>
      <c r="B1291" s="117" t="s">
        <v>90</v>
      </c>
      <c r="C1291" s="878"/>
      <c r="D1291" s="878"/>
      <c r="E1291" s="878"/>
      <c r="F1291" s="123"/>
      <c r="G1291" s="115"/>
      <c r="H1291" s="118"/>
      <c r="I1291" s="50"/>
    </row>
    <row r="1292" spans="1:9" ht="12.75" hidden="1" customHeight="1" x14ac:dyDescent="0.3">
      <c r="A1292" s="92" t="s">
        <v>1</v>
      </c>
      <c r="B1292" s="117" t="s">
        <v>86</v>
      </c>
      <c r="C1292" s="878"/>
      <c r="D1292" s="878"/>
      <c r="E1292" s="878"/>
      <c r="F1292" s="123"/>
      <c r="G1292" s="115"/>
      <c r="H1292" s="118"/>
      <c r="I1292" s="50"/>
    </row>
    <row r="1293" spans="1:9" ht="12.75" hidden="1" customHeight="1" x14ac:dyDescent="0.3">
      <c r="A1293" s="92" t="s">
        <v>1</v>
      </c>
      <c r="B1293" s="117" t="s">
        <v>98</v>
      </c>
      <c r="C1293" s="878"/>
      <c r="D1293" s="878"/>
      <c r="E1293" s="878"/>
      <c r="F1293" s="123"/>
      <c r="G1293" s="115"/>
      <c r="H1293" s="118"/>
      <c r="I1293" s="50"/>
    </row>
    <row r="1294" spans="1:9" ht="12.75" hidden="1" customHeight="1" x14ac:dyDescent="0.3">
      <c r="A1294" s="92" t="s">
        <v>1</v>
      </c>
      <c r="B1294" s="117" t="s">
        <v>90</v>
      </c>
      <c r="C1294" s="878"/>
      <c r="D1294" s="878"/>
      <c r="E1294" s="878"/>
      <c r="F1294" s="123"/>
      <c r="G1294" s="115"/>
      <c r="H1294" s="118"/>
      <c r="I1294" s="50"/>
    </row>
    <row r="1295" spans="1:9" ht="12.75" hidden="1" customHeight="1" x14ac:dyDescent="0.3">
      <c r="A1295" s="92" t="s">
        <v>1</v>
      </c>
      <c r="B1295" s="117" t="s">
        <v>84</v>
      </c>
      <c r="C1295" s="878"/>
      <c r="D1295" s="878"/>
      <c r="E1295" s="878"/>
      <c r="F1295" s="123"/>
      <c r="G1295" s="115"/>
      <c r="H1295" s="118"/>
      <c r="I1295" s="50"/>
    </row>
    <row r="1296" spans="1:9" ht="12.75" hidden="1" customHeight="1" x14ac:dyDescent="0.3">
      <c r="A1296" s="92" t="s">
        <v>1</v>
      </c>
      <c r="B1296" s="117" t="s">
        <v>77</v>
      </c>
      <c r="C1296" s="878"/>
      <c r="D1296" s="878"/>
      <c r="E1296" s="878"/>
      <c r="F1296" s="123"/>
      <c r="G1296" s="115"/>
      <c r="H1296" s="118"/>
      <c r="I1296" s="50"/>
    </row>
    <row r="1297" spans="1:9" ht="12.75" hidden="1" customHeight="1" x14ac:dyDescent="0.3">
      <c r="A1297" s="49"/>
      <c r="B1297" s="115"/>
      <c r="C1297" s="115"/>
      <c r="D1297" s="115"/>
      <c r="E1297" s="115"/>
      <c r="F1297" s="120" t="s">
        <v>32</v>
      </c>
      <c r="G1297" s="121" t="str">
        <f>+B1287</f>
        <v>5.4</v>
      </c>
      <c r="H1297" s="121" t="s">
        <v>368</v>
      </c>
      <c r="I1297" s="48">
        <f>SUM(H1291:H1296)</f>
        <v>0</v>
      </c>
    </row>
    <row r="1298" spans="1:9" ht="12.75" hidden="1" customHeight="1" x14ac:dyDescent="0.3">
      <c r="A1298" s="47" t="s">
        <v>34</v>
      </c>
      <c r="B1298" s="3"/>
      <c r="C1298" s="115"/>
      <c r="D1298" s="115"/>
      <c r="E1298" s="115"/>
      <c r="F1298" s="115"/>
      <c r="G1298" s="115"/>
      <c r="H1298" s="115"/>
      <c r="I1298" s="50"/>
    </row>
    <row r="1299" spans="1:9" ht="12.75" hidden="1" customHeight="1" x14ac:dyDescent="0.3">
      <c r="A1299" s="879" t="s">
        <v>35</v>
      </c>
      <c r="B1299" s="868"/>
      <c r="C1299" s="868"/>
      <c r="D1299" s="868"/>
      <c r="E1299" s="116" t="s">
        <v>12</v>
      </c>
      <c r="F1299" s="116" t="s">
        <v>36</v>
      </c>
      <c r="G1299" s="116" t="s">
        <v>37</v>
      </c>
      <c r="H1299" s="116" t="s">
        <v>38</v>
      </c>
      <c r="I1299" s="50"/>
    </row>
    <row r="1300" spans="1:9" ht="12.75" hidden="1" customHeight="1" x14ac:dyDescent="0.3">
      <c r="A1300" s="92" t="s">
        <v>0</v>
      </c>
      <c r="B1300" s="117" t="s">
        <v>448</v>
      </c>
      <c r="C1300" s="878" t="str">
        <f>IF($A1300="EQUI",VLOOKUP($B1300,[6]EQUI!B$16:G$46,2,FALSE),IF($A1300="TRAN",VLOOKUP($B1300,[6]TRAN!$B$16:$G$26,2,FALSE),IF(A1300="MAT",VLOOKUP($B1300,[6]MAT!$B$16:$G$189,2,FALSE),IF(A1300="MDEO",VLOOKUP($B1300,[6]MDEO!$B$16:$I$21,2,FALSE)))))</f>
        <v xml:space="preserve">ESPECIE DURANTA VERDE </v>
      </c>
      <c r="D1300" s="878"/>
      <c r="E1300" s="123" t="str">
        <f>IF($A1300="EQUI",VLOOKUP($B1300,[6]EQUI!A$16:F$46,3,FALSE),IF($A1300="TRAN",VLOOKUP($B1300,[6]TRAN!$B$16:$G$26,3,FALSE),IF($A1300="MAT",VLOOKUP($B1300,[6]MAT!$B$16:$G$189,3,FALSE),IF($A1300="MDEO",VLOOKUP($B1300,[6]MDEO!$B$16:$I$21,3,FALSE)))))</f>
        <v>UN</v>
      </c>
      <c r="F1300" s="123">
        <f>IF($A1300="EQUI",VLOOKUP($B1300,[6]EQUI!B$16:G$46,4,FALSE),IF($A1300="TRAN",VLOOKUP($B1300,[6]TRAN!$B$16:$G$26,4,FALSE),IF($A1300="MAT",VLOOKUP($B1300,[6]MAT!$B$16:$G$189,4,FALSE),IF($A1300="MDEO",VLOOKUP($B1300,[6]MDEO!$B$16:$I$21,4,FALSE)))))</f>
        <v>4800</v>
      </c>
      <c r="G1300" s="115">
        <v>4</v>
      </c>
      <c r="H1300" s="118">
        <f t="shared" ref="H1300:H1305" si="4">+F1300*G1300</f>
        <v>19200</v>
      </c>
      <c r="I1300" s="50"/>
    </row>
    <row r="1301" spans="1:9" ht="12.75" hidden="1" customHeight="1" x14ac:dyDescent="0.3">
      <c r="A1301" s="92" t="s">
        <v>0</v>
      </c>
      <c r="B1301" s="117" t="s">
        <v>449</v>
      </c>
      <c r="C1301" s="878" t="str">
        <f>IF($A1301="EQUI",VLOOKUP($B1301,[6]EQUI!B$16:G$46,2,FALSE),IF($A1301="TRAN",VLOOKUP($B1301,[6]TRAN!$B$16:$G$26,2,FALSE),IF(A1301="MAT",VLOOKUP($B1301,[6]MAT!$B$16:$G$189,2,FALSE),IF(A1301="MDEO",VLOOKUP($B1301,[6]MDEO!$B$16:$I$21,2,FALSE)))))</f>
        <v>ESPECIE DURANTA ROJA</v>
      </c>
      <c r="D1301" s="878"/>
      <c r="E1301" s="123" t="str">
        <f>IF($A1301="EQUI",VLOOKUP($B1301,[6]EQUI!A$16:F$46,3,FALSE),IF($A1301="TRAN",VLOOKUP($B1301,[6]TRAN!$B$16:$G$26,3,FALSE),IF($A1301="MAT",VLOOKUP($B1301,[6]MAT!$B$16:$G$189,3,FALSE),IF($A1301="MDEO",VLOOKUP($B1301,[6]MDEO!$B$16:$I$21,3,FALSE)))))</f>
        <v>UN</v>
      </c>
      <c r="F1301" s="123">
        <f>IF($A1301="EQUI",VLOOKUP($B1301,[6]EQUI!B$16:G$46,4,FALSE),IF($A1301="TRAN",VLOOKUP($B1301,[6]TRAN!$B$16:$G$26,4,FALSE),IF($A1301="MAT",VLOOKUP($B1301,[6]MAT!$B$16:$G$189,4,FALSE),IF($A1301="MDEO",VLOOKUP($B1301,[6]MDEO!$B$16:$I$21,4,FALSE)))))</f>
        <v>4800</v>
      </c>
      <c r="G1301" s="115">
        <v>2</v>
      </c>
      <c r="H1301" s="118">
        <f t="shared" si="4"/>
        <v>9600</v>
      </c>
      <c r="I1301" s="50"/>
    </row>
    <row r="1302" spans="1:9" ht="12.75" hidden="1" customHeight="1" x14ac:dyDescent="0.3">
      <c r="A1302" s="92" t="s">
        <v>0</v>
      </c>
      <c r="B1302" s="117" t="s">
        <v>450</v>
      </c>
      <c r="C1302" s="878" t="str">
        <f>IF($A1302="EQUI",VLOOKUP($B1302,[6]EQUI!B$16:G$46,2,FALSE),IF($A1302="TRAN",VLOOKUP($B1302,[6]TRAN!$B$16:$G$26,2,FALSE),IF(A1302="MAT",VLOOKUP($B1302,[6]MAT!$B$16:$G$189,2,FALSE),IF(A1302="MDEO",VLOOKUP($B1302,[6]MDEO!$B$16:$I$21,2,FALSE)))))</f>
        <v>ESPECIE OITI</v>
      </c>
      <c r="D1302" s="878"/>
      <c r="E1302" s="123" t="str">
        <f>IF($A1302="EQUI",VLOOKUP($B1302,[6]EQUI!A$16:F$46,3,FALSE),IF($A1302="TRAN",VLOOKUP($B1302,[6]TRAN!$B$16:$G$26,3,FALSE),IF($A1302="MAT",VLOOKUP($B1302,[6]MAT!$B$16:$G$189,3,FALSE),IF($A1302="MDEO",VLOOKUP($B1302,[6]MDEO!$B$16:$I$21,3,FALSE)))))</f>
        <v>UN</v>
      </c>
      <c r="F1302" s="123">
        <f>IF($A1302="EQUI",VLOOKUP($B1302,[6]EQUI!B$16:G$46,4,FALSE),IF($A1302="TRAN",VLOOKUP($B1302,[6]TRAN!$B$16:$G$26,4,FALSE),IF($A1302="MAT",VLOOKUP($B1302,[6]MAT!$B$16:$G$189,4,FALSE),IF($A1302="MDEO",VLOOKUP($B1302,[6]MDEO!$B$16:$I$21,4,FALSE)))))</f>
        <v>33600</v>
      </c>
      <c r="G1302" s="115">
        <v>1</v>
      </c>
      <c r="H1302" s="118">
        <f t="shared" si="4"/>
        <v>33600</v>
      </c>
      <c r="I1302" s="50"/>
    </row>
    <row r="1303" spans="1:9" ht="12.75" hidden="1" customHeight="1" x14ac:dyDescent="0.3">
      <c r="A1303" s="92" t="s">
        <v>0</v>
      </c>
      <c r="B1303" s="117" t="s">
        <v>151</v>
      </c>
      <c r="C1303" s="878" t="str">
        <f>IF($A1303="EQUI",VLOOKUP($B1303,[6]EQUI!B$16:G$46,2,FALSE),IF($A1303="TRAN",VLOOKUP($B1303,[6]TRAN!$B$16:$G$26,2,FALSE),IF(A1303="MAT",VLOOKUP($B1303,[6]MAT!$B$16:$G$194,2,FALSE),IF(A1303="MDEO",VLOOKUP($B1303,[6]MDEO!$B$16:$I$21,2,FALSE)))))</f>
        <v xml:space="preserve">FERTILIZANTE FÓSFORO </v>
      </c>
      <c r="D1303" s="878"/>
      <c r="E1303" s="123" t="str">
        <f>IF($A1303="EQUI",VLOOKUP($B1303,[6]EQUI!A$16:F$46,3,FALSE),IF($A1303="TRAN",VLOOKUP($B1303,[6]TRAN!$B$16:$G$26,3,FALSE),IF($A1303="MAT",VLOOKUP($B1303,[6]MAT!$B$16:$G$194,3,FALSE),IF($A1303="MDEO",VLOOKUP($B1303,[6]MDEO!$B$16:$I$21,3,FALSE)))))</f>
        <v>BULTO</v>
      </c>
      <c r="F1303" s="123">
        <f>IF($A1303="EQUI",VLOOKUP($B1303,[6]EQUI!B$16:G$46,4,FALSE),IF($A1303="TRAN",VLOOKUP($B1303,[6]TRAN!$B$16:$G$26,4,FALSE),IF($A1303="MAT",VLOOKUP($B1303,[6]MAT!$B$16:$G$194,4,FALSE),IF($A1303="MDEO",VLOOKUP($B1303,[6]MDEO!$B$16:$I$21,4,FALSE)))))</f>
        <v>110000</v>
      </c>
      <c r="G1303" s="115">
        <v>0.1</v>
      </c>
      <c r="H1303" s="118">
        <f t="shared" si="4"/>
        <v>11000</v>
      </c>
      <c r="I1303" s="50"/>
    </row>
    <row r="1304" spans="1:9" ht="12.75" hidden="1" customHeight="1" x14ac:dyDescent="0.3">
      <c r="A1304" s="92" t="s">
        <v>0</v>
      </c>
      <c r="B1304" s="117" t="s">
        <v>152</v>
      </c>
      <c r="C1304" s="878" t="str">
        <f>IF($A1304="EQUI",VLOOKUP($B1304,[6]EQUI!B$16:G$46,2,FALSE),IF($A1304="TRAN",VLOOKUP($B1304,[6]TRAN!$B$16:$G$26,2,FALSE),IF(A1304="MAT",VLOOKUP($B1304,[6]MAT!$B$16:$G$194,2,FALSE),IF(A1304="MDEO",VLOOKUP($B1304,[6]MDEO!$B$16:$I$21,2,FALSE)))))</f>
        <v>FERTILIZANTE Urea</v>
      </c>
      <c r="D1304" s="878"/>
      <c r="E1304" s="123" t="str">
        <f>IF($A1304="EQUI",VLOOKUP($B1304,[6]EQUI!A$16:F$46,3,FALSE),IF($A1304="TRAN",VLOOKUP($B1304,[6]TRAN!$B$16:$G$26,3,FALSE),IF($A1304="MAT",VLOOKUP($B1304,[6]MAT!$B$16:$G$194,3,FALSE),IF($A1304="MDEO",VLOOKUP($B1304,[6]MDEO!$B$16:$I$21,3,FALSE)))))</f>
        <v>BULTO</v>
      </c>
      <c r="F1304" s="123">
        <f>IF($A1304="EQUI",VLOOKUP($B1304,[6]EQUI!B$16:G$46,4,FALSE),IF($A1304="TRAN",VLOOKUP($B1304,[6]TRAN!$B$16:$G$26,4,FALSE),IF($A1304="MAT",VLOOKUP($B1304,[6]MAT!$B$16:$G$194,4,FALSE),IF($A1304="MDEO",VLOOKUP($B1304,[6]MDEO!$B$16:$I$21,4,FALSE)))))</f>
        <v>95000</v>
      </c>
      <c r="G1304" s="115">
        <v>0.1</v>
      </c>
      <c r="H1304" s="118">
        <f t="shared" si="4"/>
        <v>9500</v>
      </c>
      <c r="I1304" s="50"/>
    </row>
    <row r="1305" spans="1:9" ht="12.75" hidden="1" customHeight="1" x14ac:dyDescent="0.3">
      <c r="A1305" s="92" t="s">
        <v>0</v>
      </c>
      <c r="B1305" s="117" t="s">
        <v>446</v>
      </c>
      <c r="C1305" s="878" t="str">
        <f>IF($A1305="EQUI",VLOOKUP($B1305,[6]EQUI!B$16:G$46,2,FALSE),IF($A1305="TRAN",VLOOKUP($B1305,[6]TRAN!$B$16:$G$26,2,FALSE),IF(A1305="MAT",VLOOKUP($B1305,[6]MAT!$B$16:$G$189,2,FALSE),IF(A1305="MDEO",VLOOKUP($B1305,[6]MDEO!$B$16:$I$21,2,FALSE)))))</f>
        <v>BULTO TIERRA</v>
      </c>
      <c r="D1305" s="878"/>
      <c r="E1305" s="123" t="str">
        <f>IF($A1305="EQUI",VLOOKUP($B1305,[6]EQUI!A$16:F$46,3,FALSE),IF($A1305="TRAN",VLOOKUP($B1305,[6]TRAN!$B$16:$G$26,3,FALSE),IF($A1305="MAT",VLOOKUP($B1305,[6]MAT!$B$16:$G$189,3,FALSE),IF($A1305="MDEO",VLOOKUP($B1305,[6]MDEO!$B$16:$I$21,3,FALSE)))))</f>
        <v>BULTO</v>
      </c>
      <c r="F1305" s="123">
        <f>IF($A1305="EQUI",VLOOKUP($B1305,[6]EQUI!B$16:G$46,4,FALSE),IF($A1305="TRAN",VLOOKUP($B1305,[6]TRAN!$B$16:$G$26,4,FALSE),IF($A1305="MAT",VLOOKUP($B1305,[6]MAT!$B$16:$G$189,4,FALSE),IF($A1305="MDEO",VLOOKUP($B1305,[6]MDEO!$B$16:$I$21,4,FALSE)))))</f>
        <v>15000</v>
      </c>
      <c r="G1305" s="115">
        <v>0.3</v>
      </c>
      <c r="H1305" s="118">
        <f t="shared" si="4"/>
        <v>4500</v>
      </c>
      <c r="I1305" s="50"/>
    </row>
    <row r="1306" spans="1:9" ht="12.75" hidden="1" customHeight="1" x14ac:dyDescent="0.3">
      <c r="A1306" s="49"/>
      <c r="B1306" s="115"/>
      <c r="C1306" s="115"/>
      <c r="D1306" s="115"/>
      <c r="E1306" s="115"/>
      <c r="F1306" s="120" t="s">
        <v>32</v>
      </c>
      <c r="G1306" s="121" t="str">
        <f>+B1287</f>
        <v>5.4</v>
      </c>
      <c r="H1306" s="121" t="s">
        <v>371</v>
      </c>
      <c r="I1306" s="48">
        <f>SUM(H1300:H1305)</f>
        <v>87400</v>
      </c>
    </row>
    <row r="1307" spans="1:9" ht="12.75" hidden="1" customHeight="1" x14ac:dyDescent="0.3">
      <c r="A1307" s="47" t="s">
        <v>15</v>
      </c>
      <c r="B1307" s="3"/>
      <c r="C1307" s="115"/>
      <c r="D1307" s="115"/>
      <c r="E1307" s="115"/>
      <c r="F1307" s="115"/>
      <c r="G1307" s="115"/>
      <c r="H1307" s="115"/>
      <c r="I1307" s="50"/>
    </row>
    <row r="1308" spans="1:9" ht="12.75" hidden="1" customHeight="1" x14ac:dyDescent="0.3">
      <c r="A1308" s="879" t="s">
        <v>19</v>
      </c>
      <c r="B1308" s="868"/>
      <c r="C1308" s="868"/>
      <c r="D1308" s="116" t="s">
        <v>43</v>
      </c>
      <c r="E1308" s="116" t="s">
        <v>44</v>
      </c>
      <c r="F1308" s="123" t="s">
        <v>45</v>
      </c>
      <c r="G1308" s="116" t="s">
        <v>17</v>
      </c>
      <c r="H1308" s="116" t="s">
        <v>30</v>
      </c>
      <c r="I1308" s="50"/>
    </row>
    <row r="1309" spans="1:9" ht="12.75" hidden="1" customHeight="1" x14ac:dyDescent="0.3">
      <c r="A1309" s="51" t="s">
        <v>3</v>
      </c>
      <c r="B1309" s="117"/>
      <c r="C1309" s="133"/>
      <c r="D1309" s="123"/>
      <c r="E1309" s="123"/>
      <c r="F1309" s="123"/>
      <c r="G1309" s="116"/>
      <c r="H1309" s="118">
        <f>+F1309*G1309</f>
        <v>0</v>
      </c>
      <c r="I1309" s="50"/>
    </row>
    <row r="1310" spans="1:9" ht="12.75" hidden="1" customHeight="1" x14ac:dyDescent="0.3">
      <c r="A1310" s="51"/>
      <c r="B1310" s="117"/>
      <c r="C1310" s="133"/>
      <c r="D1310" s="123"/>
      <c r="E1310" s="123"/>
      <c r="F1310" s="123"/>
      <c r="G1310" s="116"/>
      <c r="H1310" s="118"/>
      <c r="I1310" s="50"/>
    </row>
    <row r="1311" spans="1:9" ht="12.75" hidden="1" customHeight="1" x14ac:dyDescent="0.3">
      <c r="A1311" s="49"/>
      <c r="B1311" s="115"/>
      <c r="C1311" s="115"/>
      <c r="D1311" s="115"/>
      <c r="E1311" s="115"/>
      <c r="F1311" s="120" t="s">
        <v>32</v>
      </c>
      <c r="G1311" s="121" t="str">
        <f>+B1287</f>
        <v>5.4</v>
      </c>
      <c r="H1311" s="121" t="s">
        <v>374</v>
      </c>
      <c r="I1311" s="48">
        <f>SUM(H1309:H1310)</f>
        <v>0</v>
      </c>
    </row>
    <row r="1312" spans="1:9" ht="12.75" hidden="1" customHeight="1" x14ac:dyDescent="0.3">
      <c r="A1312" s="47"/>
      <c r="B1312" s="3"/>
      <c r="C1312" s="115"/>
      <c r="D1312" s="115"/>
      <c r="E1312" s="115"/>
      <c r="F1312" s="115"/>
      <c r="G1312" s="115"/>
      <c r="H1312" s="115"/>
      <c r="I1312" s="50"/>
    </row>
    <row r="1313" spans="1:9" ht="12.75" hidden="1" customHeight="1" x14ac:dyDescent="0.3">
      <c r="A1313" s="882" t="s">
        <v>18</v>
      </c>
      <c r="B1313" s="883"/>
      <c r="C1313" s="883"/>
      <c r="D1313" s="140" t="s">
        <v>48</v>
      </c>
      <c r="E1313" s="140" t="s">
        <v>109</v>
      </c>
      <c r="F1313" s="141" t="s">
        <v>250</v>
      </c>
      <c r="G1313" s="142" t="s">
        <v>251</v>
      </c>
      <c r="H1313" s="140" t="s">
        <v>252</v>
      </c>
      <c r="I1313" s="52"/>
    </row>
    <row r="1314" spans="1:9" ht="12.75" hidden="1" customHeight="1" x14ac:dyDescent="0.3">
      <c r="A1314" s="51" t="s">
        <v>4</v>
      </c>
      <c r="B1314" s="131" t="s">
        <v>175</v>
      </c>
      <c r="C1314" s="126" t="str">
        <f>IF($A1314="EQUI",VLOOKUP($B1314,[6]EQUI!B$16:G$46,2,FALSE),IF($A1314="TRAN",VLOOKUP($B1314,[6]TRAN!$B$16:$G$26,2,FALSE),IF($A1314="MAT",VLOOKUP($B1314,[6]MAT!$B$16:$G$83,2,FALSE),IF($A1314="MDEO",VLOOKUP($B1314,[6]MDEO!$B$16:$I$21,2,FALSE)))))</f>
        <v>OFICIAL</v>
      </c>
      <c r="D1314" s="31">
        <f>IF($A1314="EQUI",VLOOKUP($B1314,[6]EQUI!B$16:G$46,3,FALSE),IF($A1314="TRAN",VLOOKUP($B1314,[6]TRAN!$B$16:$G$26,3,FALSE),IF($A1314="MAT",VLOOKUP($B1314,[6]MAT!$B$16:$G$83,3,FALSE),IF($A1314="MDEO",VLOOKUP($B1314,[6]MDEO!$B$16:$I$21,3,FALSE)))))</f>
        <v>9301.6465000000026</v>
      </c>
      <c r="E1314" s="127">
        <f>IF($A1314="EQUI",VLOOKUP($B1314,[6]EQUI!B$16:G$46,4,FALSE),IF($A1314="TRAN",VLOOKUP($B1314,[6]TRAN!$B$16:$G$26,4,FALSE),IF($A1314="MAT",VLOOKUP($B1314,[6]MAT!$B$16:$G$83,4,FALSE),IF($A1314="MDEO",VLOOKUP($B1314,[6]MDEO!$B$16:$I$21,5,FALSE)))))</f>
        <v>0.56000000000000005</v>
      </c>
      <c r="F1314" s="32">
        <f>+D1314+D1314*E1314</f>
        <v>14510.568540000004</v>
      </c>
      <c r="G1314" s="130">
        <v>1</v>
      </c>
      <c r="H1314" s="128">
        <f>G1314*F1314</f>
        <v>14510.568540000004</v>
      </c>
      <c r="I1314" s="50"/>
    </row>
    <row r="1315" spans="1:9" ht="12.75" hidden="1" customHeight="1" x14ac:dyDescent="0.3">
      <c r="A1315" s="51" t="s">
        <v>4</v>
      </c>
      <c r="B1315" s="131" t="s">
        <v>176</v>
      </c>
      <c r="C1315" s="126" t="str">
        <f>IF($A1315="EQUI",VLOOKUP($B1315,[6]EQUI!B$16:G$46,2,FALSE),IF($A1315="TRAN",VLOOKUP($B1315,[6]TRAN!$B$16:$G$26,2,FALSE),IF($A1315="MAT",VLOOKUP($B1315,[6]MAT!$B$16:$G$83,2,FALSE),IF($A1315="MDEO",VLOOKUP($B1315,[6]MDEO!$B$16:$I$21,2,FALSE)))))</f>
        <v>AYUDANTE ENTENDIDO</v>
      </c>
      <c r="D1315" s="31">
        <f>IF($A1315="EQUI",VLOOKUP($B1315,[6]EQUI!B$16:G$46,3,FALSE),IF($A1315="TRAN",VLOOKUP($B1315,[6]TRAN!$B$16:$G$26,3,FALSE),IF($A1315="MAT",VLOOKUP($B1315,[6]MAT!$B$16:$G$83,3,FALSE),IF($A1315="MDEO",VLOOKUP($B1315,[6]MDEO!$B$16:$I$21,3,FALSE)))))</f>
        <v>8051.6465000000007</v>
      </c>
      <c r="E1315" s="127">
        <f>IF($A1315="EQUI",VLOOKUP($B1315,[6]EQUI!B$16:G$46,4,FALSE),IF($A1315="TRAN",VLOOKUP($B1315,[6]TRAN!$B$16:$G$26,4,FALSE),IF($A1315="MAT",VLOOKUP($B1315,[6]MAT!$B$16:$G$83,4,FALSE),IF($A1315="MDEO",VLOOKUP($B1315,[6]MDEO!$B$16:$I$21,5,FALSE)))))</f>
        <v>0.56000000000000005</v>
      </c>
      <c r="F1315" s="32">
        <f>+D1315+D1315*E1315</f>
        <v>12560.568540000002</v>
      </c>
      <c r="G1315" s="130">
        <v>1</v>
      </c>
      <c r="H1315" s="128">
        <f>G1315*F1315</f>
        <v>12560.568540000002</v>
      </c>
      <c r="I1315" s="50"/>
    </row>
    <row r="1316" spans="1:9" ht="12.75" hidden="1" customHeight="1" x14ac:dyDescent="0.3">
      <c r="A1316" s="51" t="s">
        <v>4</v>
      </c>
      <c r="B1316" s="131" t="s">
        <v>177</v>
      </c>
      <c r="C1316" s="126" t="str">
        <f>IF($A1316="EQUI",VLOOKUP($B1316,[6]EQUI!B$16:G$46,2,FALSE),IF($A1316="TRAN",VLOOKUP($B1316,[6]TRAN!$B$16:$G$26,2,FALSE),IF($A1316="MAT",VLOOKUP($B1316,[6]MAT!$B$16:$G$83,2,FALSE),IF($A1316="MDEO",VLOOKUP($B1316,[6]MDEO!$B$16:$I$21,2,FALSE)))))</f>
        <v>AYUDANTE</v>
      </c>
      <c r="D1316" s="31">
        <f>IF($A1316="EQUI",VLOOKUP($B1316,[6]EQUI!B$16:G$46,3,FALSE),IF($A1316="TRAN",VLOOKUP($B1316,[6]TRAN!$B$16:$G$26,3,FALSE),IF($A1316="MAT",VLOOKUP($B1316,[6]MAT!$B$16:$G$83,3,FALSE),IF($A1316="MDEO",VLOOKUP($B1316,[6]MDEO!$B$16:$I$21,3,FALSE)))))</f>
        <v>6801.6465000000007</v>
      </c>
      <c r="E1316" s="127">
        <f>IF($A1316="EQUI",VLOOKUP($B1316,[6]EQUI!B$16:G$46,4,FALSE),IF($A1316="TRAN",VLOOKUP($B1316,[6]TRAN!$B$16:$G$26,4,FALSE),IF($A1316="MAT",VLOOKUP($B1316,[6]MAT!$B$16:$G$83,4,FALSE),IF($A1316="MDEO",VLOOKUP($B1316,[6]MDEO!$B$16:$I$21,5,FALSE)))))</f>
        <v>0.56000000000000005</v>
      </c>
      <c r="F1316" s="32">
        <f>+D1316+D1316*E1316</f>
        <v>10610.568540000002</v>
      </c>
      <c r="G1316" s="130">
        <v>2</v>
      </c>
      <c r="H1316" s="128">
        <f>G1316*F1316</f>
        <v>21221.137080000004</v>
      </c>
      <c r="I1316" s="50"/>
    </row>
    <row r="1317" spans="1:9" ht="12.75" hidden="1" customHeight="1" x14ac:dyDescent="0.3">
      <c r="A1317" s="879"/>
      <c r="B1317" s="868"/>
      <c r="C1317" s="115"/>
      <c r="D1317" s="115"/>
      <c r="E1317" s="115"/>
      <c r="F1317" s="115"/>
      <c r="G1317" s="115"/>
      <c r="H1317" s="115"/>
      <c r="I1317" s="50"/>
    </row>
    <row r="1318" spans="1:9" ht="12.75" hidden="1" customHeight="1" x14ac:dyDescent="0.3">
      <c r="A1318" s="49"/>
      <c r="B1318" s="115"/>
      <c r="C1318" s="115"/>
      <c r="D1318" s="115"/>
      <c r="E1318" s="115"/>
      <c r="F1318" s="120" t="s">
        <v>32</v>
      </c>
      <c r="G1318" s="121" t="str">
        <f>+B1287</f>
        <v>5.4</v>
      </c>
      <c r="H1318" s="120" t="s">
        <v>377</v>
      </c>
      <c r="I1318" s="48">
        <f>SUM(H1314:H1317)</f>
        <v>48292.274160000015</v>
      </c>
    </row>
    <row r="1319" spans="1:9" ht="12.75" hidden="1" customHeight="1" x14ac:dyDescent="0.3">
      <c r="A1319" s="49" t="s">
        <v>54</v>
      </c>
      <c r="B1319" s="115"/>
      <c r="C1319" s="115"/>
      <c r="D1319" s="115"/>
      <c r="E1319" s="115"/>
      <c r="F1319" s="115"/>
      <c r="G1319" s="115"/>
      <c r="H1319" s="116"/>
      <c r="I1319" s="48">
        <f>I1318*0.05</f>
        <v>2414.6137080000008</v>
      </c>
    </row>
    <row r="1320" spans="1:9" ht="12.75" hidden="1" customHeight="1" x14ac:dyDescent="0.3">
      <c r="A1320" s="49"/>
      <c r="B1320" s="115"/>
      <c r="C1320" s="115"/>
      <c r="D1320" s="115"/>
      <c r="E1320" s="115"/>
      <c r="F1320" s="120" t="s">
        <v>55</v>
      </c>
      <c r="G1320" s="116"/>
      <c r="H1320" s="116"/>
      <c r="I1320" s="48">
        <f>ROUND(I1318+I1319+I1306+I1297+I1311,0)</f>
        <v>138107</v>
      </c>
    </row>
    <row r="1321" spans="1:9" ht="12.75" hidden="1" customHeight="1" x14ac:dyDescent="0.3">
      <c r="A1321" s="879" t="s">
        <v>56</v>
      </c>
      <c r="B1321" s="868"/>
      <c r="C1321" s="868"/>
      <c r="D1321" s="868"/>
      <c r="E1321" s="868" t="s">
        <v>57</v>
      </c>
      <c r="F1321" s="868"/>
      <c r="G1321" s="875" t="s">
        <v>58</v>
      </c>
      <c r="H1321" s="875"/>
      <c r="I1321" s="48"/>
    </row>
    <row r="1322" spans="1:9" ht="12.75" hidden="1" customHeight="1" x14ac:dyDescent="0.3">
      <c r="A1322" s="879" t="s">
        <v>208</v>
      </c>
      <c r="B1322" s="868"/>
      <c r="C1322" s="868"/>
      <c r="D1322" s="868"/>
      <c r="E1322" s="876">
        <v>0.02</v>
      </c>
      <c r="F1322" s="876"/>
      <c r="G1322" s="875">
        <f>+I1320*E1322</f>
        <v>2762.14</v>
      </c>
      <c r="H1322" s="875"/>
      <c r="I1322" s="48"/>
    </row>
    <row r="1323" spans="1:9" ht="12.75" hidden="1" customHeight="1" x14ac:dyDescent="0.3">
      <c r="A1323" s="879" t="s">
        <v>5</v>
      </c>
      <c r="B1323" s="868"/>
      <c r="C1323" s="868"/>
      <c r="D1323" s="868"/>
      <c r="E1323" s="876">
        <v>0.23</v>
      </c>
      <c r="F1323" s="876"/>
      <c r="G1323" s="875">
        <f>+E1323*I1320</f>
        <v>31764.61</v>
      </c>
      <c r="H1323" s="875"/>
      <c r="I1323" s="48"/>
    </row>
    <row r="1324" spans="1:9" ht="12.75" hidden="1" customHeight="1" x14ac:dyDescent="0.3">
      <c r="A1324" s="879" t="s">
        <v>6</v>
      </c>
      <c r="B1324" s="868"/>
      <c r="C1324" s="868"/>
      <c r="D1324" s="868"/>
      <c r="E1324" s="876">
        <v>0.05</v>
      </c>
      <c r="F1324" s="876"/>
      <c r="G1324" s="875">
        <f>+E1324*I1320</f>
        <v>6905.35</v>
      </c>
      <c r="H1324" s="875"/>
      <c r="I1324" s="48"/>
    </row>
    <row r="1325" spans="1:9" ht="12.75" hidden="1" customHeight="1" x14ac:dyDescent="0.3">
      <c r="A1325" s="879" t="s">
        <v>207</v>
      </c>
      <c r="B1325" s="868"/>
      <c r="C1325" s="868"/>
      <c r="D1325" s="868"/>
      <c r="E1325" s="876">
        <v>0.02</v>
      </c>
      <c r="F1325" s="876"/>
      <c r="G1325" s="875">
        <f>+E1325*I1320</f>
        <v>2762.14</v>
      </c>
      <c r="H1325" s="875"/>
      <c r="I1325" s="48"/>
    </row>
    <row r="1326" spans="1:9" ht="12.75" hidden="1" customHeight="1" x14ac:dyDescent="0.3">
      <c r="A1326" s="880" t="s">
        <v>397</v>
      </c>
      <c r="B1326" s="867"/>
      <c r="C1326" s="867"/>
      <c r="D1326" s="867"/>
      <c r="E1326" s="867"/>
      <c r="F1326" s="867"/>
      <c r="G1326" s="867"/>
      <c r="H1326" s="867"/>
      <c r="I1326" s="48">
        <f>+G1325+G1323+G1324+G1322</f>
        <v>44194.239999999998</v>
      </c>
    </row>
    <row r="1327" spans="1:9" ht="12.75" hidden="1" customHeight="1" x14ac:dyDescent="0.3">
      <c r="A1327" s="880" t="s">
        <v>59</v>
      </c>
      <c r="B1327" s="867"/>
      <c r="C1327" s="867"/>
      <c r="D1327" s="867"/>
      <c r="E1327" s="867"/>
      <c r="F1327" s="867"/>
      <c r="G1327" s="867"/>
      <c r="H1327" s="867"/>
      <c r="I1327" s="48">
        <f>+I1326+I1320</f>
        <v>182301.24</v>
      </c>
    </row>
    <row r="1328" spans="1:9" ht="12.75" hidden="1" customHeight="1" x14ac:dyDescent="0.3">
      <c r="A1328" s="93"/>
      <c r="B1328" s="65"/>
      <c r="C1328" s="65"/>
      <c r="D1328" s="65"/>
      <c r="E1328" s="65"/>
      <c r="F1328" s="65"/>
      <c r="G1328" s="65"/>
      <c r="H1328" s="65"/>
      <c r="I1328" s="48"/>
    </row>
    <row r="1329" spans="1:9" ht="12.75" hidden="1" customHeight="1" x14ac:dyDescent="0.3">
      <c r="A1329" s="881" t="s">
        <v>114</v>
      </c>
      <c r="B1329" s="604"/>
      <c r="C1329" s="604"/>
      <c r="D1329" s="65"/>
      <c r="E1329" s="65"/>
      <c r="F1329" s="604" t="s">
        <v>396</v>
      </c>
      <c r="G1329" s="604"/>
      <c r="H1329" s="604"/>
      <c r="I1329" s="894"/>
    </row>
    <row r="1330" spans="1:9" ht="12.75" hidden="1" customHeight="1" x14ac:dyDescent="0.3">
      <c r="A1330" s="92" t="s">
        <v>111</v>
      </c>
      <c r="B1330" s="868"/>
      <c r="C1330" s="868"/>
      <c r="D1330" s="115"/>
      <c r="E1330" s="115"/>
      <c r="F1330" s="116" t="s">
        <v>111</v>
      </c>
      <c r="G1330" s="868"/>
      <c r="H1330" s="868"/>
      <c r="I1330" s="884"/>
    </row>
    <row r="1331" spans="1:9" ht="12.75" hidden="1" customHeight="1" x14ac:dyDescent="0.3">
      <c r="A1331" s="132" t="s">
        <v>115</v>
      </c>
      <c r="B1331" s="868" t="str">
        <f>VLOOKUP(A1331,[6]INICIO!$E$6:$H$26,2,FALSE)</f>
        <v>LINA MARCELA</v>
      </c>
      <c r="C1331" s="868"/>
      <c r="F1331" s="86" t="s">
        <v>112</v>
      </c>
      <c r="G1331" s="868"/>
      <c r="H1331" s="868"/>
      <c r="I1331" s="884"/>
    </row>
    <row r="1332" spans="1:9" ht="12.75" hidden="1" customHeight="1" x14ac:dyDescent="0.3">
      <c r="A1332" s="132" t="s">
        <v>113</v>
      </c>
      <c r="B1332" s="868" t="str">
        <f>VLOOKUP(A1331,[6]INICIO!$E$6:$H$26,4,FALSE)</f>
        <v>05202-316814 ANT</v>
      </c>
      <c r="C1332" s="868"/>
      <c r="F1332" s="86" t="s">
        <v>113</v>
      </c>
      <c r="G1332" s="868"/>
      <c r="H1332" s="868"/>
      <c r="I1332" s="884"/>
    </row>
    <row r="1333" spans="1:9" ht="12.75" hidden="1" customHeight="1" x14ac:dyDescent="0.3">
      <c r="A1333" s="132"/>
      <c r="B1333" s="116"/>
      <c r="C1333" s="116"/>
      <c r="F1333" s="86"/>
      <c r="G1333" s="116"/>
      <c r="H1333" s="116"/>
      <c r="I1333" s="95"/>
    </row>
    <row r="1334" spans="1:9" ht="12.75" hidden="1" customHeight="1" x14ac:dyDescent="0.3">
      <c r="A1334" s="872" t="s">
        <v>110</v>
      </c>
      <c r="B1334" s="869"/>
      <c r="C1334" s="869"/>
      <c r="D1334" s="869"/>
      <c r="E1334" s="869"/>
      <c r="F1334" s="869"/>
      <c r="G1334" s="869"/>
      <c r="H1334" s="869"/>
      <c r="I1334" s="873"/>
    </row>
    <row r="1335" spans="1:9" ht="12.75" hidden="1" customHeight="1" x14ac:dyDescent="0.3">
      <c r="A1335" s="870"/>
      <c r="B1335" s="691"/>
      <c r="C1335" s="691"/>
      <c r="D1335" s="691"/>
      <c r="E1335" s="691"/>
      <c r="F1335" s="691"/>
      <c r="G1335" s="691"/>
      <c r="H1335" s="691"/>
      <c r="I1335" s="871"/>
    </row>
    <row r="1336" spans="1:9" ht="12.75" hidden="1" customHeight="1" x14ac:dyDescent="0.3">
      <c r="A1336" s="872"/>
      <c r="B1336" s="869"/>
      <c r="C1336" s="869"/>
      <c r="D1336" s="869"/>
      <c r="E1336" s="869"/>
      <c r="F1336" s="869"/>
      <c r="G1336" s="869"/>
      <c r="H1336" s="869"/>
      <c r="I1336" s="873"/>
    </row>
    <row r="1337" spans="1:9" ht="12.75" hidden="1" customHeight="1" x14ac:dyDescent="0.3">
      <c r="A1337" s="83"/>
      <c r="I1337" s="134"/>
    </row>
    <row r="1338" spans="1:9" ht="12.75" hidden="1" customHeight="1" x14ac:dyDescent="0.3">
      <c r="A1338" s="881" t="s">
        <v>68</v>
      </c>
      <c r="B1338" s="604"/>
      <c r="C1338" s="604"/>
      <c r="D1338" s="604"/>
      <c r="E1338" s="604"/>
      <c r="F1338" s="604"/>
      <c r="G1338" s="604"/>
      <c r="H1338" s="604"/>
      <c r="I1338" s="894"/>
    </row>
    <row r="1339" spans="1:9" ht="12.75" hidden="1" customHeight="1" x14ac:dyDescent="0.3">
      <c r="A1339" s="94" t="s">
        <v>69</v>
      </c>
      <c r="B1339" s="112" t="s">
        <v>290</v>
      </c>
      <c r="C1339" s="604" t="s">
        <v>70</v>
      </c>
      <c r="D1339" s="874" t="str">
        <f>VLOOKUP(B1339,[6]PRESUPUESTO!$A$18:$I$90,3,FALSE)</f>
        <v>ESPECIES Y JARDINERIA TIPO II</v>
      </c>
      <c r="E1339" s="874"/>
      <c r="F1339" s="874"/>
      <c r="G1339" s="874"/>
      <c r="H1339" s="874"/>
      <c r="I1339" s="877"/>
    </row>
    <row r="1340" spans="1:9" ht="12.75" hidden="1" customHeight="1" x14ac:dyDescent="0.3">
      <c r="A1340" s="94" t="s">
        <v>71</v>
      </c>
      <c r="B1340" s="112" t="str">
        <f>VLOOKUP(B1339,[6]PRESUPUESTO!$A$18:$I$90,2,FALSE)</f>
        <v>820-13C</v>
      </c>
      <c r="C1340" s="604"/>
      <c r="D1340" s="140" t="s">
        <v>12</v>
      </c>
      <c r="E1340" s="113" t="s">
        <v>12</v>
      </c>
      <c r="F1340" s="113" t="s">
        <v>13</v>
      </c>
      <c r="G1340" s="113" t="e">
        <f>VLOOKUP(B1340,[6]PRESUPUESTO!$B$15:$I$1222,5,FALSE)</f>
        <v>#N/A</v>
      </c>
      <c r="H1340" s="114" t="s">
        <v>27</v>
      </c>
      <c r="I1340" s="46">
        <f>+I1371</f>
        <v>196248</v>
      </c>
    </row>
    <row r="1341" spans="1:9" ht="12.75" hidden="1" customHeight="1" x14ac:dyDescent="0.3">
      <c r="A1341" s="47" t="s">
        <v>14</v>
      </c>
      <c r="B1341" s="3"/>
      <c r="C1341" s="115"/>
      <c r="D1341" s="115"/>
      <c r="E1341" s="115"/>
      <c r="F1341" s="115"/>
      <c r="G1341" s="115"/>
      <c r="H1341" s="115"/>
      <c r="I1341" s="48"/>
    </row>
    <row r="1342" spans="1:9" ht="12.75" hidden="1" customHeight="1" x14ac:dyDescent="0.3">
      <c r="A1342" s="879" t="s">
        <v>19</v>
      </c>
      <c r="B1342" s="868"/>
      <c r="C1342" s="868"/>
      <c r="D1342" s="868"/>
      <c r="E1342" s="868"/>
      <c r="F1342" s="116" t="s">
        <v>28</v>
      </c>
      <c r="G1342" s="116" t="s">
        <v>29</v>
      </c>
      <c r="H1342" s="116" t="s">
        <v>30</v>
      </c>
      <c r="I1342" s="50"/>
    </row>
    <row r="1343" spans="1:9" ht="12.75" hidden="1" customHeight="1" x14ac:dyDescent="0.3">
      <c r="A1343" s="92" t="s">
        <v>1</v>
      </c>
      <c r="B1343" s="117" t="s">
        <v>90</v>
      </c>
      <c r="C1343" s="878"/>
      <c r="D1343" s="878"/>
      <c r="E1343" s="878"/>
      <c r="F1343" s="123"/>
      <c r="G1343" s="115"/>
      <c r="H1343" s="118"/>
      <c r="I1343" s="50"/>
    </row>
    <row r="1344" spans="1:9" ht="12.75" hidden="1" customHeight="1" x14ac:dyDescent="0.3">
      <c r="A1344" s="92" t="s">
        <v>1</v>
      </c>
      <c r="B1344" s="117" t="s">
        <v>86</v>
      </c>
      <c r="C1344" s="878"/>
      <c r="D1344" s="878"/>
      <c r="E1344" s="878"/>
      <c r="F1344" s="123"/>
      <c r="G1344" s="115"/>
      <c r="H1344" s="118"/>
      <c r="I1344" s="50"/>
    </row>
    <row r="1345" spans="1:9" ht="12.75" hidden="1" customHeight="1" x14ac:dyDescent="0.3">
      <c r="A1345" s="92" t="s">
        <v>1</v>
      </c>
      <c r="B1345" s="117" t="s">
        <v>98</v>
      </c>
      <c r="C1345" s="878"/>
      <c r="D1345" s="878"/>
      <c r="E1345" s="878"/>
      <c r="F1345" s="123"/>
      <c r="G1345" s="115"/>
      <c r="H1345" s="118"/>
      <c r="I1345" s="50"/>
    </row>
    <row r="1346" spans="1:9" ht="12.75" hidden="1" customHeight="1" x14ac:dyDescent="0.3">
      <c r="A1346" s="49"/>
      <c r="B1346" s="115"/>
      <c r="C1346" s="115"/>
      <c r="D1346" s="115"/>
      <c r="E1346" s="115"/>
      <c r="F1346" s="120" t="s">
        <v>32</v>
      </c>
      <c r="G1346" s="121" t="str">
        <f>+B1339</f>
        <v>5.5</v>
      </c>
      <c r="H1346" s="121" t="s">
        <v>369</v>
      </c>
      <c r="I1346" s="48">
        <f>SUM(H1343:H1345)</f>
        <v>0</v>
      </c>
    </row>
    <row r="1347" spans="1:9" ht="12.75" hidden="1" customHeight="1" x14ac:dyDescent="0.3">
      <c r="A1347" s="47" t="s">
        <v>34</v>
      </c>
      <c r="B1347" s="3"/>
      <c r="C1347" s="115"/>
      <c r="D1347" s="115"/>
      <c r="E1347" s="115"/>
      <c r="F1347" s="115"/>
      <c r="G1347" s="115"/>
      <c r="H1347" s="115"/>
      <c r="I1347" s="50"/>
    </row>
    <row r="1348" spans="1:9" ht="12.75" hidden="1" customHeight="1" x14ac:dyDescent="0.3">
      <c r="A1348" s="879" t="s">
        <v>35</v>
      </c>
      <c r="B1348" s="868"/>
      <c r="C1348" s="868"/>
      <c r="D1348" s="868"/>
      <c r="E1348" s="116" t="s">
        <v>12</v>
      </c>
      <c r="F1348" s="116" t="s">
        <v>36</v>
      </c>
      <c r="G1348" s="116" t="s">
        <v>37</v>
      </c>
      <c r="H1348" s="116" t="s">
        <v>38</v>
      </c>
      <c r="I1348" s="50"/>
    </row>
    <row r="1349" spans="1:9" ht="12.75" hidden="1" customHeight="1" x14ac:dyDescent="0.3">
      <c r="A1349" s="92" t="s">
        <v>0</v>
      </c>
      <c r="B1349" s="117" t="s">
        <v>448</v>
      </c>
      <c r="C1349" s="878" t="str">
        <f>IF($A1349="EQUI",VLOOKUP($B1349,[6]EQUI!B$16:G$46,2,FALSE),IF($A1349="TRAN",VLOOKUP($B1349,[6]TRAN!$B$16:$G$26,2,FALSE),IF(A1349="MAT",VLOOKUP($B1349,[6]MAT!$B$16:$G$189,2,FALSE),IF(A1349="MDEO",VLOOKUP($B1349,[6]MDEO!$B$16:$I$21,2,FALSE)))))</f>
        <v xml:space="preserve">ESPECIE DURANTA VERDE </v>
      </c>
      <c r="D1349" s="878"/>
      <c r="E1349" s="123" t="str">
        <f>IF($A1349="EQUI",VLOOKUP($B1349,[6]EQUI!A$16:F$46,3,FALSE),IF($A1349="TRAN",VLOOKUP($B1349,[6]TRAN!$B$16:$G$26,3,FALSE),IF($A1349="MAT",VLOOKUP($B1349,[6]MAT!$B$16:$G$189,3,FALSE),IF($A1349="MDEO",VLOOKUP($B1349,[6]MDEO!$B$16:$I$21,3,FALSE)))))</f>
        <v>UN</v>
      </c>
      <c r="F1349" s="123">
        <f>IF($A1349="EQUI",VLOOKUP($B1349,[6]EQUI!B$16:G$46,4,FALSE),IF($A1349="TRAN",VLOOKUP($B1349,[6]TRAN!$B$16:$G$26,4,FALSE),IF($A1349="MAT",VLOOKUP($B1349,[6]MAT!$B$16:$G$189,4,FALSE),IF($A1349="MDEO",VLOOKUP($B1349,[6]MDEO!$B$16:$I$21,4,FALSE)))))</f>
        <v>4800</v>
      </c>
      <c r="G1349" s="115">
        <v>8</v>
      </c>
      <c r="H1349" s="118">
        <f t="shared" ref="H1349:H1354" si="5">+F1349*G1349</f>
        <v>38400</v>
      </c>
      <c r="I1349" s="50"/>
    </row>
    <row r="1350" spans="1:9" ht="12.75" hidden="1" customHeight="1" x14ac:dyDescent="0.3">
      <c r="A1350" s="92" t="s">
        <v>0</v>
      </c>
      <c r="B1350" s="117" t="s">
        <v>449</v>
      </c>
      <c r="C1350" s="878" t="str">
        <f>IF($A1350="EQUI",VLOOKUP($B1350,[6]EQUI!B$16:G$46,2,FALSE),IF($A1350="TRAN",VLOOKUP($B1350,[6]TRAN!$B$16:$G$26,2,FALSE),IF(A1350="MAT",VLOOKUP($B1350,[6]MAT!$B$16:$G$189,2,FALSE),IF(A1350="MDEO",VLOOKUP($B1350,[6]MDEO!$B$16:$I$21,2,FALSE)))))</f>
        <v>ESPECIE DURANTA ROJA</v>
      </c>
      <c r="D1350" s="878"/>
      <c r="E1350" s="123" t="str">
        <f>IF($A1350="EQUI",VLOOKUP($B1350,[6]EQUI!A$16:F$46,3,FALSE),IF($A1350="TRAN",VLOOKUP($B1350,[6]TRAN!$B$16:$G$26,3,FALSE),IF($A1350="MAT",VLOOKUP($B1350,[6]MAT!$B$16:$G$189,3,FALSE),IF($A1350="MDEO",VLOOKUP($B1350,[6]MDEO!$B$16:$I$21,3,FALSE)))))</f>
        <v>UN</v>
      </c>
      <c r="F1350" s="123">
        <f>IF($A1350="EQUI",VLOOKUP($B1350,[6]EQUI!B$16:G$46,4,FALSE),IF($A1350="TRAN",VLOOKUP($B1350,[6]TRAN!$B$16:$G$26,4,FALSE),IF($A1350="MAT",VLOOKUP($B1350,[6]MAT!$B$16:$G$189,4,FALSE),IF($A1350="MDEO",VLOOKUP($B1350,[6]MDEO!$B$16:$I$21,4,FALSE)))))</f>
        <v>4800</v>
      </c>
      <c r="G1350" s="115">
        <v>8</v>
      </c>
      <c r="H1350" s="118">
        <f t="shared" si="5"/>
        <v>38400</v>
      </c>
      <c r="I1350" s="50"/>
    </row>
    <row r="1351" spans="1:9" ht="12.75" hidden="1" customHeight="1" x14ac:dyDescent="0.3">
      <c r="A1351" s="92" t="s">
        <v>0</v>
      </c>
      <c r="B1351" s="117" t="s">
        <v>450</v>
      </c>
      <c r="C1351" s="878" t="str">
        <f>IF($A1351="EQUI",VLOOKUP($B1351,[6]EQUI!B$16:G$46,2,FALSE),IF($A1351="TRAN",VLOOKUP($B1351,[6]TRAN!$B$16:$G$26,2,FALSE),IF(A1351="MAT",VLOOKUP($B1351,[6]MAT!$B$16:$G$189,2,FALSE),IF(A1351="MDEO",VLOOKUP($B1351,[6]MDEO!$B$16:$I$21,2,FALSE)))))</f>
        <v>ESPECIE OITI</v>
      </c>
      <c r="D1351" s="878"/>
      <c r="E1351" s="123" t="str">
        <f>IF($A1351="EQUI",VLOOKUP($B1351,[6]EQUI!A$16:F$46,3,FALSE),IF($A1351="TRAN",VLOOKUP($B1351,[6]TRAN!$B$16:$G$26,3,FALSE),IF($A1351="MAT",VLOOKUP($B1351,[6]MAT!$B$16:$G$189,3,FALSE),IF($A1351="MDEO",VLOOKUP($B1351,[6]MDEO!$B$16:$I$21,3,FALSE)))))</f>
        <v>UN</v>
      </c>
      <c r="F1351" s="123">
        <f>IF($A1351="EQUI",VLOOKUP($B1351,[6]EQUI!B$16:G$46,4,FALSE),IF($A1351="TRAN",VLOOKUP($B1351,[6]TRAN!$B$16:$G$26,4,FALSE),IF($A1351="MAT",VLOOKUP($B1351,[6]MAT!$B$16:$G$189,4,FALSE),IF($A1351="MDEO",VLOOKUP($B1351,[6]MDEO!$B$16:$I$21,4,FALSE)))))</f>
        <v>33600</v>
      </c>
      <c r="G1351" s="115">
        <v>1</v>
      </c>
      <c r="H1351" s="118">
        <f t="shared" si="5"/>
        <v>33600</v>
      </c>
      <c r="I1351" s="50"/>
    </row>
    <row r="1352" spans="1:9" ht="12.75" hidden="1" customHeight="1" x14ac:dyDescent="0.3">
      <c r="A1352" s="92" t="s">
        <v>0</v>
      </c>
      <c r="B1352" s="117" t="s">
        <v>151</v>
      </c>
      <c r="C1352" s="878" t="str">
        <f>IF($A1352="EQUI",VLOOKUP($B1352,[6]EQUI!B$16:G$46,2,FALSE),IF($A1352="TRAN",VLOOKUP($B1352,[6]TRAN!$B$16:$G$26,2,FALSE),IF(A1352="MAT",VLOOKUP($B1352,[6]MAT!$B$16:$G$194,2,FALSE),IF(A1352="MDEO",VLOOKUP($B1352,[6]MDEO!$B$16:$I$21,2,FALSE)))))</f>
        <v xml:space="preserve">FERTILIZANTE FÓSFORO </v>
      </c>
      <c r="D1352" s="878"/>
      <c r="E1352" s="123" t="str">
        <f>IF($A1352="EQUI",VLOOKUP($B1352,[6]EQUI!A$16:F$46,3,FALSE),IF($A1352="TRAN",VLOOKUP($B1352,[6]TRAN!$B$16:$G$26,3,FALSE),IF($A1352="MAT",VLOOKUP($B1352,[6]MAT!$B$16:$G$194,3,FALSE),IF($A1352="MDEO",VLOOKUP($B1352,[6]MDEO!$B$16:$I$21,3,FALSE)))))</f>
        <v>BULTO</v>
      </c>
      <c r="F1352" s="123">
        <f>IF($A1352="EQUI",VLOOKUP($B1352,[6]EQUI!B$16:G$46,4,FALSE),IF($A1352="TRAN",VLOOKUP($B1352,[6]TRAN!$B$16:$G$26,4,FALSE),IF($A1352="MAT",VLOOKUP($B1352,[6]MAT!$B$16:$G$194,4,FALSE),IF($A1352="MDEO",VLOOKUP($B1352,[6]MDEO!$B$16:$I$21,4,FALSE)))))</f>
        <v>110000</v>
      </c>
      <c r="G1352" s="115">
        <v>0.1</v>
      </c>
      <c r="H1352" s="118">
        <f t="shared" si="5"/>
        <v>11000</v>
      </c>
      <c r="I1352" s="50"/>
    </row>
    <row r="1353" spans="1:9" ht="12.75" hidden="1" customHeight="1" x14ac:dyDescent="0.3">
      <c r="A1353" s="92" t="s">
        <v>0</v>
      </c>
      <c r="B1353" s="117" t="s">
        <v>152</v>
      </c>
      <c r="C1353" s="878" t="str">
        <f>IF($A1353="EQUI",VLOOKUP($B1353,[6]EQUI!B$16:G$46,2,FALSE),IF($A1353="TRAN",VLOOKUP($B1353,[6]TRAN!$B$16:$G$26,2,FALSE),IF(A1353="MAT",VLOOKUP($B1353,[6]MAT!$B$16:$G$194,2,FALSE),IF(A1353="MDEO",VLOOKUP($B1353,[6]MDEO!$B$16:$I$21,2,FALSE)))))</f>
        <v>FERTILIZANTE Urea</v>
      </c>
      <c r="D1353" s="878"/>
      <c r="E1353" s="123" t="str">
        <f>IF($A1353="EQUI",VLOOKUP($B1353,[6]EQUI!A$16:F$46,3,FALSE),IF($A1353="TRAN",VLOOKUP($B1353,[6]TRAN!$B$16:$G$26,3,FALSE),IF($A1353="MAT",VLOOKUP($B1353,[6]MAT!$B$16:$G$194,3,FALSE),IF($A1353="MDEO",VLOOKUP($B1353,[6]MDEO!$B$16:$I$21,3,FALSE)))))</f>
        <v>BULTO</v>
      </c>
      <c r="F1353" s="123">
        <f>IF($A1353="EQUI",VLOOKUP($B1353,[6]EQUI!B$16:G$46,4,FALSE),IF($A1353="TRAN",VLOOKUP($B1353,[6]TRAN!$B$16:$G$26,4,FALSE),IF($A1353="MAT",VLOOKUP($B1353,[6]MAT!$B$16:$G$194,4,FALSE),IF($A1353="MDEO",VLOOKUP($B1353,[6]MDEO!$B$16:$I$21,4,FALSE)))))</f>
        <v>95000</v>
      </c>
      <c r="G1353" s="115">
        <v>0.1</v>
      </c>
      <c r="H1353" s="118">
        <f t="shared" si="5"/>
        <v>9500</v>
      </c>
      <c r="I1353" s="50"/>
    </row>
    <row r="1354" spans="1:9" ht="12.75" hidden="1" customHeight="1" x14ac:dyDescent="0.3">
      <c r="A1354" s="92" t="s">
        <v>0</v>
      </c>
      <c r="B1354" s="117" t="s">
        <v>446</v>
      </c>
      <c r="C1354" s="878" t="str">
        <f>IF($A1354="EQUI",VLOOKUP($B1354,[6]EQUI!B$16:G$46,2,FALSE),IF($A1354="TRAN",VLOOKUP($B1354,[6]TRAN!$B$16:$G$26,2,FALSE),IF(A1354="MAT",VLOOKUP($B1354,[6]MAT!$B$16:$G$189,2,FALSE),IF(A1354="MDEO",VLOOKUP($B1354,[6]MDEO!$B$16:$I$21,2,FALSE)))))</f>
        <v>BULTO TIERRA</v>
      </c>
      <c r="D1354" s="878"/>
      <c r="E1354" s="123" t="str">
        <f>IF($A1354="EQUI",VLOOKUP($B1354,[6]EQUI!A$16:F$46,3,FALSE),IF($A1354="TRAN",VLOOKUP($B1354,[6]TRAN!$B$16:$G$26,3,FALSE),IF($A1354="MAT",VLOOKUP($B1354,[6]MAT!$B$16:$G$189,3,FALSE),IF($A1354="MDEO",VLOOKUP($B1354,[6]MDEO!$B$16:$I$21,3,FALSE)))))</f>
        <v>BULTO</v>
      </c>
      <c r="F1354" s="123">
        <f>IF($A1354="EQUI",VLOOKUP($B1354,[6]EQUI!B$16:G$46,4,FALSE),IF($A1354="TRAN",VLOOKUP($B1354,[6]TRAN!$B$16:$G$26,4,FALSE),IF($A1354="MAT",VLOOKUP($B1354,[6]MAT!$B$16:$G$189,4,FALSE),IF($A1354="MDEO",VLOOKUP($B1354,[6]MDEO!$B$16:$I$21,4,FALSE)))))</f>
        <v>15000</v>
      </c>
      <c r="G1354" s="115">
        <v>0.3</v>
      </c>
      <c r="H1354" s="118">
        <f t="shared" si="5"/>
        <v>4500</v>
      </c>
      <c r="I1354" s="50"/>
    </row>
    <row r="1355" spans="1:9" ht="12.75" hidden="1" customHeight="1" x14ac:dyDescent="0.3">
      <c r="A1355" s="49"/>
      <c r="B1355" s="115"/>
      <c r="C1355" s="115"/>
      <c r="D1355" s="115"/>
      <c r="E1355" s="115"/>
      <c r="F1355" s="120" t="s">
        <v>32</v>
      </c>
      <c r="G1355" s="121" t="str">
        <f>+B1339</f>
        <v>5.5</v>
      </c>
      <c r="H1355" s="121" t="s">
        <v>372</v>
      </c>
      <c r="I1355" s="48">
        <f>SUM(H1349:H1354)</f>
        <v>135400</v>
      </c>
    </row>
    <row r="1356" spans="1:9" ht="12.75" hidden="1" customHeight="1" x14ac:dyDescent="0.3">
      <c r="A1356" s="47" t="s">
        <v>15</v>
      </c>
      <c r="B1356" s="3"/>
      <c r="C1356" s="115"/>
      <c r="D1356" s="115"/>
      <c r="E1356" s="115"/>
      <c r="F1356" s="115"/>
      <c r="G1356" s="115"/>
      <c r="H1356" s="115"/>
      <c r="I1356" s="50"/>
    </row>
    <row r="1357" spans="1:9" ht="12.75" hidden="1" customHeight="1" x14ac:dyDescent="0.3">
      <c r="A1357" s="879" t="s">
        <v>19</v>
      </c>
      <c r="B1357" s="868"/>
      <c r="C1357" s="868"/>
      <c r="D1357" s="116" t="s">
        <v>43</v>
      </c>
      <c r="E1357" s="116" t="s">
        <v>44</v>
      </c>
      <c r="F1357" s="123" t="s">
        <v>45</v>
      </c>
      <c r="G1357" s="116" t="s">
        <v>17</v>
      </c>
      <c r="H1357" s="116" t="s">
        <v>30</v>
      </c>
      <c r="I1357" s="50"/>
    </row>
    <row r="1358" spans="1:9" ht="12.75" hidden="1" customHeight="1" x14ac:dyDescent="0.3">
      <c r="A1358" s="51"/>
      <c r="B1358" s="117"/>
      <c r="C1358" s="133"/>
      <c r="D1358" s="123"/>
      <c r="E1358" s="123"/>
      <c r="F1358" s="123"/>
      <c r="G1358" s="116"/>
      <c r="H1358" s="118"/>
      <c r="I1358" s="50"/>
    </row>
    <row r="1359" spans="1:9" ht="12.75" hidden="1" customHeight="1" x14ac:dyDescent="0.3">
      <c r="A1359" s="51"/>
      <c r="B1359" s="117"/>
      <c r="C1359" s="133"/>
      <c r="D1359" s="123"/>
      <c r="E1359" s="123"/>
      <c r="F1359" s="123"/>
      <c r="G1359" s="116"/>
      <c r="H1359" s="118"/>
      <c r="I1359" s="50"/>
    </row>
    <row r="1360" spans="1:9" ht="12.75" hidden="1" customHeight="1" x14ac:dyDescent="0.3">
      <c r="A1360" s="49"/>
      <c r="B1360" s="115"/>
      <c r="C1360" s="115"/>
      <c r="D1360" s="115"/>
      <c r="E1360" s="115"/>
      <c r="F1360" s="120" t="s">
        <v>32</v>
      </c>
      <c r="G1360" s="121" t="str">
        <f>+B1339</f>
        <v>5.5</v>
      </c>
      <c r="H1360" s="121" t="s">
        <v>375</v>
      </c>
      <c r="I1360" s="48">
        <f>SUM(H1358:H1359)</f>
        <v>0</v>
      </c>
    </row>
    <row r="1361" spans="1:9" ht="12.75" hidden="1" customHeight="1" x14ac:dyDescent="0.3">
      <c r="A1361" s="47"/>
      <c r="B1361" s="3"/>
      <c r="C1361" s="115"/>
      <c r="D1361" s="115"/>
      <c r="E1361" s="115"/>
      <c r="F1361" s="115"/>
      <c r="G1361" s="115"/>
      <c r="H1361" s="115"/>
      <c r="I1361" s="50"/>
    </row>
    <row r="1362" spans="1:9" ht="12.75" hidden="1" customHeight="1" x14ac:dyDescent="0.3">
      <c r="A1362" s="882" t="s">
        <v>18</v>
      </c>
      <c r="B1362" s="883"/>
      <c r="C1362" s="883"/>
      <c r="D1362" s="140" t="s">
        <v>48</v>
      </c>
      <c r="E1362" s="140" t="s">
        <v>109</v>
      </c>
      <c r="F1362" s="141" t="s">
        <v>250</v>
      </c>
      <c r="G1362" s="142" t="s">
        <v>251</v>
      </c>
      <c r="H1362" s="140" t="s">
        <v>252</v>
      </c>
      <c r="I1362" s="52"/>
    </row>
    <row r="1363" spans="1:9" ht="12.75" hidden="1" customHeight="1" x14ac:dyDescent="0.3">
      <c r="A1363" s="51" t="s">
        <v>4</v>
      </c>
      <c r="B1363" s="131" t="s">
        <v>175</v>
      </c>
      <c r="C1363" s="126" t="str">
        <f>IF($A1363="EQUI",VLOOKUP($B1363,[6]EQUI!B$16:G$46,2,FALSE),IF($A1363="TRAN",VLOOKUP($B1363,[6]TRAN!$B$16:$G$26,2,FALSE),IF($A1363="MAT",VLOOKUP($B1363,[6]MAT!$B$16:$G$83,2,FALSE),IF($A1363="MDEO",VLOOKUP($B1363,[6]MDEO!$B$16:$I$21,2,FALSE)))))</f>
        <v>OFICIAL</v>
      </c>
      <c r="D1363" s="31">
        <f>IF($A1363="EQUI",VLOOKUP($B1363,[6]EQUI!B$16:G$46,3,FALSE),IF($A1363="TRAN",VLOOKUP($B1363,[6]TRAN!$B$16:$G$26,3,FALSE),IF($A1363="MAT",VLOOKUP($B1363,[6]MAT!$B$16:$G$83,3,FALSE),IF($A1363="MDEO",VLOOKUP($B1363,[6]MDEO!$B$16:$I$21,3,FALSE)))))</f>
        <v>9301.6465000000026</v>
      </c>
      <c r="E1363" s="127">
        <f>IF($A1363="EQUI",VLOOKUP($B1363,[6]EQUI!B$16:G$46,4,FALSE),IF($A1363="TRAN",VLOOKUP($B1363,[6]TRAN!$B$16:$G$26,4,FALSE),IF($A1363="MAT",VLOOKUP($B1363,[6]MAT!$B$16:$G$83,4,FALSE),IF($A1363="MDEO",VLOOKUP($B1363,[6]MDEO!$B$16:$I$21,5,FALSE)))))</f>
        <v>0.56000000000000005</v>
      </c>
      <c r="F1363" s="32">
        <f>+D1363+D1363*E1363</f>
        <v>14510.568540000004</v>
      </c>
      <c r="G1363" s="130">
        <v>1.2</v>
      </c>
      <c r="H1363" s="128">
        <f>G1363*F1363</f>
        <v>17412.682248000005</v>
      </c>
      <c r="I1363" s="50"/>
    </row>
    <row r="1364" spans="1:9" ht="12.75" hidden="1" customHeight="1" x14ac:dyDescent="0.3">
      <c r="A1364" s="51" t="s">
        <v>4</v>
      </c>
      <c r="B1364" s="131" t="s">
        <v>176</v>
      </c>
      <c r="C1364" s="126" t="str">
        <f>IF($A1364="EQUI",VLOOKUP($B1364,[6]EQUI!B$16:G$46,2,FALSE),IF($A1364="TRAN",VLOOKUP($B1364,[6]TRAN!$B$16:$G$26,2,FALSE),IF($A1364="MAT",VLOOKUP($B1364,[6]MAT!$B$16:$G$83,2,FALSE),IF($A1364="MDEO",VLOOKUP($B1364,[6]MDEO!$B$16:$I$21,2,FALSE)))))</f>
        <v>AYUDANTE ENTENDIDO</v>
      </c>
      <c r="D1364" s="31">
        <f>IF($A1364="EQUI",VLOOKUP($B1364,[6]EQUI!B$16:G$46,3,FALSE),IF($A1364="TRAN",VLOOKUP($B1364,[6]TRAN!$B$16:$G$26,3,FALSE),IF($A1364="MAT",VLOOKUP($B1364,[6]MAT!$B$16:$G$83,3,FALSE),IF($A1364="MDEO",VLOOKUP($B1364,[6]MDEO!$B$16:$I$21,3,FALSE)))))</f>
        <v>8051.6465000000007</v>
      </c>
      <c r="E1364" s="127">
        <f>IF($A1364="EQUI",VLOOKUP($B1364,[6]EQUI!B$16:G$46,4,FALSE),IF($A1364="TRAN",VLOOKUP($B1364,[6]TRAN!$B$16:$G$26,4,FALSE),IF($A1364="MAT",VLOOKUP($B1364,[6]MAT!$B$16:$G$83,4,FALSE),IF($A1364="MDEO",VLOOKUP($B1364,[6]MDEO!$B$16:$I$21,5,FALSE)))))</f>
        <v>0.56000000000000005</v>
      </c>
      <c r="F1364" s="32">
        <f>+D1364+D1364*E1364</f>
        <v>12560.568540000002</v>
      </c>
      <c r="G1364" s="130">
        <v>1.2</v>
      </c>
      <c r="H1364" s="128">
        <f>G1364*F1364</f>
        <v>15072.682248000001</v>
      </c>
      <c r="I1364" s="50"/>
    </row>
    <row r="1365" spans="1:9" ht="12.75" hidden="1" customHeight="1" x14ac:dyDescent="0.3">
      <c r="A1365" s="51" t="s">
        <v>4</v>
      </c>
      <c r="B1365" s="131" t="s">
        <v>177</v>
      </c>
      <c r="C1365" s="126" t="str">
        <f>IF($A1365="EQUI",VLOOKUP($B1365,[6]EQUI!B$16:G$46,2,FALSE),IF($A1365="TRAN",VLOOKUP($B1365,[6]TRAN!$B$16:$G$26,2,FALSE),IF($A1365="MAT",VLOOKUP($B1365,[6]MAT!$B$16:$G$83,2,FALSE),IF($A1365="MDEO",VLOOKUP($B1365,[6]MDEO!$B$16:$I$21,2,FALSE)))))</f>
        <v>AYUDANTE</v>
      </c>
      <c r="D1365" s="31">
        <f>IF($A1365="EQUI",VLOOKUP($B1365,[6]EQUI!B$16:G$46,3,FALSE),IF($A1365="TRAN",VLOOKUP($B1365,[6]TRAN!$B$16:$G$26,3,FALSE),IF($A1365="MAT",VLOOKUP($B1365,[6]MAT!$B$16:$G$83,3,FALSE),IF($A1365="MDEO",VLOOKUP($B1365,[6]MDEO!$B$16:$I$21,3,FALSE)))))</f>
        <v>6801.6465000000007</v>
      </c>
      <c r="E1365" s="127">
        <f>IF($A1365="EQUI",VLOOKUP($B1365,[6]EQUI!B$16:G$46,4,FALSE),IF($A1365="TRAN",VLOOKUP($B1365,[6]TRAN!$B$16:$G$26,4,FALSE),IF($A1365="MAT",VLOOKUP($B1365,[6]MAT!$B$16:$G$83,4,FALSE),IF($A1365="MDEO",VLOOKUP($B1365,[6]MDEO!$B$16:$I$21,5,FALSE)))))</f>
        <v>0.56000000000000005</v>
      </c>
      <c r="F1365" s="32">
        <f>+D1365+D1365*E1365</f>
        <v>10610.568540000002</v>
      </c>
      <c r="G1365" s="130">
        <v>2.4</v>
      </c>
      <c r="H1365" s="128">
        <f>G1365*F1365</f>
        <v>25465.364496000006</v>
      </c>
      <c r="I1365" s="50"/>
    </row>
    <row r="1366" spans="1:9" ht="12.75" hidden="1" customHeight="1" x14ac:dyDescent="0.3">
      <c r="A1366" s="51"/>
      <c r="B1366" s="131"/>
      <c r="C1366" s="126"/>
      <c r="D1366" s="31"/>
      <c r="E1366" s="127"/>
      <c r="F1366" s="32"/>
      <c r="G1366" s="130"/>
      <c r="H1366" s="128"/>
      <c r="I1366" s="50"/>
    </row>
    <row r="1367" spans="1:9" ht="12.75" hidden="1" customHeight="1" x14ac:dyDescent="0.3">
      <c r="A1367" s="51"/>
      <c r="B1367" s="131"/>
      <c r="C1367" s="126"/>
      <c r="D1367" s="31"/>
      <c r="E1367" s="127"/>
      <c r="F1367" s="32"/>
      <c r="G1367" s="130"/>
      <c r="H1367" s="128"/>
      <c r="I1367" s="50"/>
    </row>
    <row r="1368" spans="1:9" ht="12.75" hidden="1" customHeight="1" x14ac:dyDescent="0.3">
      <c r="A1368" s="879"/>
      <c r="B1368" s="868"/>
      <c r="C1368" s="115"/>
      <c r="D1368" s="115"/>
      <c r="E1368" s="115"/>
      <c r="F1368" s="115"/>
      <c r="G1368" s="115"/>
      <c r="H1368" s="115"/>
      <c r="I1368" s="50"/>
    </row>
    <row r="1369" spans="1:9" ht="12.75" hidden="1" customHeight="1" x14ac:dyDescent="0.3">
      <c r="A1369" s="49"/>
      <c r="B1369" s="115"/>
      <c r="C1369" s="115"/>
      <c r="D1369" s="115"/>
      <c r="E1369" s="115"/>
      <c r="F1369" s="120" t="s">
        <v>32</v>
      </c>
      <c r="G1369" s="121" t="str">
        <f>+B1339</f>
        <v>5.5</v>
      </c>
      <c r="H1369" s="120" t="s">
        <v>378</v>
      </c>
      <c r="I1369" s="48">
        <f>SUM(H1363:H1368)</f>
        <v>57950.728992000011</v>
      </c>
    </row>
    <row r="1370" spans="1:9" ht="12.75" hidden="1" customHeight="1" x14ac:dyDescent="0.3">
      <c r="A1370" s="49" t="s">
        <v>54</v>
      </c>
      <c r="B1370" s="115"/>
      <c r="C1370" s="115"/>
      <c r="D1370" s="115"/>
      <c r="E1370" s="115"/>
      <c r="F1370" s="115"/>
      <c r="G1370" s="115"/>
      <c r="H1370" s="116"/>
      <c r="I1370" s="48">
        <f>I1369*0.05</f>
        <v>2897.5364496000007</v>
      </c>
    </row>
    <row r="1371" spans="1:9" ht="12.75" hidden="1" customHeight="1" x14ac:dyDescent="0.3">
      <c r="A1371" s="49"/>
      <c r="B1371" s="115"/>
      <c r="C1371" s="115"/>
      <c r="D1371" s="115"/>
      <c r="E1371" s="115"/>
      <c r="F1371" s="120" t="s">
        <v>55</v>
      </c>
      <c r="G1371" s="116"/>
      <c r="H1371" s="116"/>
      <c r="I1371" s="48">
        <f>ROUND(I1369+I1370+I1355+I1346+I1360,0)</f>
        <v>196248</v>
      </c>
    </row>
    <row r="1372" spans="1:9" ht="12.75" hidden="1" customHeight="1" x14ac:dyDescent="0.3">
      <c r="A1372" s="879" t="s">
        <v>56</v>
      </c>
      <c r="B1372" s="868"/>
      <c r="C1372" s="868"/>
      <c r="D1372" s="868"/>
      <c r="E1372" s="868" t="s">
        <v>57</v>
      </c>
      <c r="F1372" s="868"/>
      <c r="G1372" s="875" t="s">
        <v>58</v>
      </c>
      <c r="H1372" s="875"/>
      <c r="I1372" s="48"/>
    </row>
    <row r="1373" spans="1:9" ht="12.75" hidden="1" customHeight="1" x14ac:dyDescent="0.3">
      <c r="A1373" s="879" t="s">
        <v>208</v>
      </c>
      <c r="B1373" s="868"/>
      <c r="C1373" s="868"/>
      <c r="D1373" s="868"/>
      <c r="E1373" s="876">
        <v>0.02</v>
      </c>
      <c r="F1373" s="876"/>
      <c r="G1373" s="875">
        <f>+I1371*E1373</f>
        <v>3924.96</v>
      </c>
      <c r="H1373" s="875"/>
      <c r="I1373" s="48"/>
    </row>
    <row r="1374" spans="1:9" ht="12.75" hidden="1" customHeight="1" x14ac:dyDescent="0.3">
      <c r="A1374" s="879" t="s">
        <v>5</v>
      </c>
      <c r="B1374" s="868"/>
      <c r="C1374" s="868"/>
      <c r="D1374" s="868"/>
      <c r="E1374" s="876">
        <v>0.23</v>
      </c>
      <c r="F1374" s="876"/>
      <c r="G1374" s="875">
        <f>+E1374*I1371</f>
        <v>45137.04</v>
      </c>
      <c r="H1374" s="875"/>
      <c r="I1374" s="48"/>
    </row>
    <row r="1375" spans="1:9" ht="12.75" hidden="1" customHeight="1" x14ac:dyDescent="0.3">
      <c r="A1375" s="879" t="s">
        <v>6</v>
      </c>
      <c r="B1375" s="868"/>
      <c r="C1375" s="868"/>
      <c r="D1375" s="868"/>
      <c r="E1375" s="876">
        <v>0.05</v>
      </c>
      <c r="F1375" s="876"/>
      <c r="G1375" s="875">
        <f>+E1375*I1371</f>
        <v>9812.4</v>
      </c>
      <c r="H1375" s="875"/>
      <c r="I1375" s="48"/>
    </row>
    <row r="1376" spans="1:9" ht="12.75" hidden="1" customHeight="1" x14ac:dyDescent="0.3">
      <c r="A1376" s="879" t="s">
        <v>207</v>
      </c>
      <c r="B1376" s="868"/>
      <c r="C1376" s="868"/>
      <c r="D1376" s="868"/>
      <c r="E1376" s="876">
        <v>0.02</v>
      </c>
      <c r="F1376" s="876"/>
      <c r="G1376" s="875">
        <f>+E1376*I1371</f>
        <v>3924.96</v>
      </c>
      <c r="H1376" s="875"/>
      <c r="I1376" s="48"/>
    </row>
    <row r="1377" spans="1:9" ht="12.75" hidden="1" customHeight="1" x14ac:dyDescent="0.3">
      <c r="A1377" s="880" t="s">
        <v>397</v>
      </c>
      <c r="B1377" s="867"/>
      <c r="C1377" s="867"/>
      <c r="D1377" s="867"/>
      <c r="E1377" s="867"/>
      <c r="F1377" s="867"/>
      <c r="G1377" s="867"/>
      <c r="H1377" s="867"/>
      <c r="I1377" s="48">
        <f>+G1376+G1374+G1375+G1373</f>
        <v>62799.360000000001</v>
      </c>
    </row>
    <row r="1378" spans="1:9" ht="12.75" hidden="1" customHeight="1" x14ac:dyDescent="0.3">
      <c r="A1378" s="880" t="s">
        <v>59</v>
      </c>
      <c r="B1378" s="867"/>
      <c r="C1378" s="867"/>
      <c r="D1378" s="867"/>
      <c r="E1378" s="867"/>
      <c r="F1378" s="867"/>
      <c r="G1378" s="867"/>
      <c r="H1378" s="867"/>
      <c r="I1378" s="48">
        <f>+I1377+I1371</f>
        <v>259047.36</v>
      </c>
    </row>
    <row r="1379" spans="1:9" ht="12.75" hidden="1" customHeight="1" x14ac:dyDescent="0.3">
      <c r="A1379" s="93"/>
      <c r="B1379" s="65"/>
      <c r="C1379" s="65"/>
      <c r="D1379" s="65"/>
      <c r="E1379" s="65"/>
      <c r="F1379" s="65"/>
      <c r="G1379" s="65"/>
      <c r="H1379" s="65"/>
      <c r="I1379" s="48"/>
    </row>
    <row r="1380" spans="1:9" ht="12.75" hidden="1" customHeight="1" x14ac:dyDescent="0.3">
      <c r="A1380" s="881" t="s">
        <v>114</v>
      </c>
      <c r="B1380" s="604"/>
      <c r="C1380" s="604"/>
      <c r="D1380" s="65"/>
      <c r="E1380" s="65"/>
      <c r="F1380" s="604" t="s">
        <v>396</v>
      </c>
      <c r="G1380" s="604"/>
      <c r="H1380" s="604"/>
      <c r="I1380" s="894"/>
    </row>
    <row r="1381" spans="1:9" ht="12.75" hidden="1" customHeight="1" x14ac:dyDescent="0.3">
      <c r="A1381" s="92" t="s">
        <v>111</v>
      </c>
      <c r="B1381" s="868"/>
      <c r="C1381" s="868"/>
      <c r="D1381" s="115"/>
      <c r="E1381" s="115"/>
      <c r="F1381" s="116" t="s">
        <v>111</v>
      </c>
      <c r="G1381" s="868"/>
      <c r="H1381" s="868"/>
      <c r="I1381" s="884"/>
    </row>
    <row r="1382" spans="1:9" ht="12.75" hidden="1" customHeight="1" x14ac:dyDescent="0.3">
      <c r="A1382" s="132" t="s">
        <v>115</v>
      </c>
      <c r="B1382" s="868" t="str">
        <f>VLOOKUP(A1382,[6]INICIO!$E$6:$H$26,2,FALSE)</f>
        <v>LINA MARCELA</v>
      </c>
      <c r="C1382" s="868"/>
      <c r="F1382" s="86" t="s">
        <v>112</v>
      </c>
      <c r="G1382" s="868"/>
      <c r="H1382" s="868"/>
      <c r="I1382" s="884"/>
    </row>
    <row r="1383" spans="1:9" ht="12.75" hidden="1" customHeight="1" x14ac:dyDescent="0.3">
      <c r="A1383" s="132" t="s">
        <v>113</v>
      </c>
      <c r="B1383" s="868" t="str">
        <f>VLOOKUP(A1382,[6]INICIO!$E$6:$H$26,4,FALSE)</f>
        <v>05202-316814 ANT</v>
      </c>
      <c r="C1383" s="868"/>
      <c r="F1383" s="86" t="s">
        <v>113</v>
      </c>
      <c r="G1383" s="868"/>
      <c r="H1383" s="868"/>
      <c r="I1383" s="884"/>
    </row>
    <row r="1384" spans="1:9" ht="12.75" hidden="1" customHeight="1" x14ac:dyDescent="0.3">
      <c r="A1384" s="132"/>
      <c r="B1384" s="116"/>
      <c r="C1384" s="116"/>
      <c r="F1384" s="86"/>
      <c r="G1384" s="116"/>
      <c r="H1384" s="116"/>
      <c r="I1384" s="95"/>
    </row>
    <row r="1385" spans="1:9" ht="12.75" hidden="1" customHeight="1" x14ac:dyDescent="0.3">
      <c r="A1385" s="872" t="s">
        <v>110</v>
      </c>
      <c r="B1385" s="869"/>
      <c r="C1385" s="869"/>
      <c r="D1385" s="869"/>
      <c r="E1385" s="869"/>
      <c r="F1385" s="869"/>
      <c r="G1385" s="869"/>
      <c r="H1385" s="869"/>
      <c r="I1385" s="873"/>
    </row>
    <row r="1386" spans="1:9" ht="12.75" hidden="1" customHeight="1" x14ac:dyDescent="0.3">
      <c r="A1386" s="870"/>
      <c r="B1386" s="691"/>
      <c r="C1386" s="691"/>
      <c r="D1386" s="691"/>
      <c r="E1386" s="691"/>
      <c r="F1386" s="691"/>
      <c r="G1386" s="691"/>
      <c r="H1386" s="691"/>
      <c r="I1386" s="871"/>
    </row>
    <row r="1387" spans="1:9" ht="12.75" hidden="1" customHeight="1" x14ac:dyDescent="0.3">
      <c r="A1387" s="872"/>
      <c r="B1387" s="869"/>
      <c r="C1387" s="869"/>
      <c r="D1387" s="869"/>
      <c r="E1387" s="869"/>
      <c r="F1387" s="869"/>
      <c r="G1387" s="869"/>
      <c r="H1387" s="869"/>
      <c r="I1387" s="873"/>
    </row>
    <row r="1388" spans="1:9" ht="21" hidden="1" customHeight="1" x14ac:dyDescent="0.3"/>
    <row r="1389" spans="1:9" ht="12.75" hidden="1" customHeight="1" x14ac:dyDescent="0.3">
      <c r="A1389" s="881" t="s">
        <v>68</v>
      </c>
      <c r="B1389" s="604"/>
      <c r="C1389" s="604"/>
      <c r="D1389" s="604"/>
      <c r="E1389" s="604"/>
      <c r="F1389" s="604"/>
      <c r="G1389" s="604"/>
      <c r="H1389" s="604"/>
      <c r="I1389" s="894"/>
    </row>
    <row r="1390" spans="1:9" ht="12.75" hidden="1" customHeight="1" x14ac:dyDescent="0.3">
      <c r="A1390" s="94" t="s">
        <v>69</v>
      </c>
      <c r="B1390" s="112" t="s">
        <v>452</v>
      </c>
      <c r="C1390" s="604" t="s">
        <v>70</v>
      </c>
      <c r="D1390" s="874" t="str">
        <f>VLOOKUP(B1390,[6]PRESUPUESTO!$A$18:$I$90,3,FALSE)</f>
        <v>ESPECIES Y JARDINERIA TIPO III</v>
      </c>
      <c r="E1390" s="874"/>
      <c r="F1390" s="874"/>
      <c r="G1390" s="874"/>
      <c r="H1390" s="874"/>
      <c r="I1390" s="877"/>
    </row>
    <row r="1391" spans="1:9" ht="12.75" hidden="1" customHeight="1" x14ac:dyDescent="0.3">
      <c r="A1391" s="94" t="s">
        <v>71</v>
      </c>
      <c r="B1391" s="112" t="str">
        <f>VLOOKUP(B1390,[6]PRESUPUESTO!$A$18:$I$90,2,FALSE)</f>
        <v>820-13C</v>
      </c>
      <c r="C1391" s="604"/>
      <c r="D1391" s="140" t="s">
        <v>12</v>
      </c>
      <c r="E1391" s="113" t="s">
        <v>12</v>
      </c>
      <c r="F1391" s="113" t="s">
        <v>13</v>
      </c>
      <c r="G1391" s="113" t="e">
        <f>VLOOKUP(B1391,[6]PRESUPUESTO!$B$15:$I$1222,5,FALSE)</f>
        <v>#N/A</v>
      </c>
      <c r="H1391" s="114" t="s">
        <v>27</v>
      </c>
      <c r="I1391" s="46">
        <f>+I1421</f>
        <v>203436</v>
      </c>
    </row>
    <row r="1392" spans="1:9" ht="12.75" hidden="1" customHeight="1" x14ac:dyDescent="0.3">
      <c r="A1392" s="47" t="s">
        <v>14</v>
      </c>
      <c r="B1392" s="3"/>
      <c r="C1392" s="115"/>
      <c r="D1392" s="115"/>
      <c r="E1392" s="115"/>
      <c r="F1392" s="115"/>
      <c r="G1392" s="115"/>
      <c r="H1392" s="115"/>
      <c r="I1392" s="48"/>
    </row>
    <row r="1393" spans="1:9" ht="12.75" hidden="1" customHeight="1" x14ac:dyDescent="0.3">
      <c r="A1393" s="879" t="s">
        <v>19</v>
      </c>
      <c r="B1393" s="868"/>
      <c r="C1393" s="868"/>
      <c r="D1393" s="868"/>
      <c r="E1393" s="868"/>
      <c r="F1393" s="116" t="s">
        <v>28</v>
      </c>
      <c r="G1393" s="116" t="s">
        <v>29</v>
      </c>
      <c r="H1393" s="116" t="s">
        <v>30</v>
      </c>
      <c r="I1393" s="50"/>
    </row>
    <row r="1394" spans="1:9" ht="12.75" hidden="1" customHeight="1" x14ac:dyDescent="0.3">
      <c r="A1394" s="92" t="s">
        <v>1</v>
      </c>
      <c r="B1394" s="117" t="s">
        <v>90</v>
      </c>
      <c r="C1394" s="878"/>
      <c r="D1394" s="878"/>
      <c r="E1394" s="878"/>
      <c r="F1394" s="123"/>
      <c r="G1394" s="115"/>
      <c r="H1394" s="118"/>
      <c r="I1394" s="50"/>
    </row>
    <row r="1395" spans="1:9" ht="12.75" hidden="1" customHeight="1" x14ac:dyDescent="0.3">
      <c r="A1395" s="92" t="s">
        <v>1</v>
      </c>
      <c r="B1395" s="117" t="s">
        <v>86</v>
      </c>
      <c r="C1395" s="878"/>
      <c r="D1395" s="878"/>
      <c r="E1395" s="878"/>
      <c r="F1395" s="123"/>
      <c r="G1395" s="115"/>
      <c r="H1395" s="118"/>
      <c r="I1395" s="50"/>
    </row>
    <row r="1396" spans="1:9" ht="12.75" hidden="1" customHeight="1" x14ac:dyDescent="0.3">
      <c r="A1396" s="92" t="s">
        <v>1</v>
      </c>
      <c r="B1396" s="117" t="s">
        <v>98</v>
      </c>
      <c r="C1396" s="878"/>
      <c r="D1396" s="878"/>
      <c r="E1396" s="878"/>
      <c r="F1396" s="123"/>
      <c r="G1396" s="115"/>
      <c r="H1396" s="118"/>
      <c r="I1396" s="50"/>
    </row>
    <row r="1397" spans="1:9" ht="12.75" hidden="1" customHeight="1" x14ac:dyDescent="0.3">
      <c r="A1397" s="49"/>
      <c r="B1397" s="115"/>
      <c r="C1397" s="115"/>
      <c r="D1397" s="115"/>
      <c r="E1397" s="115"/>
      <c r="F1397" s="120" t="s">
        <v>32</v>
      </c>
      <c r="G1397" s="121" t="str">
        <f>+B1390</f>
        <v>5.6</v>
      </c>
      <c r="H1397" s="121" t="s">
        <v>369</v>
      </c>
      <c r="I1397" s="48">
        <f>SUM(H1394:H1396)</f>
        <v>0</v>
      </c>
    </row>
    <row r="1398" spans="1:9" ht="12.75" hidden="1" customHeight="1" x14ac:dyDescent="0.3">
      <c r="A1398" s="47" t="s">
        <v>34</v>
      </c>
      <c r="B1398" s="3"/>
      <c r="C1398" s="115"/>
      <c r="D1398" s="115"/>
      <c r="E1398" s="115"/>
      <c r="F1398" s="115"/>
      <c r="G1398" s="115"/>
      <c r="H1398" s="115"/>
      <c r="I1398" s="50"/>
    </row>
    <row r="1399" spans="1:9" ht="12.75" hidden="1" customHeight="1" x14ac:dyDescent="0.3">
      <c r="A1399" s="879" t="s">
        <v>35</v>
      </c>
      <c r="B1399" s="868"/>
      <c r="C1399" s="868"/>
      <c r="D1399" s="868"/>
      <c r="E1399" s="116" t="s">
        <v>12</v>
      </c>
      <c r="F1399" s="116" t="s">
        <v>36</v>
      </c>
      <c r="G1399" s="116" t="s">
        <v>37</v>
      </c>
      <c r="H1399" s="116" t="s">
        <v>38</v>
      </c>
      <c r="I1399" s="50"/>
    </row>
    <row r="1400" spans="1:9" ht="12.75" hidden="1" customHeight="1" x14ac:dyDescent="0.3">
      <c r="A1400" s="92" t="s">
        <v>0</v>
      </c>
      <c r="B1400" s="117" t="s">
        <v>451</v>
      </c>
      <c r="C1400" s="878" t="str">
        <f>IF($A1400="EQUI",VLOOKUP($B1400,[6]EQUI!B$16:G$46,2,FALSE),IF($A1400="TRAN",VLOOKUP($B1400,[6]TRAN!$B$16:$G$26,2,FALSE),IF(A1400="MAT",VLOOKUP($B1400,[6]MAT!$B$16:$G$189,2,FALSE),IF(A1400="MDEO",VLOOKUP($B1400,[6]MDEO!$B$16:$I$21,2,FALSE)))))</f>
        <v>ESPECIE LENGUA DE SUEGRA</v>
      </c>
      <c r="D1400" s="878"/>
      <c r="E1400" s="123" t="str">
        <f>IF($A1400="EQUI",VLOOKUP($B1400,[6]EQUI!A$16:F$46,3,FALSE),IF($A1400="TRAN",VLOOKUP($B1400,[6]TRAN!$B$16:$G$26,3,FALSE),IF($A1400="MAT",VLOOKUP($B1400,[6]MAT!$B$16:$G$189,3,FALSE),IF($A1400="MDEO",VLOOKUP($B1400,[6]MDEO!$B$16:$I$21,3,FALSE)))))</f>
        <v>UN</v>
      </c>
      <c r="F1400" s="123">
        <f>IF($A1400="EQUI",VLOOKUP($B1400,[6]EQUI!B$16:G$46,4,FALSE),IF($A1400="TRAN",VLOOKUP($B1400,[6]TRAN!$B$16:$G$26,4,FALSE),IF($A1400="MAT",VLOOKUP($B1400,[6]MAT!$B$16:$G$189,4,FALSE),IF($A1400="MDEO",VLOOKUP($B1400,[6]MDEO!$B$16:$I$21,4,FALSE)))))</f>
        <v>18000</v>
      </c>
      <c r="G1400" s="115">
        <v>6</v>
      </c>
      <c r="H1400" s="118">
        <f>+F1400*G1400</f>
        <v>108000</v>
      </c>
      <c r="I1400" s="50"/>
    </row>
    <row r="1401" spans="1:9" ht="12.75" hidden="1" customHeight="1" x14ac:dyDescent="0.3">
      <c r="A1401" s="92" t="s">
        <v>0</v>
      </c>
      <c r="B1401" s="117" t="s">
        <v>450</v>
      </c>
      <c r="C1401" s="878" t="str">
        <f>IF($A1401="EQUI",VLOOKUP($B1401,[6]EQUI!B$16:G$46,2,FALSE),IF($A1401="TRAN",VLOOKUP($B1401,[6]TRAN!$B$16:$G$26,2,FALSE),IF(A1401="MAT",VLOOKUP($B1401,[6]MAT!$B$16:$G$189,2,FALSE),IF(A1401="MDEO",VLOOKUP($B1401,[6]MDEO!$B$16:$I$21,2,FALSE)))))</f>
        <v>ESPECIE OITI</v>
      </c>
      <c r="D1401" s="878"/>
      <c r="E1401" s="123" t="str">
        <f>IF($A1401="EQUI",VLOOKUP($B1401,[6]EQUI!A$16:F$46,3,FALSE),IF($A1401="TRAN",VLOOKUP($B1401,[6]TRAN!$B$16:$G$26,3,FALSE),IF($A1401="MAT",VLOOKUP($B1401,[6]MAT!$B$16:$G$189,3,FALSE),IF($A1401="MDEO",VLOOKUP($B1401,[6]MDEO!$B$16:$I$21,3,FALSE)))))</f>
        <v>UN</v>
      </c>
      <c r="F1401" s="123">
        <f>IF($A1401="EQUI",VLOOKUP($B1401,[6]EQUI!B$16:G$46,4,FALSE),IF($A1401="TRAN",VLOOKUP($B1401,[6]TRAN!$B$16:$G$26,4,FALSE),IF($A1401="MAT",VLOOKUP($B1401,[6]MAT!$B$16:$G$189,4,FALSE),IF($A1401="MDEO",VLOOKUP($B1401,[6]MDEO!$B$16:$I$21,4,FALSE)))))</f>
        <v>33600</v>
      </c>
      <c r="G1401" s="115">
        <v>1</v>
      </c>
      <c r="H1401" s="118">
        <f>+F1401*G1401</f>
        <v>33600</v>
      </c>
      <c r="I1401" s="50"/>
    </row>
    <row r="1402" spans="1:9" ht="12.75" hidden="1" customHeight="1" x14ac:dyDescent="0.3">
      <c r="A1402" s="92" t="s">
        <v>0</v>
      </c>
      <c r="B1402" s="117" t="s">
        <v>151</v>
      </c>
      <c r="C1402" s="878" t="str">
        <f>IF($A1402="EQUI",VLOOKUP($B1402,[6]EQUI!B$16:G$46,2,FALSE),IF($A1402="TRAN",VLOOKUP($B1402,[6]TRAN!$B$16:$G$26,2,FALSE),IF(A1402="MAT",VLOOKUP($B1402,[6]MAT!$B$16:$G$194,2,FALSE),IF(A1402="MDEO",VLOOKUP($B1402,[6]MDEO!$B$16:$I$21,2,FALSE)))))</f>
        <v xml:space="preserve">FERTILIZANTE FÓSFORO </v>
      </c>
      <c r="D1402" s="878"/>
      <c r="E1402" s="123" t="str">
        <f>IF($A1402="EQUI",VLOOKUP($B1402,[6]EQUI!A$16:F$46,3,FALSE),IF($A1402="TRAN",VLOOKUP($B1402,[6]TRAN!$B$16:$G$26,3,FALSE),IF($A1402="MAT",VLOOKUP($B1402,[6]MAT!$B$16:$G$194,3,FALSE),IF($A1402="MDEO",VLOOKUP($B1402,[6]MDEO!$B$16:$I$21,3,FALSE)))))</f>
        <v>BULTO</v>
      </c>
      <c r="F1402" s="123">
        <f>IF($A1402="EQUI",VLOOKUP($B1402,[6]EQUI!B$16:G$46,4,FALSE),IF($A1402="TRAN",VLOOKUP($B1402,[6]TRAN!$B$16:$G$26,4,FALSE),IF($A1402="MAT",VLOOKUP($B1402,[6]MAT!$B$16:$G$194,4,FALSE),IF($A1402="MDEO",VLOOKUP($B1402,[6]MDEO!$B$16:$I$21,4,FALSE)))))</f>
        <v>110000</v>
      </c>
      <c r="G1402" s="115">
        <v>0.02</v>
      </c>
      <c r="H1402" s="118">
        <f>+F1402*G1402</f>
        <v>2200</v>
      </c>
      <c r="I1402" s="50"/>
    </row>
    <row r="1403" spans="1:9" ht="12.75" hidden="1" customHeight="1" x14ac:dyDescent="0.3">
      <c r="A1403" s="92" t="s">
        <v>0</v>
      </c>
      <c r="B1403" s="117" t="s">
        <v>152</v>
      </c>
      <c r="C1403" s="878" t="str">
        <f>IF($A1403="EQUI",VLOOKUP($B1403,[6]EQUI!B$16:G$46,2,FALSE),IF($A1403="TRAN",VLOOKUP($B1403,[6]TRAN!$B$16:$G$26,2,FALSE),IF(A1403="MAT",VLOOKUP($B1403,[6]MAT!$B$16:$G$194,2,FALSE),IF(A1403="MDEO",VLOOKUP($B1403,[6]MDEO!$B$16:$I$21,2,FALSE)))))</f>
        <v>FERTILIZANTE Urea</v>
      </c>
      <c r="D1403" s="878"/>
      <c r="E1403" s="123" t="str">
        <f>IF($A1403="EQUI",VLOOKUP($B1403,[6]EQUI!A$16:F$46,3,FALSE),IF($A1403="TRAN",VLOOKUP($B1403,[6]TRAN!$B$16:$G$26,3,FALSE),IF($A1403="MAT",VLOOKUP($B1403,[6]MAT!$B$16:$G$194,3,FALSE),IF($A1403="MDEO",VLOOKUP($B1403,[6]MDEO!$B$16:$I$21,3,FALSE)))))</f>
        <v>BULTO</v>
      </c>
      <c r="F1403" s="123">
        <f>IF($A1403="EQUI",VLOOKUP($B1403,[6]EQUI!B$16:G$46,4,FALSE),IF($A1403="TRAN",VLOOKUP($B1403,[6]TRAN!$B$16:$G$26,4,FALSE),IF($A1403="MAT",VLOOKUP($B1403,[6]MAT!$B$16:$G$194,4,FALSE),IF($A1403="MDEO",VLOOKUP($B1403,[6]MDEO!$B$16:$I$21,4,FALSE)))))</f>
        <v>95000</v>
      </c>
      <c r="G1403" s="115">
        <v>0.1</v>
      </c>
      <c r="H1403" s="118">
        <f>+F1403*G1403</f>
        <v>9500</v>
      </c>
      <c r="I1403" s="50"/>
    </row>
    <row r="1404" spans="1:9" ht="12.75" hidden="1" customHeight="1" x14ac:dyDescent="0.3">
      <c r="A1404" s="92" t="s">
        <v>0</v>
      </c>
      <c r="B1404" s="117" t="s">
        <v>446</v>
      </c>
      <c r="C1404" s="878" t="str">
        <f>IF($A1404="EQUI",VLOOKUP($B1404,[6]EQUI!B$16:G$46,2,FALSE),IF($A1404="TRAN",VLOOKUP($B1404,[6]TRAN!$B$16:$G$26,2,FALSE),IF(A1404="MAT",VLOOKUP($B1404,[6]MAT!$B$16:$G$189,2,FALSE),IF(A1404="MDEO",VLOOKUP($B1404,[6]MDEO!$B$16:$I$21,2,FALSE)))))</f>
        <v>BULTO TIERRA</v>
      </c>
      <c r="D1404" s="878"/>
      <c r="E1404" s="123" t="str">
        <f>IF($A1404="EQUI",VLOOKUP($B1404,[6]EQUI!A$16:F$46,3,FALSE),IF($A1404="TRAN",VLOOKUP($B1404,[6]TRAN!$B$16:$G$26,3,FALSE),IF($A1404="MAT",VLOOKUP($B1404,[6]MAT!$B$16:$G$189,3,FALSE),IF($A1404="MDEO",VLOOKUP($B1404,[6]MDEO!$B$16:$I$21,3,FALSE)))))</f>
        <v>BULTO</v>
      </c>
      <c r="F1404" s="123">
        <f>IF($A1404="EQUI",VLOOKUP($B1404,[6]EQUI!B$16:G$46,4,FALSE),IF($A1404="TRAN",VLOOKUP($B1404,[6]TRAN!$B$16:$G$26,4,FALSE),IF($A1404="MAT",VLOOKUP($B1404,[6]MAT!$B$16:$G$189,4,FALSE),IF($A1404="MDEO",VLOOKUP($B1404,[6]MDEO!$B$16:$I$21,4,FALSE)))))</f>
        <v>15000</v>
      </c>
      <c r="G1404" s="115">
        <v>0.3</v>
      </c>
      <c r="H1404" s="118">
        <f>+F1404*G1404</f>
        <v>4500</v>
      </c>
      <c r="I1404" s="50"/>
    </row>
    <row r="1405" spans="1:9" ht="12.75" hidden="1" customHeight="1" x14ac:dyDescent="0.3">
      <c r="A1405" s="49"/>
      <c r="B1405" s="115"/>
      <c r="C1405" s="115"/>
      <c r="D1405" s="115"/>
      <c r="E1405" s="115"/>
      <c r="F1405" s="120" t="s">
        <v>32</v>
      </c>
      <c r="G1405" s="121" t="str">
        <f>+B1390</f>
        <v>5.6</v>
      </c>
      <c r="H1405" s="121" t="s">
        <v>372</v>
      </c>
      <c r="I1405" s="48">
        <f>SUM(H1400:H1404)</f>
        <v>157800</v>
      </c>
    </row>
    <row r="1406" spans="1:9" ht="12.75" hidden="1" customHeight="1" x14ac:dyDescent="0.3">
      <c r="A1406" s="47" t="s">
        <v>15</v>
      </c>
      <c r="B1406" s="3"/>
      <c r="C1406" s="115"/>
      <c r="D1406" s="115"/>
      <c r="E1406" s="115"/>
      <c r="F1406" s="115"/>
      <c r="G1406" s="115"/>
      <c r="H1406" s="115"/>
      <c r="I1406" s="50"/>
    </row>
    <row r="1407" spans="1:9" ht="12.75" hidden="1" customHeight="1" x14ac:dyDescent="0.3">
      <c r="A1407" s="879" t="s">
        <v>19</v>
      </c>
      <c r="B1407" s="868"/>
      <c r="C1407" s="868"/>
      <c r="D1407" s="116" t="s">
        <v>43</v>
      </c>
      <c r="E1407" s="116" t="s">
        <v>44</v>
      </c>
      <c r="F1407" s="123" t="s">
        <v>45</v>
      </c>
      <c r="G1407" s="116" t="s">
        <v>17</v>
      </c>
      <c r="H1407" s="116" t="s">
        <v>30</v>
      </c>
      <c r="I1407" s="50"/>
    </row>
    <row r="1408" spans="1:9" ht="12.75" hidden="1" customHeight="1" x14ac:dyDescent="0.3">
      <c r="A1408" s="51"/>
      <c r="B1408" s="117"/>
      <c r="C1408" s="133"/>
      <c r="D1408" s="123"/>
      <c r="E1408" s="123"/>
      <c r="F1408" s="123"/>
      <c r="G1408" s="116"/>
      <c r="H1408" s="118"/>
      <c r="I1408" s="50"/>
    </row>
    <row r="1409" spans="1:9" ht="12.75" hidden="1" customHeight="1" x14ac:dyDescent="0.3">
      <c r="A1409" s="51"/>
      <c r="B1409" s="117"/>
      <c r="C1409" s="133"/>
      <c r="D1409" s="123"/>
      <c r="E1409" s="123"/>
      <c r="F1409" s="123"/>
      <c r="G1409" s="116"/>
      <c r="H1409" s="118"/>
      <c r="I1409" s="50"/>
    </row>
    <row r="1410" spans="1:9" ht="12.75" hidden="1" customHeight="1" x14ac:dyDescent="0.3">
      <c r="A1410" s="49"/>
      <c r="B1410" s="115"/>
      <c r="C1410" s="115"/>
      <c r="D1410" s="115"/>
      <c r="E1410" s="115"/>
      <c r="F1410" s="120" t="s">
        <v>32</v>
      </c>
      <c r="G1410" s="121" t="str">
        <f>+B1390</f>
        <v>5.6</v>
      </c>
      <c r="H1410" s="121" t="s">
        <v>375</v>
      </c>
      <c r="I1410" s="48">
        <f>SUM(H1408:H1409)</f>
        <v>0</v>
      </c>
    </row>
    <row r="1411" spans="1:9" ht="12.75" hidden="1" customHeight="1" x14ac:dyDescent="0.3">
      <c r="A1411" s="47"/>
      <c r="B1411" s="3"/>
      <c r="C1411" s="115"/>
      <c r="D1411" s="115"/>
      <c r="E1411" s="115"/>
      <c r="F1411" s="115"/>
      <c r="G1411" s="115"/>
      <c r="H1411" s="115"/>
      <c r="I1411" s="50"/>
    </row>
    <row r="1412" spans="1:9" ht="12.75" hidden="1" customHeight="1" x14ac:dyDescent="0.3">
      <c r="A1412" s="882" t="s">
        <v>18</v>
      </c>
      <c r="B1412" s="883"/>
      <c r="C1412" s="883"/>
      <c r="D1412" s="140" t="s">
        <v>48</v>
      </c>
      <c r="E1412" s="140" t="s">
        <v>109</v>
      </c>
      <c r="F1412" s="141" t="s">
        <v>250</v>
      </c>
      <c r="G1412" s="142" t="s">
        <v>251</v>
      </c>
      <c r="H1412" s="140" t="s">
        <v>252</v>
      </c>
      <c r="I1412" s="52"/>
    </row>
    <row r="1413" spans="1:9" ht="12.75" hidden="1" customHeight="1" x14ac:dyDescent="0.3">
      <c r="A1413" s="51" t="s">
        <v>4</v>
      </c>
      <c r="B1413" s="131" t="s">
        <v>175</v>
      </c>
      <c r="C1413" s="126" t="str">
        <f>IF($A1413="EQUI",VLOOKUP($B1413,[6]EQUI!B$16:G$46,2,FALSE),IF($A1413="TRAN",VLOOKUP($B1413,[6]TRAN!$B$16:$G$26,2,FALSE),IF($A1413="MAT",VLOOKUP($B1413,[6]MAT!$B$16:$G$83,2,FALSE),IF($A1413="MDEO",VLOOKUP($B1413,[6]MDEO!$B$16:$I$21,2,FALSE)))))</f>
        <v>OFICIAL</v>
      </c>
      <c r="D1413" s="31">
        <f>IF($A1413="EQUI",VLOOKUP($B1413,[6]EQUI!B$16:G$46,3,FALSE),IF($A1413="TRAN",VLOOKUP($B1413,[6]TRAN!$B$16:$G$26,3,FALSE),IF($A1413="MAT",VLOOKUP($B1413,[6]MAT!$B$16:$G$83,3,FALSE),IF($A1413="MDEO",VLOOKUP($B1413,[6]MDEO!$B$16:$I$21,3,FALSE)))))</f>
        <v>9301.6465000000026</v>
      </c>
      <c r="E1413" s="127">
        <f>IF($A1413="EQUI",VLOOKUP($B1413,[6]EQUI!B$16:G$46,4,FALSE),IF($A1413="TRAN",VLOOKUP($B1413,[6]TRAN!$B$16:$G$26,4,FALSE),IF($A1413="MAT",VLOOKUP($B1413,[6]MAT!$B$16:$G$83,4,FALSE),IF($A1413="MDEO",VLOOKUP($B1413,[6]MDEO!$B$16:$I$21,5,FALSE)))))</f>
        <v>0.56000000000000005</v>
      </c>
      <c r="F1413" s="32">
        <f>+D1413+D1413*E1413</f>
        <v>14510.568540000004</v>
      </c>
      <c r="G1413" s="130">
        <v>0.9</v>
      </c>
      <c r="H1413" s="128">
        <f>G1413*F1413</f>
        <v>13059.511686000003</v>
      </c>
      <c r="I1413" s="50"/>
    </row>
    <row r="1414" spans="1:9" ht="12.75" hidden="1" customHeight="1" x14ac:dyDescent="0.3">
      <c r="A1414" s="51" t="s">
        <v>4</v>
      </c>
      <c r="B1414" s="131" t="s">
        <v>176</v>
      </c>
      <c r="C1414" s="126" t="str">
        <f>IF($A1414="EQUI",VLOOKUP($B1414,[6]EQUI!B$16:G$46,2,FALSE),IF($A1414="TRAN",VLOOKUP($B1414,[6]TRAN!$B$16:$G$26,2,FALSE),IF($A1414="MAT",VLOOKUP($B1414,[6]MAT!$B$16:$G$83,2,FALSE),IF($A1414="MDEO",VLOOKUP($B1414,[6]MDEO!$B$16:$I$21,2,FALSE)))))</f>
        <v>AYUDANTE ENTENDIDO</v>
      </c>
      <c r="D1414" s="31">
        <f>IF($A1414="EQUI",VLOOKUP($B1414,[6]EQUI!B$16:G$46,3,FALSE),IF($A1414="TRAN",VLOOKUP($B1414,[6]TRAN!$B$16:$G$26,3,FALSE),IF($A1414="MAT",VLOOKUP($B1414,[6]MAT!$B$16:$G$83,3,FALSE),IF($A1414="MDEO",VLOOKUP($B1414,[6]MDEO!$B$16:$I$21,3,FALSE)))))</f>
        <v>8051.6465000000007</v>
      </c>
      <c r="E1414" s="127">
        <f>IF($A1414="EQUI",VLOOKUP($B1414,[6]EQUI!B$16:G$46,4,FALSE),IF($A1414="TRAN",VLOOKUP($B1414,[6]TRAN!$B$16:$G$26,4,FALSE),IF($A1414="MAT",VLOOKUP($B1414,[6]MAT!$B$16:$G$83,4,FALSE),IF($A1414="MDEO",VLOOKUP($B1414,[6]MDEO!$B$16:$I$21,5,FALSE)))))</f>
        <v>0.56000000000000005</v>
      </c>
      <c r="F1414" s="32">
        <f>+D1414+D1414*E1414</f>
        <v>12560.568540000002</v>
      </c>
      <c r="G1414" s="130">
        <v>0.9</v>
      </c>
      <c r="H1414" s="128">
        <f>G1414*F1414</f>
        <v>11304.511686000002</v>
      </c>
      <c r="I1414" s="50"/>
    </row>
    <row r="1415" spans="1:9" ht="12.75" hidden="1" customHeight="1" x14ac:dyDescent="0.3">
      <c r="A1415" s="51" t="s">
        <v>4</v>
      </c>
      <c r="B1415" s="131" t="s">
        <v>177</v>
      </c>
      <c r="C1415" s="126" t="str">
        <f>IF($A1415="EQUI",VLOOKUP($B1415,[6]EQUI!B$16:G$46,2,FALSE),IF($A1415="TRAN",VLOOKUP($B1415,[6]TRAN!$B$16:$G$26,2,FALSE),IF($A1415="MAT",VLOOKUP($B1415,[6]MAT!$B$16:$G$83,2,FALSE),IF($A1415="MDEO",VLOOKUP($B1415,[6]MDEO!$B$16:$I$21,2,FALSE)))))</f>
        <v>AYUDANTE</v>
      </c>
      <c r="D1415" s="31">
        <f>IF($A1415="EQUI",VLOOKUP($B1415,[6]EQUI!B$16:G$46,3,FALSE),IF($A1415="TRAN",VLOOKUP($B1415,[6]TRAN!$B$16:$G$26,3,FALSE),IF($A1415="MAT",VLOOKUP($B1415,[6]MAT!$B$16:$G$83,3,FALSE),IF($A1415="MDEO",VLOOKUP($B1415,[6]MDEO!$B$16:$I$21,3,FALSE)))))</f>
        <v>6801.6465000000007</v>
      </c>
      <c r="E1415" s="127">
        <f>IF($A1415="EQUI",VLOOKUP($B1415,[6]EQUI!B$16:G$46,4,FALSE),IF($A1415="TRAN",VLOOKUP($B1415,[6]TRAN!$B$16:$G$26,4,FALSE),IF($A1415="MAT",VLOOKUP($B1415,[6]MAT!$B$16:$G$83,4,FALSE),IF($A1415="MDEO",VLOOKUP($B1415,[6]MDEO!$B$16:$I$21,5,FALSE)))))</f>
        <v>0.56000000000000005</v>
      </c>
      <c r="F1415" s="32">
        <f>+D1415+D1415*E1415</f>
        <v>10610.568540000002</v>
      </c>
      <c r="G1415" s="130">
        <v>1.8</v>
      </c>
      <c r="H1415" s="128">
        <f>G1415*F1415</f>
        <v>19099.023372000003</v>
      </c>
      <c r="I1415" s="50"/>
    </row>
    <row r="1416" spans="1:9" ht="12.75" hidden="1" customHeight="1" x14ac:dyDescent="0.3">
      <c r="A1416" s="51"/>
      <c r="B1416" s="131"/>
      <c r="C1416" s="126"/>
      <c r="D1416" s="31"/>
      <c r="E1416" s="127"/>
      <c r="F1416" s="32"/>
      <c r="G1416" s="130"/>
      <c r="H1416" s="128"/>
      <c r="I1416" s="50"/>
    </row>
    <row r="1417" spans="1:9" ht="12.75" hidden="1" customHeight="1" x14ac:dyDescent="0.3">
      <c r="A1417" s="51"/>
      <c r="B1417" s="131"/>
      <c r="C1417" s="126"/>
      <c r="D1417" s="31"/>
      <c r="E1417" s="127"/>
      <c r="F1417" s="32"/>
      <c r="G1417" s="130"/>
      <c r="H1417" s="128"/>
      <c r="I1417" s="50"/>
    </row>
    <row r="1418" spans="1:9" ht="12.75" hidden="1" customHeight="1" x14ac:dyDescent="0.3">
      <c r="A1418" s="879"/>
      <c r="B1418" s="868"/>
      <c r="C1418" s="115"/>
      <c r="D1418" s="115"/>
      <c r="E1418" s="115"/>
      <c r="F1418" s="115"/>
      <c r="G1418" s="115"/>
      <c r="H1418" s="115"/>
      <c r="I1418" s="50"/>
    </row>
    <row r="1419" spans="1:9" ht="12.75" hidden="1" customHeight="1" x14ac:dyDescent="0.3">
      <c r="A1419" s="49"/>
      <c r="B1419" s="115"/>
      <c r="C1419" s="115"/>
      <c r="D1419" s="115"/>
      <c r="E1419" s="115"/>
      <c r="F1419" s="120" t="s">
        <v>32</v>
      </c>
      <c r="G1419" s="121" t="str">
        <f>+B1390</f>
        <v>5.6</v>
      </c>
      <c r="H1419" s="120" t="s">
        <v>378</v>
      </c>
      <c r="I1419" s="48">
        <f>SUM(H1413:H1418)</f>
        <v>43463.046744000007</v>
      </c>
    </row>
    <row r="1420" spans="1:9" ht="12.75" hidden="1" customHeight="1" x14ac:dyDescent="0.3">
      <c r="A1420" s="49" t="s">
        <v>54</v>
      </c>
      <c r="B1420" s="115"/>
      <c r="C1420" s="115"/>
      <c r="D1420" s="115"/>
      <c r="E1420" s="115"/>
      <c r="F1420" s="115"/>
      <c r="G1420" s="115"/>
      <c r="H1420" s="116"/>
      <c r="I1420" s="48">
        <f>I1419*0.05</f>
        <v>2173.1523372000006</v>
      </c>
    </row>
    <row r="1421" spans="1:9" ht="12.75" hidden="1" customHeight="1" x14ac:dyDescent="0.3">
      <c r="A1421" s="49"/>
      <c r="B1421" s="115"/>
      <c r="C1421" s="115"/>
      <c r="D1421" s="115"/>
      <c r="E1421" s="115"/>
      <c r="F1421" s="120" t="s">
        <v>55</v>
      </c>
      <c r="G1421" s="116"/>
      <c r="H1421" s="116"/>
      <c r="I1421" s="48">
        <f>ROUND(I1419+I1420+I1405+I1397+I1410,0)</f>
        <v>203436</v>
      </c>
    </row>
    <row r="1422" spans="1:9" ht="12.75" hidden="1" customHeight="1" x14ac:dyDescent="0.3">
      <c r="A1422" s="879" t="s">
        <v>56</v>
      </c>
      <c r="B1422" s="868"/>
      <c r="C1422" s="868"/>
      <c r="D1422" s="868"/>
      <c r="E1422" s="868" t="s">
        <v>57</v>
      </c>
      <c r="F1422" s="868"/>
      <c r="G1422" s="875" t="s">
        <v>58</v>
      </c>
      <c r="H1422" s="875"/>
      <c r="I1422" s="48"/>
    </row>
    <row r="1423" spans="1:9" ht="12.75" hidden="1" customHeight="1" x14ac:dyDescent="0.3">
      <c r="A1423" s="879" t="s">
        <v>208</v>
      </c>
      <c r="B1423" s="868"/>
      <c r="C1423" s="868"/>
      <c r="D1423" s="868"/>
      <c r="E1423" s="876">
        <v>0.02</v>
      </c>
      <c r="F1423" s="876"/>
      <c r="G1423" s="875">
        <f>+I1421*E1423</f>
        <v>4068.7200000000003</v>
      </c>
      <c r="H1423" s="875"/>
      <c r="I1423" s="48"/>
    </row>
    <row r="1424" spans="1:9" ht="12.75" hidden="1" customHeight="1" x14ac:dyDescent="0.3">
      <c r="A1424" s="879" t="s">
        <v>5</v>
      </c>
      <c r="B1424" s="868"/>
      <c r="C1424" s="868"/>
      <c r="D1424" s="868"/>
      <c r="E1424" s="876">
        <v>0.23</v>
      </c>
      <c r="F1424" s="876"/>
      <c r="G1424" s="875">
        <f>+E1424*I1421</f>
        <v>46790.28</v>
      </c>
      <c r="H1424" s="875"/>
      <c r="I1424" s="48"/>
    </row>
    <row r="1425" spans="1:9" ht="12.75" hidden="1" customHeight="1" x14ac:dyDescent="0.3">
      <c r="A1425" s="879" t="s">
        <v>6</v>
      </c>
      <c r="B1425" s="868"/>
      <c r="C1425" s="868"/>
      <c r="D1425" s="868"/>
      <c r="E1425" s="876">
        <v>0.05</v>
      </c>
      <c r="F1425" s="876"/>
      <c r="G1425" s="875">
        <f>+E1425*I1421</f>
        <v>10171.800000000001</v>
      </c>
      <c r="H1425" s="875"/>
      <c r="I1425" s="48"/>
    </row>
    <row r="1426" spans="1:9" ht="12.75" hidden="1" customHeight="1" x14ac:dyDescent="0.3">
      <c r="A1426" s="879" t="s">
        <v>207</v>
      </c>
      <c r="B1426" s="868"/>
      <c r="C1426" s="868"/>
      <c r="D1426" s="868"/>
      <c r="E1426" s="876">
        <v>0.02</v>
      </c>
      <c r="F1426" s="876"/>
      <c r="G1426" s="875">
        <f>+E1426*I1421</f>
        <v>4068.7200000000003</v>
      </c>
      <c r="H1426" s="875"/>
      <c r="I1426" s="48"/>
    </row>
    <row r="1427" spans="1:9" ht="12.75" hidden="1" customHeight="1" x14ac:dyDescent="0.3">
      <c r="A1427" s="880" t="s">
        <v>397</v>
      </c>
      <c r="B1427" s="867"/>
      <c r="C1427" s="867"/>
      <c r="D1427" s="867"/>
      <c r="E1427" s="867"/>
      <c r="F1427" s="867"/>
      <c r="G1427" s="867"/>
      <c r="H1427" s="867"/>
      <c r="I1427" s="48">
        <f>+G1426+G1424+G1425+G1423</f>
        <v>65099.520000000004</v>
      </c>
    </row>
    <row r="1428" spans="1:9" ht="12.75" hidden="1" customHeight="1" x14ac:dyDescent="0.3">
      <c r="A1428" s="880" t="s">
        <v>59</v>
      </c>
      <c r="B1428" s="867"/>
      <c r="C1428" s="867"/>
      <c r="D1428" s="867"/>
      <c r="E1428" s="867"/>
      <c r="F1428" s="867"/>
      <c r="G1428" s="867"/>
      <c r="H1428" s="867"/>
      <c r="I1428" s="48">
        <f>+I1427+I1421</f>
        <v>268535.52</v>
      </c>
    </row>
    <row r="1429" spans="1:9" ht="12.75" hidden="1" customHeight="1" x14ac:dyDescent="0.3">
      <c r="A1429" s="93"/>
      <c r="B1429" s="65"/>
      <c r="C1429" s="65"/>
      <c r="D1429" s="65"/>
      <c r="E1429" s="65"/>
      <c r="F1429" s="65"/>
      <c r="G1429" s="65"/>
      <c r="H1429" s="65"/>
      <c r="I1429" s="48"/>
    </row>
    <row r="1430" spans="1:9" ht="12.75" hidden="1" customHeight="1" x14ac:dyDescent="0.3">
      <c r="A1430" s="881" t="s">
        <v>114</v>
      </c>
      <c r="B1430" s="604"/>
      <c r="C1430" s="604"/>
      <c r="D1430" s="65"/>
      <c r="E1430" s="65"/>
      <c r="F1430" s="604" t="s">
        <v>396</v>
      </c>
      <c r="G1430" s="604"/>
      <c r="H1430" s="604"/>
      <c r="I1430" s="894"/>
    </row>
    <row r="1431" spans="1:9" ht="12.75" hidden="1" customHeight="1" x14ac:dyDescent="0.3">
      <c r="A1431" s="92" t="s">
        <v>111</v>
      </c>
      <c r="B1431" s="868"/>
      <c r="C1431" s="868"/>
      <c r="D1431" s="115"/>
      <c r="E1431" s="115"/>
      <c r="F1431" s="116" t="s">
        <v>111</v>
      </c>
      <c r="G1431" s="868"/>
      <c r="H1431" s="868"/>
      <c r="I1431" s="884"/>
    </row>
    <row r="1432" spans="1:9" ht="12.75" hidden="1" customHeight="1" x14ac:dyDescent="0.3">
      <c r="A1432" s="132" t="s">
        <v>115</v>
      </c>
      <c r="B1432" s="868" t="str">
        <f>VLOOKUP(A1432,[6]INICIO!$E$6:$H$26,2,FALSE)</f>
        <v>LINA MARCELA</v>
      </c>
      <c r="C1432" s="868"/>
      <c r="F1432" s="86" t="s">
        <v>112</v>
      </c>
      <c r="G1432" s="868"/>
      <c r="H1432" s="868"/>
      <c r="I1432" s="884"/>
    </row>
    <row r="1433" spans="1:9" ht="12.75" hidden="1" customHeight="1" x14ac:dyDescent="0.3">
      <c r="A1433" s="132" t="s">
        <v>113</v>
      </c>
      <c r="B1433" s="868" t="str">
        <f>VLOOKUP(A1432,[6]INICIO!$E$6:$H$26,4,FALSE)</f>
        <v>05202-316814 ANT</v>
      </c>
      <c r="C1433" s="868"/>
      <c r="F1433" s="86" t="s">
        <v>113</v>
      </c>
      <c r="G1433" s="868"/>
      <c r="H1433" s="868"/>
      <c r="I1433" s="884"/>
    </row>
    <row r="1434" spans="1:9" ht="12.75" hidden="1" customHeight="1" x14ac:dyDescent="0.3">
      <c r="A1434" s="132"/>
      <c r="B1434" s="116"/>
      <c r="C1434" s="116"/>
      <c r="F1434" s="86"/>
      <c r="G1434" s="116"/>
      <c r="H1434" s="116"/>
      <c r="I1434" s="95"/>
    </row>
    <row r="1435" spans="1:9" ht="12.75" hidden="1" customHeight="1" x14ac:dyDescent="0.3">
      <c r="A1435" s="872" t="s">
        <v>110</v>
      </c>
      <c r="B1435" s="869"/>
      <c r="C1435" s="869"/>
      <c r="D1435" s="869"/>
      <c r="E1435" s="869"/>
      <c r="F1435" s="869"/>
      <c r="G1435" s="869"/>
      <c r="H1435" s="869"/>
      <c r="I1435" s="873"/>
    </row>
    <row r="1436" spans="1:9" ht="12.75" hidden="1" customHeight="1" x14ac:dyDescent="0.3">
      <c r="A1436" s="870"/>
      <c r="B1436" s="691"/>
      <c r="C1436" s="691"/>
      <c r="D1436" s="691"/>
      <c r="E1436" s="691"/>
      <c r="F1436" s="691"/>
      <c r="G1436" s="691"/>
      <c r="H1436" s="691"/>
      <c r="I1436" s="871"/>
    </row>
    <row r="1437" spans="1:9" ht="12.75" hidden="1" customHeight="1" x14ac:dyDescent="0.3">
      <c r="A1437" s="872"/>
      <c r="B1437" s="869"/>
      <c r="C1437" s="869"/>
      <c r="D1437" s="869"/>
      <c r="E1437" s="869"/>
      <c r="F1437" s="869"/>
      <c r="G1437" s="869"/>
      <c r="H1437" s="869"/>
      <c r="I1437" s="873"/>
    </row>
    <row r="1438" spans="1:9" ht="21" hidden="1" customHeight="1" x14ac:dyDescent="0.3"/>
    <row r="1439" spans="1:9" ht="12.75" hidden="1" customHeight="1" x14ac:dyDescent="0.3">
      <c r="A1439" s="881" t="s">
        <v>68</v>
      </c>
      <c r="B1439" s="604"/>
      <c r="C1439" s="604"/>
      <c r="D1439" s="604"/>
      <c r="E1439" s="604"/>
      <c r="F1439" s="604"/>
      <c r="G1439" s="604"/>
      <c r="H1439" s="604"/>
      <c r="I1439" s="894"/>
    </row>
    <row r="1440" spans="1:9" ht="12.75" hidden="1" customHeight="1" x14ac:dyDescent="0.3">
      <c r="A1440" s="94" t="s">
        <v>69</v>
      </c>
      <c r="B1440" s="112" t="s">
        <v>453</v>
      </c>
      <c r="C1440" s="604" t="s">
        <v>70</v>
      </c>
      <c r="D1440" s="874" t="str">
        <f>VLOOKUP(B1440,[6]PRESUPUESTO!$A$18:$I$90,3,FALSE)</f>
        <v>ESPECIES Y JARDINERIA ZONA VERDE TIPO I</v>
      </c>
      <c r="E1440" s="874"/>
      <c r="F1440" s="874"/>
      <c r="G1440" s="874"/>
      <c r="H1440" s="874"/>
      <c r="I1440" s="877"/>
    </row>
    <row r="1441" spans="1:9" ht="12.75" hidden="1" customHeight="1" x14ac:dyDescent="0.3">
      <c r="A1441" s="94" t="s">
        <v>71</v>
      </c>
      <c r="B1441" s="112" t="str">
        <f>VLOOKUP(B1440,[6]PRESUPUESTO!$A$18:$I$90,2,FALSE)</f>
        <v>820-13D</v>
      </c>
      <c r="C1441" s="604"/>
      <c r="D1441" s="140" t="s">
        <v>12</v>
      </c>
      <c r="E1441" s="113" t="s">
        <v>12</v>
      </c>
      <c r="F1441" s="113" t="s">
        <v>13</v>
      </c>
      <c r="G1441" s="113" t="e">
        <f>VLOOKUP(B1441,[6]PRESUPUESTO!$B$15:$I$1222,5,FALSE)</f>
        <v>#N/A</v>
      </c>
      <c r="H1441" s="114" t="s">
        <v>27</v>
      </c>
      <c r="I1441" s="46">
        <f>+I1473</f>
        <v>641636</v>
      </c>
    </row>
    <row r="1442" spans="1:9" ht="12.75" hidden="1" customHeight="1" x14ac:dyDescent="0.3">
      <c r="A1442" s="47" t="s">
        <v>14</v>
      </c>
      <c r="B1442" s="3"/>
      <c r="C1442" s="115"/>
      <c r="D1442" s="115"/>
      <c r="E1442" s="115"/>
      <c r="F1442" s="115"/>
      <c r="G1442" s="115"/>
      <c r="H1442" s="115"/>
      <c r="I1442" s="48"/>
    </row>
    <row r="1443" spans="1:9" ht="12.75" hidden="1" customHeight="1" x14ac:dyDescent="0.3">
      <c r="A1443" s="879" t="s">
        <v>19</v>
      </c>
      <c r="B1443" s="868"/>
      <c r="C1443" s="868"/>
      <c r="D1443" s="868"/>
      <c r="E1443" s="868"/>
      <c r="F1443" s="116" t="s">
        <v>28</v>
      </c>
      <c r="G1443" s="116" t="s">
        <v>29</v>
      </c>
      <c r="H1443" s="116" t="s">
        <v>30</v>
      </c>
      <c r="I1443" s="50"/>
    </row>
    <row r="1444" spans="1:9" ht="12.75" hidden="1" customHeight="1" x14ac:dyDescent="0.3">
      <c r="A1444" s="92" t="s">
        <v>1</v>
      </c>
      <c r="B1444" s="117" t="s">
        <v>90</v>
      </c>
      <c r="C1444" s="878"/>
      <c r="D1444" s="878"/>
      <c r="E1444" s="878"/>
      <c r="F1444" s="123"/>
      <c r="G1444" s="115"/>
      <c r="H1444" s="118"/>
      <c r="I1444" s="50"/>
    </row>
    <row r="1445" spans="1:9" ht="12.75" hidden="1" customHeight="1" x14ac:dyDescent="0.3">
      <c r="A1445" s="92" t="s">
        <v>1</v>
      </c>
      <c r="B1445" s="117" t="s">
        <v>86</v>
      </c>
      <c r="C1445" s="878"/>
      <c r="D1445" s="878"/>
      <c r="E1445" s="878"/>
      <c r="F1445" s="123"/>
      <c r="G1445" s="115"/>
      <c r="H1445" s="118"/>
      <c r="I1445" s="50"/>
    </row>
    <row r="1446" spans="1:9" ht="12.75" hidden="1" customHeight="1" x14ac:dyDescent="0.3">
      <c r="A1446" s="92" t="s">
        <v>1</v>
      </c>
      <c r="B1446" s="117" t="s">
        <v>98</v>
      </c>
      <c r="C1446" s="878"/>
      <c r="D1446" s="878"/>
      <c r="E1446" s="878"/>
      <c r="F1446" s="123"/>
      <c r="G1446" s="115"/>
      <c r="H1446" s="118"/>
      <c r="I1446" s="50"/>
    </row>
    <row r="1447" spans="1:9" ht="12.75" hidden="1" customHeight="1" x14ac:dyDescent="0.3">
      <c r="A1447" s="49"/>
      <c r="B1447" s="115"/>
      <c r="C1447" s="115"/>
      <c r="D1447" s="115"/>
      <c r="E1447" s="115"/>
      <c r="F1447" s="120" t="s">
        <v>32</v>
      </c>
      <c r="G1447" s="121" t="str">
        <f>+B1440</f>
        <v>5.7</v>
      </c>
      <c r="H1447" s="121" t="s">
        <v>369</v>
      </c>
      <c r="I1447" s="48">
        <f>SUM(H1444:H1446)</f>
        <v>0</v>
      </c>
    </row>
    <row r="1448" spans="1:9" ht="12.75" hidden="1" customHeight="1" x14ac:dyDescent="0.3">
      <c r="A1448" s="47" t="s">
        <v>34</v>
      </c>
      <c r="B1448" s="3"/>
      <c r="C1448" s="115"/>
      <c r="D1448" s="115"/>
      <c r="E1448" s="115"/>
      <c r="F1448" s="115"/>
      <c r="G1448" s="115"/>
      <c r="H1448" s="115"/>
      <c r="I1448" s="50"/>
    </row>
    <row r="1449" spans="1:9" ht="12.75" hidden="1" customHeight="1" x14ac:dyDescent="0.3">
      <c r="A1449" s="879" t="s">
        <v>35</v>
      </c>
      <c r="B1449" s="868"/>
      <c r="C1449" s="868"/>
      <c r="D1449" s="868"/>
      <c r="E1449" s="116" t="s">
        <v>12</v>
      </c>
      <c r="F1449" s="116" t="s">
        <v>36</v>
      </c>
      <c r="G1449" s="116" t="s">
        <v>37</v>
      </c>
      <c r="H1449" s="116" t="s">
        <v>38</v>
      </c>
      <c r="I1449" s="50"/>
    </row>
    <row r="1450" spans="1:9" ht="12.75" hidden="1" customHeight="1" x14ac:dyDescent="0.3">
      <c r="A1450" s="92" t="s">
        <v>0</v>
      </c>
      <c r="B1450" s="117" t="s">
        <v>454</v>
      </c>
      <c r="C1450" s="878" t="str">
        <f>IF($A1450="EQUI",VLOOKUP($B1450,[6]EQUI!B$16:G$46,2,FALSE),IF($A1450="TRAN",VLOOKUP($B1450,[6]TRAN!$B$16:$G$26,2,FALSE),IF(A1450="MAT",VLOOKUP($B1450,[6]MAT!$B$16:$G$189,2,FALSE),IF(A1450="MDEO",VLOOKUP($B1450,[6]MDEO!$B$16:$I$21,2,FALSE)))))</f>
        <v>ESPECIE HELICONIA</v>
      </c>
      <c r="D1450" s="878"/>
      <c r="E1450" s="123" t="str">
        <f>IF($A1450="EQUI",VLOOKUP($B1450,[6]EQUI!A$16:F$46,3,FALSE),IF($A1450="TRAN",VLOOKUP($B1450,[6]TRAN!$B$16:$G$26,3,FALSE),IF($A1450="MAT",VLOOKUP($B1450,[6]MAT!$B$16:$G$189,3,FALSE),IF($A1450="MDEO",VLOOKUP($B1450,[6]MDEO!$B$16:$I$21,3,FALSE)))))</f>
        <v>UN</v>
      </c>
      <c r="F1450" s="123">
        <f>IF($A1450="EQUI",VLOOKUP($B1450,[6]EQUI!B$16:G$46,4,FALSE),IF($A1450="TRAN",VLOOKUP($B1450,[6]TRAN!$B$16:$G$26,4,FALSE),IF($A1450="MAT",VLOOKUP($B1450,[6]MAT!$B$16:$G$189,4,FALSE),IF($A1450="MDEO",VLOOKUP($B1450,[6]MDEO!$B$16:$I$21,4,FALSE)))))</f>
        <v>11200.000000000002</v>
      </c>
      <c r="G1450" s="115">
        <v>6</v>
      </c>
      <c r="H1450" s="118">
        <f t="shared" ref="H1450:H1456" si="6">+F1450*G1450</f>
        <v>67200.000000000015</v>
      </c>
      <c r="I1450" s="50"/>
    </row>
    <row r="1451" spans="1:9" ht="12.75" hidden="1" customHeight="1" x14ac:dyDescent="0.3">
      <c r="A1451" s="92" t="s">
        <v>0</v>
      </c>
      <c r="B1451" s="117" t="s">
        <v>450</v>
      </c>
      <c r="C1451" s="878" t="str">
        <f>IF($A1451="EQUI",VLOOKUP($B1451,[6]EQUI!B$16:G$46,2,FALSE),IF($A1451="TRAN",VLOOKUP($B1451,[6]TRAN!$B$16:$G$26,2,FALSE),IF(A1451="MAT",VLOOKUP($B1451,[6]MAT!$B$16:$G$189,2,FALSE),IF(A1451="MDEO",VLOOKUP($B1451,[6]MDEO!$B$16:$I$21,2,FALSE)))))</f>
        <v>ESPECIE OITI</v>
      </c>
      <c r="D1451" s="878"/>
      <c r="E1451" s="123" t="str">
        <f>IF($A1451="EQUI",VLOOKUP($B1451,[6]EQUI!A$16:F$46,3,FALSE),IF($A1451="TRAN",VLOOKUP($B1451,[6]TRAN!$B$16:$G$26,3,FALSE),IF($A1451="MAT",VLOOKUP($B1451,[6]MAT!$B$16:$G$189,3,FALSE),IF($A1451="MDEO",VLOOKUP($B1451,[6]MDEO!$B$16:$I$21,3,FALSE)))))</f>
        <v>UN</v>
      </c>
      <c r="F1451" s="123">
        <f>IF($A1451="EQUI",VLOOKUP($B1451,[6]EQUI!B$16:G$46,4,FALSE),IF($A1451="TRAN",VLOOKUP($B1451,[6]TRAN!$B$16:$G$26,4,FALSE),IF($A1451="MAT",VLOOKUP($B1451,[6]MAT!$B$16:$G$189,4,FALSE),IF($A1451="MDEO",VLOOKUP($B1451,[6]MDEO!$B$16:$I$21,4,FALSE)))))</f>
        <v>33600</v>
      </c>
      <c r="G1451" s="115">
        <v>2</v>
      </c>
      <c r="H1451" s="118">
        <f t="shared" si="6"/>
        <v>67200</v>
      </c>
      <c r="I1451" s="50"/>
    </row>
    <row r="1452" spans="1:9" ht="12.75" hidden="1" customHeight="1" x14ac:dyDescent="0.3">
      <c r="A1452" s="92" t="s">
        <v>0</v>
      </c>
      <c r="B1452" s="117" t="s">
        <v>444</v>
      </c>
      <c r="C1452" s="878" t="str">
        <f>IF($A1452="EQUI",VLOOKUP($B1452,[6]EQUI!B$16:G$46,2,FALSE),IF($A1452="TRAN",VLOOKUP($B1452,[6]TRAN!$B$16:$G$26,2,FALSE),IF(A1452="MAT",VLOOKUP($B1452,[6]MAT!$B$16:$G$189,2,FALSE),IF(A1452="MDEO",VLOOKUP($B1452,[6]MDEO!$B$16:$I$21,2,FALSE)))))</f>
        <v>ESPECIE CROTO VICTORIA</v>
      </c>
      <c r="D1452" s="878"/>
      <c r="E1452" s="123" t="str">
        <f>IF($A1452="EQUI",VLOOKUP($B1452,[6]EQUI!A$16:F$46,3,FALSE),IF($A1452="TRAN",VLOOKUP($B1452,[6]TRAN!$B$16:$G$26,3,FALSE),IF($A1452="MAT",VLOOKUP($B1452,[6]MAT!$B$16:$G$189,3,FALSE),IF($A1452="MDEO",VLOOKUP($B1452,[6]MDEO!$B$16:$I$21,3,FALSE)))))</f>
        <v>UN</v>
      </c>
      <c r="F1452" s="123">
        <f>IF($A1452="EQUI",VLOOKUP($B1452,[6]EQUI!B$16:G$46,4,FALSE),IF($A1452="TRAN",VLOOKUP($B1452,[6]TRAN!$B$16:$G$26,4,FALSE),IF($A1452="MAT",VLOOKUP($B1452,[6]MAT!$B$16:$G$189,4,FALSE),IF($A1452="MDEO",VLOOKUP($B1452,[6]MDEO!$B$16:$I$21,4,FALSE)))))</f>
        <v>21600</v>
      </c>
      <c r="G1452" s="115">
        <v>14</v>
      </c>
      <c r="H1452" s="118">
        <f t="shared" si="6"/>
        <v>302400</v>
      </c>
      <c r="I1452" s="50"/>
    </row>
    <row r="1453" spans="1:9" ht="12.75" hidden="1" customHeight="1" x14ac:dyDescent="0.3">
      <c r="A1453" s="92" t="s">
        <v>0</v>
      </c>
      <c r="B1453" s="117" t="s">
        <v>445</v>
      </c>
      <c r="C1453" s="878" t="str">
        <f>IF($A1453="EQUI",VLOOKUP($B1453,[6]EQUI!B$16:G$46,2,FALSE),IF($A1453="TRAN",VLOOKUP($B1453,[6]TRAN!$B$16:$G$26,2,FALSE),IF(A1453="MAT",VLOOKUP($B1453,[6]MAT!$B$16:$G$189,2,FALSE),IF(A1453="MDEO",VLOOKUP($B1453,[6]MDEO!$B$16:$I$21,2,FALSE)))))</f>
        <v>ESPECIE NIÑA BARCO</v>
      </c>
      <c r="D1453" s="878"/>
      <c r="E1453" s="123" t="str">
        <f>IF($A1453="EQUI",VLOOKUP($B1453,[6]EQUI!A$16:F$46,3,FALSE),IF($A1453="TRAN",VLOOKUP($B1453,[6]TRAN!$B$16:$G$26,3,FALSE),IF($A1453="MAT",VLOOKUP($B1453,[6]MAT!$B$16:$G$189,3,FALSE),IF($A1453="MDEO",VLOOKUP($B1453,[6]MDEO!$B$16:$I$21,3,FALSE)))))</f>
        <v>UN</v>
      </c>
      <c r="F1453" s="123">
        <f>IF($A1453="EQUI",VLOOKUP($B1453,[6]EQUI!B$16:G$46,4,FALSE),IF($A1453="TRAN",VLOOKUP($B1453,[6]TRAN!$B$16:$G$26,4,FALSE),IF($A1453="MAT",VLOOKUP($B1453,[6]MAT!$B$16:$G$189,4,FALSE),IF($A1453="MDEO",VLOOKUP($B1453,[6]MDEO!$B$16:$I$21,4,FALSE)))))</f>
        <v>6500</v>
      </c>
      <c r="G1453" s="115">
        <v>22</v>
      </c>
      <c r="H1453" s="118">
        <f t="shared" si="6"/>
        <v>143000</v>
      </c>
      <c r="I1453" s="50"/>
    </row>
    <row r="1454" spans="1:9" ht="12.75" hidden="1" customHeight="1" x14ac:dyDescent="0.3">
      <c r="A1454" s="92" t="s">
        <v>0</v>
      </c>
      <c r="B1454" s="117" t="s">
        <v>151</v>
      </c>
      <c r="C1454" s="878" t="str">
        <f>IF($A1454="EQUI",VLOOKUP($B1454,[6]EQUI!B$16:G$46,2,FALSE),IF($A1454="TRAN",VLOOKUP($B1454,[6]TRAN!$B$16:$G$26,2,FALSE),IF(A1454="MAT",VLOOKUP($B1454,[6]MAT!$B$16:$G$194,2,FALSE),IF(A1454="MDEO",VLOOKUP($B1454,[6]MDEO!$B$16:$I$21,2,FALSE)))))</f>
        <v xml:space="preserve">FERTILIZANTE FÓSFORO </v>
      </c>
      <c r="D1454" s="878"/>
      <c r="E1454" s="123" t="str">
        <f>IF($A1454="EQUI",VLOOKUP($B1454,[6]EQUI!A$16:F$46,3,FALSE),IF($A1454="TRAN",VLOOKUP($B1454,[6]TRAN!$B$16:$G$26,3,FALSE),IF($A1454="MAT",VLOOKUP($B1454,[6]MAT!$B$16:$G$194,3,FALSE),IF($A1454="MDEO",VLOOKUP($B1454,[6]MDEO!$B$16:$I$21,3,FALSE)))))</f>
        <v>BULTO</v>
      </c>
      <c r="F1454" s="123">
        <f>IF($A1454="EQUI",VLOOKUP($B1454,[6]EQUI!B$16:G$46,4,FALSE),IF($A1454="TRAN",VLOOKUP($B1454,[6]TRAN!$B$16:$G$26,4,FALSE),IF($A1454="MAT",VLOOKUP($B1454,[6]MAT!$B$16:$G$194,4,FALSE),IF($A1454="MDEO",VLOOKUP($B1454,[6]MDEO!$B$16:$I$21,4,FALSE)))))</f>
        <v>110000</v>
      </c>
      <c r="G1454" s="115">
        <v>0.02</v>
      </c>
      <c r="H1454" s="118">
        <f t="shared" si="6"/>
        <v>2200</v>
      </c>
      <c r="I1454" s="50"/>
    </row>
    <row r="1455" spans="1:9" ht="12.75" hidden="1" customHeight="1" x14ac:dyDescent="0.3">
      <c r="A1455" s="92" t="s">
        <v>0</v>
      </c>
      <c r="B1455" s="117" t="s">
        <v>152</v>
      </c>
      <c r="C1455" s="878" t="str">
        <f>IF($A1455="EQUI",VLOOKUP($B1455,[6]EQUI!B$16:G$46,2,FALSE),IF($A1455="TRAN",VLOOKUP($B1455,[6]TRAN!$B$16:$G$26,2,FALSE),IF(A1455="MAT",VLOOKUP($B1455,[6]MAT!$B$16:$G$194,2,FALSE),IF(A1455="MDEO",VLOOKUP($B1455,[6]MDEO!$B$16:$I$21,2,FALSE)))))</f>
        <v>FERTILIZANTE Urea</v>
      </c>
      <c r="D1455" s="878"/>
      <c r="E1455" s="123" t="str">
        <f>IF($A1455="EQUI",VLOOKUP($B1455,[6]EQUI!A$16:F$46,3,FALSE),IF($A1455="TRAN",VLOOKUP($B1455,[6]TRAN!$B$16:$G$26,3,FALSE),IF($A1455="MAT",VLOOKUP($B1455,[6]MAT!$B$16:$G$194,3,FALSE),IF($A1455="MDEO",VLOOKUP($B1455,[6]MDEO!$B$16:$I$21,3,FALSE)))))</f>
        <v>BULTO</v>
      </c>
      <c r="F1455" s="123">
        <f>IF($A1455="EQUI",VLOOKUP($B1455,[6]EQUI!B$16:G$46,4,FALSE),IF($A1455="TRAN",VLOOKUP($B1455,[6]TRAN!$B$16:$G$26,4,FALSE),IF($A1455="MAT",VLOOKUP($B1455,[6]MAT!$B$16:$G$194,4,FALSE),IF($A1455="MDEO",VLOOKUP($B1455,[6]MDEO!$B$16:$I$21,4,FALSE)))))</f>
        <v>95000</v>
      </c>
      <c r="G1455" s="115">
        <v>0.1</v>
      </c>
      <c r="H1455" s="118">
        <f t="shared" si="6"/>
        <v>9500</v>
      </c>
      <c r="I1455" s="50"/>
    </row>
    <row r="1456" spans="1:9" ht="12.75" hidden="1" customHeight="1" x14ac:dyDescent="0.3">
      <c r="A1456" s="92" t="s">
        <v>0</v>
      </c>
      <c r="B1456" s="117" t="s">
        <v>446</v>
      </c>
      <c r="C1456" s="878" t="str">
        <f>IF($A1456="EQUI",VLOOKUP($B1456,[6]EQUI!B$16:G$46,2,FALSE),IF($A1456="TRAN",VLOOKUP($B1456,[6]TRAN!$B$16:$G$26,2,FALSE),IF(A1456="MAT",VLOOKUP($B1456,[6]MAT!$B$16:$G$189,2,FALSE),IF(A1456="MDEO",VLOOKUP($B1456,[6]MDEO!$B$16:$I$21,2,FALSE)))))</f>
        <v>BULTO TIERRA</v>
      </c>
      <c r="D1456" s="878"/>
      <c r="E1456" s="123" t="str">
        <f>IF($A1456="EQUI",VLOOKUP($B1456,[6]EQUI!A$16:F$46,3,FALSE),IF($A1456="TRAN",VLOOKUP($B1456,[6]TRAN!$B$16:$G$26,3,FALSE),IF($A1456="MAT",VLOOKUP($B1456,[6]MAT!$B$16:$G$189,3,FALSE),IF($A1456="MDEO",VLOOKUP($B1456,[6]MDEO!$B$16:$I$21,3,FALSE)))))</f>
        <v>BULTO</v>
      </c>
      <c r="F1456" s="123">
        <f>IF($A1456="EQUI",VLOOKUP($B1456,[6]EQUI!B$16:G$46,4,FALSE),IF($A1456="TRAN",VLOOKUP($B1456,[6]TRAN!$B$16:$G$26,4,FALSE),IF($A1456="MAT",VLOOKUP($B1456,[6]MAT!$B$16:$G$189,4,FALSE),IF($A1456="MDEO",VLOOKUP($B1456,[6]MDEO!$B$16:$I$21,4,FALSE)))))</f>
        <v>15000</v>
      </c>
      <c r="G1456" s="115">
        <v>0.3</v>
      </c>
      <c r="H1456" s="118">
        <f t="shared" si="6"/>
        <v>4500</v>
      </c>
      <c r="I1456" s="50"/>
    </row>
    <row r="1457" spans="1:9" ht="12.75" hidden="1" customHeight="1" x14ac:dyDescent="0.3">
      <c r="A1457" s="49"/>
      <c r="B1457" s="115"/>
      <c r="C1457" s="115"/>
      <c r="D1457" s="115"/>
      <c r="E1457" s="115"/>
      <c r="F1457" s="120" t="s">
        <v>32</v>
      </c>
      <c r="G1457" s="121" t="str">
        <f>+B1440</f>
        <v>5.7</v>
      </c>
      <c r="H1457" s="121" t="s">
        <v>372</v>
      </c>
      <c r="I1457" s="48">
        <f>SUM(H1450:H1456)</f>
        <v>596000</v>
      </c>
    </row>
    <row r="1458" spans="1:9" ht="12.75" hidden="1" customHeight="1" x14ac:dyDescent="0.3">
      <c r="A1458" s="47" t="s">
        <v>15</v>
      </c>
      <c r="B1458" s="3"/>
      <c r="C1458" s="115"/>
      <c r="D1458" s="115"/>
      <c r="E1458" s="115"/>
      <c r="F1458" s="115"/>
      <c r="G1458" s="115"/>
      <c r="H1458" s="115"/>
      <c r="I1458" s="50"/>
    </row>
    <row r="1459" spans="1:9" ht="12.75" hidden="1" customHeight="1" x14ac:dyDescent="0.3">
      <c r="A1459" s="879" t="s">
        <v>19</v>
      </c>
      <c r="B1459" s="868"/>
      <c r="C1459" s="868"/>
      <c r="D1459" s="116" t="s">
        <v>43</v>
      </c>
      <c r="E1459" s="116" t="s">
        <v>44</v>
      </c>
      <c r="F1459" s="123" t="s">
        <v>45</v>
      </c>
      <c r="G1459" s="116" t="s">
        <v>17</v>
      </c>
      <c r="H1459" s="116" t="s">
        <v>30</v>
      </c>
      <c r="I1459" s="50"/>
    </row>
    <row r="1460" spans="1:9" ht="12.75" hidden="1" customHeight="1" x14ac:dyDescent="0.3">
      <c r="A1460" s="51"/>
      <c r="B1460" s="117"/>
      <c r="C1460" s="133"/>
      <c r="D1460" s="123"/>
      <c r="E1460" s="123"/>
      <c r="F1460" s="123"/>
      <c r="G1460" s="116"/>
      <c r="H1460" s="118"/>
      <c r="I1460" s="50"/>
    </row>
    <row r="1461" spans="1:9" ht="12.75" hidden="1" customHeight="1" x14ac:dyDescent="0.3">
      <c r="A1461" s="51"/>
      <c r="B1461" s="117"/>
      <c r="C1461" s="133"/>
      <c r="D1461" s="123"/>
      <c r="E1461" s="123"/>
      <c r="F1461" s="123"/>
      <c r="G1461" s="116"/>
      <c r="H1461" s="118"/>
      <c r="I1461" s="50"/>
    </row>
    <row r="1462" spans="1:9" ht="12.75" hidden="1" customHeight="1" x14ac:dyDescent="0.3">
      <c r="A1462" s="49"/>
      <c r="B1462" s="115"/>
      <c r="C1462" s="115"/>
      <c r="D1462" s="115"/>
      <c r="E1462" s="115"/>
      <c r="F1462" s="120" t="s">
        <v>32</v>
      </c>
      <c r="G1462" s="121" t="str">
        <f>+B1440</f>
        <v>5.7</v>
      </c>
      <c r="H1462" s="121" t="s">
        <v>375</v>
      </c>
      <c r="I1462" s="48">
        <f>SUM(H1460:H1461)</f>
        <v>0</v>
      </c>
    </row>
    <row r="1463" spans="1:9" ht="12.75" hidden="1" customHeight="1" x14ac:dyDescent="0.3">
      <c r="A1463" s="47"/>
      <c r="B1463" s="3"/>
      <c r="C1463" s="115"/>
      <c r="D1463" s="115"/>
      <c r="E1463" s="115"/>
      <c r="F1463" s="115"/>
      <c r="G1463" s="115"/>
      <c r="H1463" s="115"/>
      <c r="I1463" s="50"/>
    </row>
    <row r="1464" spans="1:9" ht="12.75" hidden="1" customHeight="1" x14ac:dyDescent="0.3">
      <c r="A1464" s="882" t="s">
        <v>18</v>
      </c>
      <c r="B1464" s="883"/>
      <c r="C1464" s="883"/>
      <c r="D1464" s="140" t="s">
        <v>48</v>
      </c>
      <c r="E1464" s="140" t="s">
        <v>109</v>
      </c>
      <c r="F1464" s="141" t="s">
        <v>250</v>
      </c>
      <c r="G1464" s="142" t="s">
        <v>251</v>
      </c>
      <c r="H1464" s="140" t="s">
        <v>252</v>
      </c>
      <c r="I1464" s="52"/>
    </row>
    <row r="1465" spans="1:9" ht="12.75" hidden="1" customHeight="1" x14ac:dyDescent="0.3">
      <c r="A1465" s="51" t="s">
        <v>4</v>
      </c>
      <c r="B1465" s="131" t="s">
        <v>175</v>
      </c>
      <c r="C1465" s="126" t="str">
        <f>IF($A1465="EQUI",VLOOKUP($B1465,[6]EQUI!B$16:G$46,2,FALSE),IF($A1465="TRAN",VLOOKUP($B1465,[6]TRAN!$B$16:$G$26,2,FALSE),IF($A1465="MAT",VLOOKUP($B1465,[6]MAT!$B$16:$G$83,2,FALSE),IF($A1465="MDEO",VLOOKUP($B1465,[6]MDEO!$B$16:$I$21,2,FALSE)))))</f>
        <v>OFICIAL</v>
      </c>
      <c r="D1465" s="31">
        <f>IF($A1465="EQUI",VLOOKUP($B1465,[6]EQUI!B$16:G$46,3,FALSE),IF($A1465="TRAN",VLOOKUP($B1465,[6]TRAN!$B$16:$G$26,3,FALSE),IF($A1465="MAT",VLOOKUP($B1465,[6]MAT!$B$16:$G$83,3,FALSE),IF($A1465="MDEO",VLOOKUP($B1465,[6]MDEO!$B$16:$I$21,3,FALSE)))))</f>
        <v>9301.6465000000026</v>
      </c>
      <c r="E1465" s="127">
        <f>IF($A1465="EQUI",VLOOKUP($B1465,[6]EQUI!B$16:G$46,4,FALSE),IF($A1465="TRAN",VLOOKUP($B1465,[6]TRAN!$B$16:$G$26,4,FALSE),IF($A1465="MAT",VLOOKUP($B1465,[6]MAT!$B$16:$G$83,4,FALSE),IF($A1465="MDEO",VLOOKUP($B1465,[6]MDEO!$B$16:$I$21,5,FALSE)))))</f>
        <v>0.56000000000000005</v>
      </c>
      <c r="F1465" s="32">
        <f>+D1465+D1465*E1465</f>
        <v>14510.568540000004</v>
      </c>
      <c r="G1465" s="130">
        <v>0.9</v>
      </c>
      <c r="H1465" s="128">
        <f>G1465*F1465</f>
        <v>13059.511686000003</v>
      </c>
      <c r="I1465" s="50"/>
    </row>
    <row r="1466" spans="1:9" ht="12.75" hidden="1" customHeight="1" x14ac:dyDescent="0.3">
      <c r="A1466" s="51" t="s">
        <v>4</v>
      </c>
      <c r="B1466" s="131" t="s">
        <v>176</v>
      </c>
      <c r="C1466" s="126" t="str">
        <f>IF($A1466="EQUI",VLOOKUP($B1466,[6]EQUI!B$16:G$46,2,FALSE),IF($A1466="TRAN",VLOOKUP($B1466,[6]TRAN!$B$16:$G$26,2,FALSE),IF($A1466="MAT",VLOOKUP($B1466,[6]MAT!$B$16:$G$83,2,FALSE),IF($A1466="MDEO",VLOOKUP($B1466,[6]MDEO!$B$16:$I$21,2,FALSE)))))</f>
        <v>AYUDANTE ENTENDIDO</v>
      </c>
      <c r="D1466" s="31">
        <f>IF($A1466="EQUI",VLOOKUP($B1466,[6]EQUI!B$16:G$46,3,FALSE),IF($A1466="TRAN",VLOOKUP($B1466,[6]TRAN!$B$16:$G$26,3,FALSE),IF($A1466="MAT",VLOOKUP($B1466,[6]MAT!$B$16:$G$83,3,FALSE),IF($A1466="MDEO",VLOOKUP($B1466,[6]MDEO!$B$16:$I$21,3,FALSE)))))</f>
        <v>8051.6465000000007</v>
      </c>
      <c r="E1466" s="127">
        <f>IF($A1466="EQUI",VLOOKUP($B1466,[6]EQUI!B$16:G$46,4,FALSE),IF($A1466="TRAN",VLOOKUP($B1466,[6]TRAN!$B$16:$G$26,4,FALSE),IF($A1466="MAT",VLOOKUP($B1466,[6]MAT!$B$16:$G$83,4,FALSE),IF($A1466="MDEO",VLOOKUP($B1466,[6]MDEO!$B$16:$I$21,5,FALSE)))))</f>
        <v>0.56000000000000005</v>
      </c>
      <c r="F1466" s="32">
        <f>+D1466+D1466*E1466</f>
        <v>12560.568540000002</v>
      </c>
      <c r="G1466" s="130">
        <v>0.9</v>
      </c>
      <c r="H1466" s="128">
        <f>G1466*F1466</f>
        <v>11304.511686000002</v>
      </c>
      <c r="I1466" s="50"/>
    </row>
    <row r="1467" spans="1:9" ht="12.75" hidden="1" customHeight="1" x14ac:dyDescent="0.3">
      <c r="A1467" s="51" t="s">
        <v>4</v>
      </c>
      <c r="B1467" s="131" t="s">
        <v>177</v>
      </c>
      <c r="C1467" s="126" t="str">
        <f>IF($A1467="EQUI",VLOOKUP($B1467,[6]EQUI!B$16:G$46,2,FALSE),IF($A1467="TRAN",VLOOKUP($B1467,[6]TRAN!$B$16:$G$26,2,FALSE),IF($A1467="MAT",VLOOKUP($B1467,[6]MAT!$B$16:$G$83,2,FALSE),IF($A1467="MDEO",VLOOKUP($B1467,[6]MDEO!$B$16:$I$21,2,FALSE)))))</f>
        <v>AYUDANTE</v>
      </c>
      <c r="D1467" s="31">
        <f>IF($A1467="EQUI",VLOOKUP($B1467,[6]EQUI!B$16:G$46,3,FALSE),IF($A1467="TRAN",VLOOKUP($B1467,[6]TRAN!$B$16:$G$26,3,FALSE),IF($A1467="MAT",VLOOKUP($B1467,[6]MAT!$B$16:$G$83,3,FALSE),IF($A1467="MDEO",VLOOKUP($B1467,[6]MDEO!$B$16:$I$21,3,FALSE)))))</f>
        <v>6801.6465000000007</v>
      </c>
      <c r="E1467" s="127">
        <f>IF($A1467="EQUI",VLOOKUP($B1467,[6]EQUI!B$16:G$46,4,FALSE),IF($A1467="TRAN",VLOOKUP($B1467,[6]TRAN!$B$16:$G$26,4,FALSE),IF($A1467="MAT",VLOOKUP($B1467,[6]MAT!$B$16:$G$83,4,FALSE),IF($A1467="MDEO",VLOOKUP($B1467,[6]MDEO!$B$16:$I$21,5,FALSE)))))</f>
        <v>0.56000000000000005</v>
      </c>
      <c r="F1467" s="32">
        <f>+D1467+D1467*E1467</f>
        <v>10610.568540000002</v>
      </c>
      <c r="G1467" s="130">
        <v>1.8</v>
      </c>
      <c r="H1467" s="128">
        <f>G1467*F1467</f>
        <v>19099.023372000003</v>
      </c>
      <c r="I1467" s="50"/>
    </row>
    <row r="1468" spans="1:9" ht="12.75" hidden="1" customHeight="1" x14ac:dyDescent="0.3">
      <c r="A1468" s="51"/>
      <c r="B1468" s="131"/>
      <c r="C1468" s="126"/>
      <c r="D1468" s="31"/>
      <c r="E1468" s="127"/>
      <c r="F1468" s="32"/>
      <c r="G1468" s="130"/>
      <c r="H1468" s="128"/>
      <c r="I1468" s="50"/>
    </row>
    <row r="1469" spans="1:9" ht="12.75" hidden="1" customHeight="1" x14ac:dyDescent="0.3">
      <c r="A1469" s="51"/>
      <c r="B1469" s="131"/>
      <c r="C1469" s="126"/>
      <c r="D1469" s="31"/>
      <c r="E1469" s="127"/>
      <c r="F1469" s="32"/>
      <c r="G1469" s="130"/>
      <c r="H1469" s="128"/>
      <c r="I1469" s="50"/>
    </row>
    <row r="1470" spans="1:9" ht="12.75" hidden="1" customHeight="1" x14ac:dyDescent="0.3">
      <c r="A1470" s="879"/>
      <c r="B1470" s="868"/>
      <c r="C1470" s="115"/>
      <c r="D1470" s="115"/>
      <c r="E1470" s="115"/>
      <c r="F1470" s="115"/>
      <c r="G1470" s="115"/>
      <c r="H1470" s="115"/>
      <c r="I1470" s="50"/>
    </row>
    <row r="1471" spans="1:9" ht="12.75" hidden="1" customHeight="1" x14ac:dyDescent="0.3">
      <c r="A1471" s="49"/>
      <c r="B1471" s="115"/>
      <c r="C1471" s="115"/>
      <c r="D1471" s="115"/>
      <c r="E1471" s="115"/>
      <c r="F1471" s="120" t="s">
        <v>32</v>
      </c>
      <c r="G1471" s="121" t="str">
        <f>+B1440</f>
        <v>5.7</v>
      </c>
      <c r="H1471" s="120" t="s">
        <v>378</v>
      </c>
      <c r="I1471" s="48">
        <f>SUM(H1465:H1470)</f>
        <v>43463.046744000007</v>
      </c>
    </row>
    <row r="1472" spans="1:9" ht="12.75" hidden="1" customHeight="1" x14ac:dyDescent="0.3">
      <c r="A1472" s="49" t="s">
        <v>54</v>
      </c>
      <c r="B1472" s="115"/>
      <c r="C1472" s="115"/>
      <c r="D1472" s="115"/>
      <c r="E1472" s="115"/>
      <c r="F1472" s="115"/>
      <c r="G1472" s="115"/>
      <c r="H1472" s="116"/>
      <c r="I1472" s="48">
        <f>I1471*0.05</f>
        <v>2173.1523372000006</v>
      </c>
    </row>
    <row r="1473" spans="1:9" ht="12.75" hidden="1" customHeight="1" x14ac:dyDescent="0.3">
      <c r="A1473" s="49"/>
      <c r="B1473" s="115"/>
      <c r="C1473" s="115"/>
      <c r="D1473" s="115"/>
      <c r="E1473" s="115"/>
      <c r="F1473" s="120" t="s">
        <v>55</v>
      </c>
      <c r="G1473" s="116"/>
      <c r="H1473" s="116"/>
      <c r="I1473" s="48">
        <f>ROUND(I1471+I1472+I1457+I1447+I1462,0)</f>
        <v>641636</v>
      </c>
    </row>
    <row r="1474" spans="1:9" ht="12.75" hidden="1" customHeight="1" x14ac:dyDescent="0.3">
      <c r="A1474" s="879" t="s">
        <v>56</v>
      </c>
      <c r="B1474" s="868"/>
      <c r="C1474" s="868"/>
      <c r="D1474" s="868"/>
      <c r="E1474" s="868" t="s">
        <v>57</v>
      </c>
      <c r="F1474" s="868"/>
      <c r="G1474" s="875" t="s">
        <v>58</v>
      </c>
      <c r="H1474" s="875"/>
      <c r="I1474" s="48"/>
    </row>
    <row r="1475" spans="1:9" ht="12.75" hidden="1" customHeight="1" x14ac:dyDescent="0.3">
      <c r="A1475" s="879" t="s">
        <v>208</v>
      </c>
      <c r="B1475" s="868"/>
      <c r="C1475" s="868"/>
      <c r="D1475" s="868"/>
      <c r="E1475" s="876">
        <v>0.02</v>
      </c>
      <c r="F1475" s="876"/>
      <c r="G1475" s="875">
        <f>+I1473*E1475</f>
        <v>12832.720000000001</v>
      </c>
      <c r="H1475" s="875"/>
      <c r="I1475" s="48"/>
    </row>
    <row r="1476" spans="1:9" ht="12.75" hidden="1" customHeight="1" x14ac:dyDescent="0.3">
      <c r="A1476" s="879" t="s">
        <v>5</v>
      </c>
      <c r="B1476" s="868"/>
      <c r="C1476" s="868"/>
      <c r="D1476" s="868"/>
      <c r="E1476" s="876">
        <v>0.23</v>
      </c>
      <c r="F1476" s="876"/>
      <c r="G1476" s="875">
        <f>+E1476*I1473</f>
        <v>147576.28</v>
      </c>
      <c r="H1476" s="875"/>
      <c r="I1476" s="48"/>
    </row>
    <row r="1477" spans="1:9" ht="12.75" hidden="1" customHeight="1" x14ac:dyDescent="0.3">
      <c r="A1477" s="879" t="s">
        <v>6</v>
      </c>
      <c r="B1477" s="868"/>
      <c r="C1477" s="868"/>
      <c r="D1477" s="868"/>
      <c r="E1477" s="876">
        <v>0.05</v>
      </c>
      <c r="F1477" s="876"/>
      <c r="G1477" s="875">
        <f>+E1477*I1473</f>
        <v>32081.800000000003</v>
      </c>
      <c r="H1477" s="875"/>
      <c r="I1477" s="48"/>
    </row>
    <row r="1478" spans="1:9" ht="12.75" hidden="1" customHeight="1" x14ac:dyDescent="0.3">
      <c r="A1478" s="879" t="s">
        <v>207</v>
      </c>
      <c r="B1478" s="868"/>
      <c r="C1478" s="868"/>
      <c r="D1478" s="868"/>
      <c r="E1478" s="876">
        <v>0.02</v>
      </c>
      <c r="F1478" s="876"/>
      <c r="G1478" s="875">
        <f>+E1478*I1473</f>
        <v>12832.720000000001</v>
      </c>
      <c r="H1478" s="875"/>
      <c r="I1478" s="48"/>
    </row>
    <row r="1479" spans="1:9" ht="12.75" hidden="1" customHeight="1" x14ac:dyDescent="0.3">
      <c r="A1479" s="880" t="s">
        <v>397</v>
      </c>
      <c r="B1479" s="867"/>
      <c r="C1479" s="867"/>
      <c r="D1479" s="867"/>
      <c r="E1479" s="867"/>
      <c r="F1479" s="867"/>
      <c r="G1479" s="867"/>
      <c r="H1479" s="867"/>
      <c r="I1479" s="48">
        <f>+G1478+G1476+G1477+G1475</f>
        <v>205323.51999999999</v>
      </c>
    </row>
    <row r="1480" spans="1:9" ht="12.75" hidden="1" customHeight="1" x14ac:dyDescent="0.3">
      <c r="A1480" s="880" t="s">
        <v>59</v>
      </c>
      <c r="B1480" s="867"/>
      <c r="C1480" s="867"/>
      <c r="D1480" s="867"/>
      <c r="E1480" s="867"/>
      <c r="F1480" s="867"/>
      <c r="G1480" s="867"/>
      <c r="H1480" s="867"/>
      <c r="I1480" s="48">
        <f>+I1479+I1473</f>
        <v>846959.52</v>
      </c>
    </row>
    <row r="1481" spans="1:9" ht="12.75" hidden="1" customHeight="1" x14ac:dyDescent="0.3">
      <c r="A1481" s="93"/>
      <c r="B1481" s="65"/>
      <c r="C1481" s="65"/>
      <c r="D1481" s="65"/>
      <c r="E1481" s="65"/>
      <c r="F1481" s="65"/>
      <c r="G1481" s="65"/>
      <c r="H1481" s="65"/>
      <c r="I1481" s="48"/>
    </row>
    <row r="1482" spans="1:9" ht="12.75" hidden="1" customHeight="1" x14ac:dyDescent="0.3">
      <c r="A1482" s="881" t="s">
        <v>114</v>
      </c>
      <c r="B1482" s="604"/>
      <c r="C1482" s="604"/>
      <c r="D1482" s="65"/>
      <c r="E1482" s="65"/>
      <c r="F1482" s="604" t="s">
        <v>396</v>
      </c>
      <c r="G1482" s="604"/>
      <c r="H1482" s="604"/>
      <c r="I1482" s="894"/>
    </row>
    <row r="1483" spans="1:9" ht="12.75" hidden="1" customHeight="1" x14ac:dyDescent="0.3">
      <c r="A1483" s="92" t="s">
        <v>111</v>
      </c>
      <c r="B1483" s="868"/>
      <c r="C1483" s="868"/>
      <c r="D1483" s="115"/>
      <c r="E1483" s="115"/>
      <c r="F1483" s="116" t="s">
        <v>111</v>
      </c>
      <c r="G1483" s="868"/>
      <c r="H1483" s="868"/>
      <c r="I1483" s="884"/>
    </row>
    <row r="1484" spans="1:9" ht="12.75" hidden="1" customHeight="1" x14ac:dyDescent="0.3">
      <c r="A1484" s="132" t="s">
        <v>115</v>
      </c>
      <c r="B1484" s="868" t="str">
        <f>VLOOKUP(A1484,[6]INICIO!$E$6:$H$26,2,FALSE)</f>
        <v>LINA MARCELA</v>
      </c>
      <c r="C1484" s="868"/>
      <c r="F1484" s="86" t="s">
        <v>112</v>
      </c>
      <c r="G1484" s="868"/>
      <c r="H1484" s="868"/>
      <c r="I1484" s="884"/>
    </row>
    <row r="1485" spans="1:9" ht="12.75" hidden="1" customHeight="1" x14ac:dyDescent="0.3">
      <c r="A1485" s="132" t="s">
        <v>113</v>
      </c>
      <c r="B1485" s="868" t="str">
        <f>VLOOKUP(A1484,[6]INICIO!$E$6:$H$26,4,FALSE)</f>
        <v>05202-316814 ANT</v>
      </c>
      <c r="C1485" s="868"/>
      <c r="F1485" s="86" t="s">
        <v>113</v>
      </c>
      <c r="G1485" s="868"/>
      <c r="H1485" s="868"/>
      <c r="I1485" s="884"/>
    </row>
    <row r="1486" spans="1:9" ht="12.75" hidden="1" customHeight="1" x14ac:dyDescent="0.3">
      <c r="A1486" s="132"/>
      <c r="B1486" s="116"/>
      <c r="C1486" s="116"/>
      <c r="F1486" s="86"/>
      <c r="G1486" s="116"/>
      <c r="H1486" s="116"/>
      <c r="I1486" s="95"/>
    </row>
    <row r="1487" spans="1:9" ht="12.75" hidden="1" customHeight="1" x14ac:dyDescent="0.3">
      <c r="A1487" s="872" t="s">
        <v>110</v>
      </c>
      <c r="B1487" s="869"/>
      <c r="C1487" s="869"/>
      <c r="D1487" s="869"/>
      <c r="E1487" s="869"/>
      <c r="F1487" s="869"/>
      <c r="G1487" s="869"/>
      <c r="H1487" s="869"/>
      <c r="I1487" s="873"/>
    </row>
    <row r="1488" spans="1:9" ht="12.75" hidden="1" customHeight="1" x14ac:dyDescent="0.3">
      <c r="A1488" s="870"/>
      <c r="B1488" s="691"/>
      <c r="C1488" s="691"/>
      <c r="D1488" s="691"/>
      <c r="E1488" s="691"/>
      <c r="F1488" s="691"/>
      <c r="G1488" s="691"/>
      <c r="H1488" s="691"/>
      <c r="I1488" s="871"/>
    </row>
    <row r="1489" spans="1:9" ht="12.75" hidden="1" customHeight="1" x14ac:dyDescent="0.3">
      <c r="A1489" s="872"/>
      <c r="B1489" s="869"/>
      <c r="C1489" s="869"/>
      <c r="D1489" s="869"/>
      <c r="E1489" s="869"/>
      <c r="F1489" s="869"/>
      <c r="G1489" s="869"/>
      <c r="H1489" s="869"/>
      <c r="I1489" s="873"/>
    </row>
    <row r="1490" spans="1:9" ht="21" hidden="1" customHeight="1" x14ac:dyDescent="0.3"/>
    <row r="1491" spans="1:9" ht="12.75" hidden="1" customHeight="1" x14ac:dyDescent="0.3">
      <c r="A1491" s="881" t="s">
        <v>68</v>
      </c>
      <c r="B1491" s="604"/>
      <c r="C1491" s="604"/>
      <c r="D1491" s="604"/>
      <c r="E1491" s="604"/>
      <c r="F1491" s="604"/>
      <c r="G1491" s="604"/>
      <c r="H1491" s="604"/>
      <c r="I1491" s="894"/>
    </row>
    <row r="1492" spans="1:9" ht="12.75" hidden="1" customHeight="1" x14ac:dyDescent="0.3">
      <c r="A1492" s="94" t="s">
        <v>69</v>
      </c>
      <c r="B1492" s="112" t="s">
        <v>455</v>
      </c>
      <c r="C1492" s="604" t="s">
        <v>70</v>
      </c>
      <c r="D1492" s="874" t="str">
        <f>VLOOKUP(B1492,[6]PRESUPUESTO!$A$18:$I$90,3,FALSE)</f>
        <v>ESPECIES Y JARDINERIA ZONA VERDE TIPO II</v>
      </c>
      <c r="E1492" s="874"/>
      <c r="F1492" s="874"/>
      <c r="G1492" s="874"/>
      <c r="H1492" s="874"/>
      <c r="I1492" s="877"/>
    </row>
    <row r="1493" spans="1:9" ht="12.75" hidden="1" customHeight="1" x14ac:dyDescent="0.3">
      <c r="A1493" s="94" t="s">
        <v>71</v>
      </c>
      <c r="B1493" s="112" t="str">
        <f>VLOOKUP(B1492,[6]PRESUPUESTO!$A$18:$I$90,2,FALSE)</f>
        <v>820-13E</v>
      </c>
      <c r="C1493" s="604"/>
      <c r="D1493" s="140" t="s">
        <v>12</v>
      </c>
      <c r="E1493" s="113" t="s">
        <v>12</v>
      </c>
      <c r="F1493" s="113" t="s">
        <v>13</v>
      </c>
      <c r="G1493" s="113" t="e">
        <f>VLOOKUP(B1493,[6]PRESUPUESTO!$B$15:$I$1222,5,FALSE)</f>
        <v>#N/A</v>
      </c>
      <c r="H1493" s="114" t="s">
        <v>27</v>
      </c>
      <c r="I1493" s="46">
        <f>+I1525</f>
        <v>743436</v>
      </c>
    </row>
    <row r="1494" spans="1:9" ht="12.75" hidden="1" customHeight="1" x14ac:dyDescent="0.3">
      <c r="A1494" s="47" t="s">
        <v>14</v>
      </c>
      <c r="B1494" s="3"/>
      <c r="C1494" s="115"/>
      <c r="D1494" s="115"/>
      <c r="E1494" s="115"/>
      <c r="F1494" s="115"/>
      <c r="G1494" s="115"/>
      <c r="H1494" s="115"/>
      <c r="I1494" s="48"/>
    </row>
    <row r="1495" spans="1:9" ht="12.75" hidden="1" customHeight="1" x14ac:dyDescent="0.3">
      <c r="A1495" s="879" t="s">
        <v>19</v>
      </c>
      <c r="B1495" s="868"/>
      <c r="C1495" s="868"/>
      <c r="D1495" s="868"/>
      <c r="E1495" s="868"/>
      <c r="F1495" s="116" t="s">
        <v>28</v>
      </c>
      <c r="G1495" s="116" t="s">
        <v>29</v>
      </c>
      <c r="H1495" s="116" t="s">
        <v>30</v>
      </c>
      <c r="I1495" s="50"/>
    </row>
    <row r="1496" spans="1:9" ht="12.75" hidden="1" customHeight="1" x14ac:dyDescent="0.3">
      <c r="A1496" s="92" t="s">
        <v>1</v>
      </c>
      <c r="B1496" s="117" t="s">
        <v>90</v>
      </c>
      <c r="C1496" s="878"/>
      <c r="D1496" s="878"/>
      <c r="E1496" s="878"/>
      <c r="F1496" s="123"/>
      <c r="G1496" s="115"/>
      <c r="H1496" s="118"/>
      <c r="I1496" s="50"/>
    </row>
    <row r="1497" spans="1:9" ht="12.75" hidden="1" customHeight="1" x14ac:dyDescent="0.3">
      <c r="A1497" s="92" t="s">
        <v>1</v>
      </c>
      <c r="B1497" s="117" t="s">
        <v>86</v>
      </c>
      <c r="C1497" s="878"/>
      <c r="D1497" s="878"/>
      <c r="E1497" s="878"/>
      <c r="F1497" s="123"/>
      <c r="G1497" s="115"/>
      <c r="H1497" s="118"/>
      <c r="I1497" s="50"/>
    </row>
    <row r="1498" spans="1:9" ht="12.75" hidden="1" customHeight="1" x14ac:dyDescent="0.3">
      <c r="A1498" s="92" t="s">
        <v>1</v>
      </c>
      <c r="B1498" s="117" t="s">
        <v>98</v>
      </c>
      <c r="C1498" s="878"/>
      <c r="D1498" s="878"/>
      <c r="E1498" s="878"/>
      <c r="F1498" s="123"/>
      <c r="G1498" s="115"/>
      <c r="H1498" s="118"/>
      <c r="I1498" s="50"/>
    </row>
    <row r="1499" spans="1:9" ht="12.75" hidden="1" customHeight="1" x14ac:dyDescent="0.3">
      <c r="A1499" s="49"/>
      <c r="B1499" s="115"/>
      <c r="C1499" s="115"/>
      <c r="D1499" s="115"/>
      <c r="E1499" s="115"/>
      <c r="F1499" s="120" t="s">
        <v>32</v>
      </c>
      <c r="G1499" s="121" t="str">
        <f>+B1492</f>
        <v>5.8</v>
      </c>
      <c r="H1499" s="121" t="s">
        <v>369</v>
      </c>
      <c r="I1499" s="48">
        <f>SUM(H1496:H1498)</f>
        <v>0</v>
      </c>
    </row>
    <row r="1500" spans="1:9" ht="12.75" hidden="1" customHeight="1" x14ac:dyDescent="0.3">
      <c r="A1500" s="47" t="s">
        <v>34</v>
      </c>
      <c r="B1500" s="3"/>
      <c r="C1500" s="115"/>
      <c r="D1500" s="115"/>
      <c r="E1500" s="115"/>
      <c r="F1500" s="115"/>
      <c r="G1500" s="115"/>
      <c r="H1500" s="115"/>
      <c r="I1500" s="50"/>
    </row>
    <row r="1501" spans="1:9" ht="12.75" hidden="1" customHeight="1" x14ac:dyDescent="0.3">
      <c r="A1501" s="879" t="s">
        <v>35</v>
      </c>
      <c r="B1501" s="868"/>
      <c r="C1501" s="868"/>
      <c r="D1501" s="868"/>
      <c r="E1501" s="116" t="s">
        <v>12</v>
      </c>
      <c r="F1501" s="116" t="s">
        <v>36</v>
      </c>
      <c r="G1501" s="116" t="s">
        <v>37</v>
      </c>
      <c r="H1501" s="116" t="s">
        <v>38</v>
      </c>
      <c r="I1501" s="50"/>
    </row>
    <row r="1502" spans="1:9" ht="12.75" hidden="1" customHeight="1" x14ac:dyDescent="0.3">
      <c r="A1502" s="92" t="s">
        <v>0</v>
      </c>
      <c r="B1502" s="117" t="s">
        <v>449</v>
      </c>
      <c r="C1502" s="878" t="str">
        <f>IF($A1502="EQUI",VLOOKUP($B1502,[6]EQUI!B$16:G$46,2,FALSE),IF($A1502="TRAN",VLOOKUP($B1502,[6]TRAN!$B$16:$G$26,2,FALSE),IF(A1502="MAT",VLOOKUP($B1502,[6]MAT!$B$16:$G$189,2,FALSE),IF(A1502="MDEO",VLOOKUP($B1502,[6]MDEO!$B$16:$I$21,2,FALSE)))))</f>
        <v>ESPECIE DURANTA ROJA</v>
      </c>
      <c r="D1502" s="878"/>
      <c r="E1502" s="123" t="str">
        <f>IF($A1502="EQUI",VLOOKUP($B1502,[6]EQUI!A$16:F$46,3,FALSE),IF($A1502="TRAN",VLOOKUP($B1502,[6]TRAN!$B$16:$G$26,3,FALSE),IF($A1502="MAT",VLOOKUP($B1502,[6]MAT!$B$16:$G$189,3,FALSE),IF($A1502="MDEO",VLOOKUP($B1502,[6]MDEO!$B$16:$I$21,3,FALSE)))))</f>
        <v>UN</v>
      </c>
      <c r="F1502" s="123">
        <f>IF($A1502="EQUI",VLOOKUP($B1502,[6]EQUI!B$16:G$46,4,FALSE),IF($A1502="TRAN",VLOOKUP($B1502,[6]TRAN!$B$16:$G$26,4,FALSE),IF($A1502="MAT",VLOOKUP($B1502,[6]MAT!$B$16:$G$189,4,FALSE),IF($A1502="MDEO",VLOOKUP($B1502,[6]MDEO!$B$16:$I$21,4,FALSE)))))</f>
        <v>4800</v>
      </c>
      <c r="G1502" s="115">
        <v>33</v>
      </c>
      <c r="H1502" s="118">
        <f t="shared" ref="H1502:H1508" si="7">+F1502*G1502</f>
        <v>158400</v>
      </c>
      <c r="I1502" s="50"/>
    </row>
    <row r="1503" spans="1:9" ht="12.75" hidden="1" customHeight="1" x14ac:dyDescent="0.3">
      <c r="A1503" s="92" t="s">
        <v>0</v>
      </c>
      <c r="B1503" s="117" t="s">
        <v>450</v>
      </c>
      <c r="C1503" s="878" t="str">
        <f>IF($A1503="EQUI",VLOOKUP($B1503,[6]EQUI!B$16:G$46,2,FALSE),IF($A1503="TRAN",VLOOKUP($B1503,[6]TRAN!$B$16:$G$26,2,FALSE),IF(A1503="MAT",VLOOKUP($B1503,[6]MAT!$B$16:$G$189,2,FALSE),IF(A1503="MDEO",VLOOKUP($B1503,[6]MDEO!$B$16:$I$21,2,FALSE)))))</f>
        <v>ESPECIE OITI</v>
      </c>
      <c r="D1503" s="878"/>
      <c r="E1503" s="123" t="str">
        <f>IF($A1503="EQUI",VLOOKUP($B1503,[6]EQUI!A$16:F$46,3,FALSE),IF($A1503="TRAN",VLOOKUP($B1503,[6]TRAN!$B$16:$G$26,3,FALSE),IF($A1503="MAT",VLOOKUP($B1503,[6]MAT!$B$16:$G$189,3,FALSE),IF($A1503="MDEO",VLOOKUP($B1503,[6]MDEO!$B$16:$I$21,3,FALSE)))))</f>
        <v>UN</v>
      </c>
      <c r="F1503" s="123">
        <f>IF($A1503="EQUI",VLOOKUP($B1503,[6]EQUI!B$16:G$46,4,FALSE),IF($A1503="TRAN",VLOOKUP($B1503,[6]TRAN!$B$16:$G$26,4,FALSE),IF($A1503="MAT",VLOOKUP($B1503,[6]MAT!$B$16:$G$189,4,FALSE),IF($A1503="MDEO",VLOOKUP($B1503,[6]MDEO!$B$16:$I$21,4,FALSE)))))</f>
        <v>33600</v>
      </c>
      <c r="G1503" s="115">
        <v>3</v>
      </c>
      <c r="H1503" s="118">
        <f t="shared" si="7"/>
        <v>100800</v>
      </c>
      <c r="I1503" s="50"/>
    </row>
    <row r="1504" spans="1:9" ht="12.75" hidden="1" customHeight="1" x14ac:dyDescent="0.3">
      <c r="A1504" s="92" t="s">
        <v>0</v>
      </c>
      <c r="B1504" s="117" t="s">
        <v>451</v>
      </c>
      <c r="C1504" s="878" t="str">
        <f>IF($A1504="EQUI",VLOOKUP($B1504,[6]EQUI!B$16:G$46,2,FALSE),IF($A1504="TRAN",VLOOKUP($B1504,[6]TRAN!$B$16:$G$26,2,FALSE),IF(A1504="MAT",VLOOKUP($B1504,[6]MAT!$B$16:$G$189,2,FALSE),IF(A1504="MDEO",VLOOKUP($B1504,[6]MDEO!$B$16:$I$21,2,FALSE)))))</f>
        <v>ESPECIE LENGUA DE SUEGRA</v>
      </c>
      <c r="D1504" s="878"/>
      <c r="E1504" s="123" t="str">
        <f>IF($A1504="EQUI",VLOOKUP($B1504,[6]EQUI!A$16:F$46,3,FALSE),IF($A1504="TRAN",VLOOKUP($B1504,[6]TRAN!$B$16:$G$26,3,FALSE),IF($A1504="MAT",VLOOKUP($B1504,[6]MAT!$B$16:$G$189,3,FALSE),IF($A1504="MDEO",VLOOKUP($B1504,[6]MDEO!$B$16:$I$21,3,FALSE)))))</f>
        <v>UN</v>
      </c>
      <c r="F1504" s="123">
        <f>IF($A1504="EQUI",VLOOKUP($B1504,[6]EQUI!B$16:G$46,4,FALSE),IF($A1504="TRAN",VLOOKUP($B1504,[6]TRAN!$B$16:$G$26,4,FALSE),IF($A1504="MAT",VLOOKUP($B1504,[6]MAT!$B$16:$G$189,4,FALSE),IF($A1504="MDEO",VLOOKUP($B1504,[6]MDEO!$B$16:$I$21,4,FALSE)))))</f>
        <v>18000</v>
      </c>
      <c r="G1504" s="115">
        <v>16</v>
      </c>
      <c r="H1504" s="118">
        <f t="shared" si="7"/>
        <v>288000</v>
      </c>
      <c r="I1504" s="50"/>
    </row>
    <row r="1505" spans="1:9" ht="12.75" hidden="1" customHeight="1" x14ac:dyDescent="0.3">
      <c r="A1505" s="92" t="s">
        <v>0</v>
      </c>
      <c r="B1505" s="117" t="s">
        <v>454</v>
      </c>
      <c r="C1505" s="878" t="str">
        <f>IF($A1505="EQUI",VLOOKUP($B1505,[6]EQUI!B$16:G$46,2,FALSE),IF($A1505="TRAN",VLOOKUP($B1505,[6]TRAN!$B$16:$G$26,2,FALSE),IF(A1505="MAT",VLOOKUP($B1505,[6]MAT!$B$16:$G$189,2,FALSE),IF(A1505="MDEO",VLOOKUP($B1505,[6]MDEO!$B$16:$I$21,2,FALSE)))))</f>
        <v>ESPECIE HELICONIA</v>
      </c>
      <c r="D1505" s="878"/>
      <c r="E1505" s="123" t="str">
        <f>IF($A1505="EQUI",VLOOKUP($B1505,[6]EQUI!A$16:F$46,3,FALSE),IF($A1505="TRAN",VLOOKUP($B1505,[6]TRAN!$B$16:$G$26,3,FALSE),IF($A1505="MAT",VLOOKUP($B1505,[6]MAT!$B$16:$G$189,3,FALSE),IF($A1505="MDEO",VLOOKUP($B1505,[6]MDEO!$B$16:$I$21,3,FALSE)))))</f>
        <v>UN</v>
      </c>
      <c r="F1505" s="123">
        <f>IF($A1505="EQUI",VLOOKUP($B1505,[6]EQUI!B$16:G$46,4,FALSE),IF($A1505="TRAN",VLOOKUP($B1505,[6]TRAN!$B$16:$G$26,4,FALSE),IF($A1505="MAT",VLOOKUP($B1505,[6]MAT!$B$16:$G$189,4,FALSE),IF($A1505="MDEO",VLOOKUP($B1505,[6]MDEO!$B$16:$I$21,4,FALSE)))))</f>
        <v>11200.000000000002</v>
      </c>
      <c r="G1505" s="115">
        <v>12</v>
      </c>
      <c r="H1505" s="118">
        <f t="shared" si="7"/>
        <v>134400.00000000003</v>
      </c>
      <c r="I1505" s="50"/>
    </row>
    <row r="1506" spans="1:9" ht="12.75" hidden="1" customHeight="1" x14ac:dyDescent="0.3">
      <c r="A1506" s="92" t="s">
        <v>0</v>
      </c>
      <c r="B1506" s="117" t="s">
        <v>151</v>
      </c>
      <c r="C1506" s="878" t="str">
        <f>IF($A1506="EQUI",VLOOKUP($B1506,[6]EQUI!B$16:G$46,2,FALSE),IF($A1506="TRAN",VLOOKUP($B1506,[6]TRAN!$B$16:$G$26,2,FALSE),IF(A1506="MAT",VLOOKUP($B1506,[6]MAT!$B$16:$G$194,2,FALSE),IF(A1506="MDEO",VLOOKUP($B1506,[6]MDEO!$B$16:$I$21,2,FALSE)))))</f>
        <v xml:space="preserve">FERTILIZANTE FÓSFORO </v>
      </c>
      <c r="D1506" s="878"/>
      <c r="E1506" s="123" t="str">
        <f>IF($A1506="EQUI",VLOOKUP($B1506,[6]EQUI!A$16:F$46,3,FALSE),IF($A1506="TRAN",VLOOKUP($B1506,[6]TRAN!$B$16:$G$26,3,FALSE),IF($A1506="MAT",VLOOKUP($B1506,[6]MAT!$B$16:$G$194,3,FALSE),IF($A1506="MDEO",VLOOKUP($B1506,[6]MDEO!$B$16:$I$21,3,FALSE)))))</f>
        <v>BULTO</v>
      </c>
      <c r="F1506" s="123">
        <f>IF($A1506="EQUI",VLOOKUP($B1506,[6]EQUI!B$16:G$46,4,FALSE),IF($A1506="TRAN",VLOOKUP($B1506,[6]TRAN!$B$16:$G$26,4,FALSE),IF($A1506="MAT",VLOOKUP($B1506,[6]MAT!$B$16:$G$194,4,FALSE),IF($A1506="MDEO",VLOOKUP($B1506,[6]MDEO!$B$16:$I$21,4,FALSE)))))</f>
        <v>110000</v>
      </c>
      <c r="G1506" s="115">
        <v>0.02</v>
      </c>
      <c r="H1506" s="118">
        <f t="shared" si="7"/>
        <v>2200</v>
      </c>
      <c r="I1506" s="50"/>
    </row>
    <row r="1507" spans="1:9" ht="12.75" hidden="1" customHeight="1" x14ac:dyDescent="0.3">
      <c r="A1507" s="92" t="s">
        <v>0</v>
      </c>
      <c r="B1507" s="117" t="s">
        <v>152</v>
      </c>
      <c r="C1507" s="878" t="str">
        <f>IF($A1507="EQUI",VLOOKUP($B1507,[6]EQUI!B$16:G$46,2,FALSE),IF($A1507="TRAN",VLOOKUP($B1507,[6]TRAN!$B$16:$G$26,2,FALSE),IF(A1507="MAT",VLOOKUP($B1507,[6]MAT!$B$16:$G$194,2,FALSE),IF(A1507="MDEO",VLOOKUP($B1507,[6]MDEO!$B$16:$I$21,2,FALSE)))))</f>
        <v>FERTILIZANTE Urea</v>
      </c>
      <c r="D1507" s="878"/>
      <c r="E1507" s="123" t="str">
        <f>IF($A1507="EQUI",VLOOKUP($B1507,[6]EQUI!A$16:F$46,3,FALSE),IF($A1507="TRAN",VLOOKUP($B1507,[6]TRAN!$B$16:$G$26,3,FALSE),IF($A1507="MAT",VLOOKUP($B1507,[6]MAT!$B$16:$G$194,3,FALSE),IF($A1507="MDEO",VLOOKUP($B1507,[6]MDEO!$B$16:$I$21,3,FALSE)))))</f>
        <v>BULTO</v>
      </c>
      <c r="F1507" s="123">
        <f>IF($A1507="EQUI",VLOOKUP($B1507,[6]EQUI!B$16:G$46,4,FALSE),IF($A1507="TRAN",VLOOKUP($B1507,[6]TRAN!$B$16:$G$26,4,FALSE),IF($A1507="MAT",VLOOKUP($B1507,[6]MAT!$B$16:$G$194,4,FALSE),IF($A1507="MDEO",VLOOKUP($B1507,[6]MDEO!$B$16:$I$21,4,FALSE)))))</f>
        <v>95000</v>
      </c>
      <c r="G1507" s="115">
        <v>0.1</v>
      </c>
      <c r="H1507" s="118">
        <f t="shared" si="7"/>
        <v>9500</v>
      </c>
      <c r="I1507" s="50"/>
    </row>
    <row r="1508" spans="1:9" ht="12.75" hidden="1" customHeight="1" x14ac:dyDescent="0.3">
      <c r="A1508" s="92" t="s">
        <v>0</v>
      </c>
      <c r="B1508" s="117" t="s">
        <v>446</v>
      </c>
      <c r="C1508" s="878" t="str">
        <f>IF($A1508="EQUI",VLOOKUP($B1508,[6]EQUI!B$16:G$46,2,FALSE),IF($A1508="TRAN",VLOOKUP($B1508,[6]TRAN!$B$16:$G$26,2,FALSE),IF(A1508="MAT",VLOOKUP($B1508,[6]MAT!$B$16:$G$189,2,FALSE),IF(A1508="MDEO",VLOOKUP($B1508,[6]MDEO!$B$16:$I$21,2,FALSE)))))</f>
        <v>BULTO TIERRA</v>
      </c>
      <c r="D1508" s="878"/>
      <c r="E1508" s="123" t="str">
        <f>IF($A1508="EQUI",VLOOKUP($B1508,[6]EQUI!A$16:F$46,3,FALSE),IF($A1508="TRAN",VLOOKUP($B1508,[6]TRAN!$B$16:$G$26,3,FALSE),IF($A1508="MAT",VLOOKUP($B1508,[6]MAT!$B$16:$G$189,3,FALSE),IF($A1508="MDEO",VLOOKUP($B1508,[6]MDEO!$B$16:$I$21,3,FALSE)))))</f>
        <v>BULTO</v>
      </c>
      <c r="F1508" s="123">
        <f>IF($A1508="EQUI",VLOOKUP($B1508,[6]EQUI!B$16:G$46,4,FALSE),IF($A1508="TRAN",VLOOKUP($B1508,[6]TRAN!$B$16:$G$26,4,FALSE),IF($A1508="MAT",VLOOKUP($B1508,[6]MAT!$B$16:$G$189,4,FALSE),IF($A1508="MDEO",VLOOKUP($B1508,[6]MDEO!$B$16:$I$21,4,FALSE)))))</f>
        <v>15000</v>
      </c>
      <c r="G1508" s="115">
        <v>0.3</v>
      </c>
      <c r="H1508" s="118">
        <f t="shared" si="7"/>
        <v>4500</v>
      </c>
      <c r="I1508" s="50"/>
    </row>
    <row r="1509" spans="1:9" ht="12.75" hidden="1" customHeight="1" x14ac:dyDescent="0.3">
      <c r="A1509" s="49"/>
      <c r="B1509" s="115"/>
      <c r="C1509" s="115"/>
      <c r="D1509" s="115"/>
      <c r="E1509" s="115"/>
      <c r="F1509" s="120" t="s">
        <v>32</v>
      </c>
      <c r="G1509" s="121" t="str">
        <f>+B1492</f>
        <v>5.8</v>
      </c>
      <c r="H1509" s="121" t="s">
        <v>372</v>
      </c>
      <c r="I1509" s="48">
        <f>SUM(H1502:H1508)</f>
        <v>697800</v>
      </c>
    </row>
    <row r="1510" spans="1:9" ht="12.75" hidden="1" customHeight="1" x14ac:dyDescent="0.3">
      <c r="A1510" s="47" t="s">
        <v>15</v>
      </c>
      <c r="B1510" s="3"/>
      <c r="C1510" s="115"/>
      <c r="D1510" s="115"/>
      <c r="E1510" s="115"/>
      <c r="F1510" s="115"/>
      <c r="G1510" s="115"/>
      <c r="H1510" s="115"/>
      <c r="I1510" s="50"/>
    </row>
    <row r="1511" spans="1:9" ht="12.75" hidden="1" customHeight="1" x14ac:dyDescent="0.3">
      <c r="A1511" s="879" t="s">
        <v>19</v>
      </c>
      <c r="B1511" s="868"/>
      <c r="C1511" s="868"/>
      <c r="D1511" s="116" t="s">
        <v>43</v>
      </c>
      <c r="E1511" s="116" t="s">
        <v>44</v>
      </c>
      <c r="F1511" s="123" t="s">
        <v>45</v>
      </c>
      <c r="G1511" s="116" t="s">
        <v>17</v>
      </c>
      <c r="H1511" s="116" t="s">
        <v>30</v>
      </c>
      <c r="I1511" s="50"/>
    </row>
    <row r="1512" spans="1:9" ht="12.75" hidden="1" customHeight="1" x14ac:dyDescent="0.3">
      <c r="A1512" s="51"/>
      <c r="B1512" s="117"/>
      <c r="C1512" s="133"/>
      <c r="D1512" s="123"/>
      <c r="E1512" s="123"/>
      <c r="F1512" s="123"/>
      <c r="G1512" s="116"/>
      <c r="H1512" s="118"/>
      <c r="I1512" s="50"/>
    </row>
    <row r="1513" spans="1:9" ht="12.75" hidden="1" customHeight="1" x14ac:dyDescent="0.3">
      <c r="A1513" s="51"/>
      <c r="B1513" s="117"/>
      <c r="C1513" s="133"/>
      <c r="D1513" s="123"/>
      <c r="E1513" s="123"/>
      <c r="F1513" s="123"/>
      <c r="G1513" s="116"/>
      <c r="H1513" s="118"/>
      <c r="I1513" s="50"/>
    </row>
    <row r="1514" spans="1:9" ht="12.75" hidden="1" customHeight="1" x14ac:dyDescent="0.3">
      <c r="A1514" s="49"/>
      <c r="B1514" s="115"/>
      <c r="C1514" s="115"/>
      <c r="D1514" s="115"/>
      <c r="E1514" s="115"/>
      <c r="F1514" s="120" t="s">
        <v>32</v>
      </c>
      <c r="G1514" s="121" t="str">
        <f>+B1492</f>
        <v>5.8</v>
      </c>
      <c r="H1514" s="121" t="s">
        <v>375</v>
      </c>
      <c r="I1514" s="48">
        <f>SUM(H1512:H1513)</f>
        <v>0</v>
      </c>
    </row>
    <row r="1515" spans="1:9" ht="12.75" hidden="1" customHeight="1" x14ac:dyDescent="0.3">
      <c r="A1515" s="47"/>
      <c r="B1515" s="3"/>
      <c r="C1515" s="115"/>
      <c r="D1515" s="115"/>
      <c r="E1515" s="115"/>
      <c r="F1515" s="115"/>
      <c r="G1515" s="115"/>
      <c r="H1515" s="115"/>
      <c r="I1515" s="50"/>
    </row>
    <row r="1516" spans="1:9" ht="12.75" hidden="1" customHeight="1" x14ac:dyDescent="0.3">
      <c r="A1516" s="882" t="s">
        <v>18</v>
      </c>
      <c r="B1516" s="883"/>
      <c r="C1516" s="883"/>
      <c r="D1516" s="140" t="s">
        <v>48</v>
      </c>
      <c r="E1516" s="140" t="s">
        <v>109</v>
      </c>
      <c r="F1516" s="141" t="s">
        <v>250</v>
      </c>
      <c r="G1516" s="142" t="s">
        <v>251</v>
      </c>
      <c r="H1516" s="140" t="s">
        <v>252</v>
      </c>
      <c r="I1516" s="52"/>
    </row>
    <row r="1517" spans="1:9" ht="12.75" hidden="1" customHeight="1" x14ac:dyDescent="0.3">
      <c r="A1517" s="51" t="s">
        <v>4</v>
      </c>
      <c r="B1517" s="131" t="s">
        <v>175</v>
      </c>
      <c r="C1517" s="126" t="str">
        <f>IF($A1517="EQUI",VLOOKUP($B1517,[6]EQUI!B$16:G$46,2,FALSE),IF($A1517="TRAN",VLOOKUP($B1517,[6]TRAN!$B$16:$G$26,2,FALSE),IF($A1517="MAT",VLOOKUP($B1517,[6]MAT!$B$16:$G$83,2,FALSE),IF($A1517="MDEO",VLOOKUP($B1517,[6]MDEO!$B$16:$I$21,2,FALSE)))))</f>
        <v>OFICIAL</v>
      </c>
      <c r="D1517" s="31">
        <f>IF($A1517="EQUI",VLOOKUP($B1517,[6]EQUI!B$16:G$46,3,FALSE),IF($A1517="TRAN",VLOOKUP($B1517,[6]TRAN!$B$16:$G$26,3,FALSE),IF($A1517="MAT",VLOOKUP($B1517,[6]MAT!$B$16:$G$83,3,FALSE),IF($A1517="MDEO",VLOOKUP($B1517,[6]MDEO!$B$16:$I$21,3,FALSE)))))</f>
        <v>9301.6465000000026</v>
      </c>
      <c r="E1517" s="127">
        <f>IF($A1517="EQUI",VLOOKUP($B1517,[6]EQUI!B$16:G$46,4,FALSE),IF($A1517="TRAN",VLOOKUP($B1517,[6]TRAN!$B$16:$G$26,4,FALSE),IF($A1517="MAT",VLOOKUP($B1517,[6]MAT!$B$16:$G$83,4,FALSE),IF($A1517="MDEO",VLOOKUP($B1517,[6]MDEO!$B$16:$I$21,5,FALSE)))))</f>
        <v>0.56000000000000005</v>
      </c>
      <c r="F1517" s="32">
        <f>+D1517+D1517*E1517</f>
        <v>14510.568540000004</v>
      </c>
      <c r="G1517" s="130">
        <v>0.9</v>
      </c>
      <c r="H1517" s="128">
        <f>G1517*F1517</f>
        <v>13059.511686000003</v>
      </c>
      <c r="I1517" s="50"/>
    </row>
    <row r="1518" spans="1:9" ht="12.75" hidden="1" customHeight="1" x14ac:dyDescent="0.3">
      <c r="A1518" s="51" t="s">
        <v>4</v>
      </c>
      <c r="B1518" s="131" t="s">
        <v>176</v>
      </c>
      <c r="C1518" s="126" t="str">
        <f>IF($A1518="EQUI",VLOOKUP($B1518,[6]EQUI!B$16:G$46,2,FALSE),IF($A1518="TRAN",VLOOKUP($B1518,[6]TRAN!$B$16:$G$26,2,FALSE),IF($A1518="MAT",VLOOKUP($B1518,[6]MAT!$B$16:$G$83,2,FALSE),IF($A1518="MDEO",VLOOKUP($B1518,[6]MDEO!$B$16:$I$21,2,FALSE)))))</f>
        <v>AYUDANTE ENTENDIDO</v>
      </c>
      <c r="D1518" s="31">
        <f>IF($A1518="EQUI",VLOOKUP($B1518,[6]EQUI!B$16:G$46,3,FALSE),IF($A1518="TRAN",VLOOKUP($B1518,[6]TRAN!$B$16:$G$26,3,FALSE),IF($A1518="MAT",VLOOKUP($B1518,[6]MAT!$B$16:$G$83,3,FALSE),IF($A1518="MDEO",VLOOKUP($B1518,[6]MDEO!$B$16:$I$21,3,FALSE)))))</f>
        <v>8051.6465000000007</v>
      </c>
      <c r="E1518" s="127">
        <f>IF($A1518="EQUI",VLOOKUP($B1518,[6]EQUI!B$16:G$46,4,FALSE),IF($A1518="TRAN",VLOOKUP($B1518,[6]TRAN!$B$16:$G$26,4,FALSE),IF($A1518="MAT",VLOOKUP($B1518,[6]MAT!$B$16:$G$83,4,FALSE),IF($A1518="MDEO",VLOOKUP($B1518,[6]MDEO!$B$16:$I$21,5,FALSE)))))</f>
        <v>0.56000000000000005</v>
      </c>
      <c r="F1518" s="32">
        <f>+D1518+D1518*E1518</f>
        <v>12560.568540000002</v>
      </c>
      <c r="G1518" s="130">
        <v>0.9</v>
      </c>
      <c r="H1518" s="128">
        <f>G1518*F1518</f>
        <v>11304.511686000002</v>
      </c>
      <c r="I1518" s="50"/>
    </row>
    <row r="1519" spans="1:9" ht="12.75" hidden="1" customHeight="1" x14ac:dyDescent="0.3">
      <c r="A1519" s="51" t="s">
        <v>4</v>
      </c>
      <c r="B1519" s="131" t="s">
        <v>177</v>
      </c>
      <c r="C1519" s="126" t="str">
        <f>IF($A1519="EQUI",VLOOKUP($B1519,[6]EQUI!B$16:G$46,2,FALSE),IF($A1519="TRAN",VLOOKUP($B1519,[6]TRAN!$B$16:$G$26,2,FALSE),IF($A1519="MAT",VLOOKUP($B1519,[6]MAT!$B$16:$G$83,2,FALSE),IF($A1519="MDEO",VLOOKUP($B1519,[6]MDEO!$B$16:$I$21,2,FALSE)))))</f>
        <v>AYUDANTE</v>
      </c>
      <c r="D1519" s="31">
        <f>IF($A1519="EQUI",VLOOKUP($B1519,[6]EQUI!B$16:G$46,3,FALSE),IF($A1519="TRAN",VLOOKUP($B1519,[6]TRAN!$B$16:$G$26,3,FALSE),IF($A1519="MAT",VLOOKUP($B1519,[6]MAT!$B$16:$G$83,3,FALSE),IF($A1519="MDEO",VLOOKUP($B1519,[6]MDEO!$B$16:$I$21,3,FALSE)))))</f>
        <v>6801.6465000000007</v>
      </c>
      <c r="E1519" s="127">
        <f>IF($A1519="EQUI",VLOOKUP($B1519,[6]EQUI!B$16:G$46,4,FALSE),IF($A1519="TRAN",VLOOKUP($B1519,[6]TRAN!$B$16:$G$26,4,FALSE),IF($A1519="MAT",VLOOKUP($B1519,[6]MAT!$B$16:$G$83,4,FALSE),IF($A1519="MDEO",VLOOKUP($B1519,[6]MDEO!$B$16:$I$21,5,FALSE)))))</f>
        <v>0.56000000000000005</v>
      </c>
      <c r="F1519" s="32">
        <f>+D1519+D1519*E1519</f>
        <v>10610.568540000002</v>
      </c>
      <c r="G1519" s="130">
        <v>1.8</v>
      </c>
      <c r="H1519" s="128">
        <f>G1519*F1519</f>
        <v>19099.023372000003</v>
      </c>
      <c r="I1519" s="50"/>
    </row>
    <row r="1520" spans="1:9" ht="12.75" hidden="1" customHeight="1" x14ac:dyDescent="0.3">
      <c r="A1520" s="51"/>
      <c r="B1520" s="131"/>
      <c r="C1520" s="126"/>
      <c r="D1520" s="31"/>
      <c r="E1520" s="127"/>
      <c r="F1520" s="32"/>
      <c r="G1520" s="130"/>
      <c r="H1520" s="128"/>
      <c r="I1520" s="50"/>
    </row>
    <row r="1521" spans="1:9" ht="12.75" hidden="1" customHeight="1" x14ac:dyDescent="0.3">
      <c r="A1521" s="51"/>
      <c r="B1521" s="131"/>
      <c r="C1521" s="126"/>
      <c r="D1521" s="31"/>
      <c r="E1521" s="127"/>
      <c r="F1521" s="32"/>
      <c r="G1521" s="130"/>
      <c r="H1521" s="128"/>
      <c r="I1521" s="50"/>
    </row>
    <row r="1522" spans="1:9" ht="12.75" hidden="1" customHeight="1" x14ac:dyDescent="0.3">
      <c r="A1522" s="879"/>
      <c r="B1522" s="868"/>
      <c r="C1522" s="115"/>
      <c r="D1522" s="115"/>
      <c r="E1522" s="115"/>
      <c r="F1522" s="115"/>
      <c r="G1522" s="115"/>
      <c r="H1522" s="115"/>
      <c r="I1522" s="50"/>
    </row>
    <row r="1523" spans="1:9" ht="12.75" hidden="1" customHeight="1" x14ac:dyDescent="0.3">
      <c r="A1523" s="49"/>
      <c r="B1523" s="115"/>
      <c r="C1523" s="115"/>
      <c r="D1523" s="115"/>
      <c r="E1523" s="115"/>
      <c r="F1523" s="120" t="s">
        <v>32</v>
      </c>
      <c r="G1523" s="121" t="str">
        <f>+B1492</f>
        <v>5.8</v>
      </c>
      <c r="H1523" s="120" t="s">
        <v>378</v>
      </c>
      <c r="I1523" s="48">
        <f>SUM(H1517:H1522)</f>
        <v>43463.046744000007</v>
      </c>
    </row>
    <row r="1524" spans="1:9" ht="12.75" hidden="1" customHeight="1" x14ac:dyDescent="0.3">
      <c r="A1524" s="49" t="s">
        <v>54</v>
      </c>
      <c r="B1524" s="115"/>
      <c r="C1524" s="115"/>
      <c r="D1524" s="115"/>
      <c r="E1524" s="115"/>
      <c r="F1524" s="115"/>
      <c r="G1524" s="115"/>
      <c r="H1524" s="116"/>
      <c r="I1524" s="48">
        <f>I1523*0.05</f>
        <v>2173.1523372000006</v>
      </c>
    </row>
    <row r="1525" spans="1:9" ht="12.75" hidden="1" customHeight="1" x14ac:dyDescent="0.3">
      <c r="A1525" s="49"/>
      <c r="B1525" s="115"/>
      <c r="C1525" s="115"/>
      <c r="D1525" s="115"/>
      <c r="E1525" s="115"/>
      <c r="F1525" s="120" t="s">
        <v>55</v>
      </c>
      <c r="G1525" s="116"/>
      <c r="H1525" s="116"/>
      <c r="I1525" s="48">
        <f>ROUND(I1523+I1524+I1509+I1499+I1514,0)</f>
        <v>743436</v>
      </c>
    </row>
    <row r="1526" spans="1:9" ht="12.75" hidden="1" customHeight="1" x14ac:dyDescent="0.3">
      <c r="A1526" s="879" t="s">
        <v>56</v>
      </c>
      <c r="B1526" s="868"/>
      <c r="C1526" s="868"/>
      <c r="D1526" s="868"/>
      <c r="E1526" s="868" t="s">
        <v>57</v>
      </c>
      <c r="F1526" s="868"/>
      <c r="G1526" s="875" t="s">
        <v>58</v>
      </c>
      <c r="H1526" s="875"/>
      <c r="I1526" s="48"/>
    </row>
    <row r="1527" spans="1:9" ht="12.75" hidden="1" customHeight="1" x14ac:dyDescent="0.3">
      <c r="A1527" s="879" t="s">
        <v>208</v>
      </c>
      <c r="B1527" s="868"/>
      <c r="C1527" s="868"/>
      <c r="D1527" s="868"/>
      <c r="E1527" s="876">
        <v>0.02</v>
      </c>
      <c r="F1527" s="876"/>
      <c r="G1527" s="875">
        <f>+I1525*E1527</f>
        <v>14868.720000000001</v>
      </c>
      <c r="H1527" s="875"/>
      <c r="I1527" s="48"/>
    </row>
    <row r="1528" spans="1:9" ht="12.75" hidden="1" customHeight="1" x14ac:dyDescent="0.3">
      <c r="A1528" s="879" t="s">
        <v>5</v>
      </c>
      <c r="B1528" s="868"/>
      <c r="C1528" s="868"/>
      <c r="D1528" s="868"/>
      <c r="E1528" s="876">
        <v>0.23</v>
      </c>
      <c r="F1528" s="876"/>
      <c r="G1528" s="875">
        <f>+E1528*I1525</f>
        <v>170990.28</v>
      </c>
      <c r="H1528" s="875"/>
      <c r="I1528" s="48"/>
    </row>
    <row r="1529" spans="1:9" ht="12.75" hidden="1" customHeight="1" x14ac:dyDescent="0.3">
      <c r="A1529" s="879" t="s">
        <v>6</v>
      </c>
      <c r="B1529" s="868"/>
      <c r="C1529" s="868"/>
      <c r="D1529" s="868"/>
      <c r="E1529" s="876">
        <v>0.05</v>
      </c>
      <c r="F1529" s="876"/>
      <c r="G1529" s="875">
        <f>+E1529*I1525</f>
        <v>37171.800000000003</v>
      </c>
      <c r="H1529" s="875"/>
      <c r="I1529" s="48"/>
    </row>
    <row r="1530" spans="1:9" ht="12.75" hidden="1" customHeight="1" x14ac:dyDescent="0.3">
      <c r="A1530" s="879" t="s">
        <v>207</v>
      </c>
      <c r="B1530" s="868"/>
      <c r="C1530" s="868"/>
      <c r="D1530" s="868"/>
      <c r="E1530" s="876">
        <v>0.02</v>
      </c>
      <c r="F1530" s="876"/>
      <c r="G1530" s="875">
        <f>+E1530*I1525</f>
        <v>14868.720000000001</v>
      </c>
      <c r="H1530" s="875"/>
      <c r="I1530" s="48"/>
    </row>
    <row r="1531" spans="1:9" ht="12.75" hidden="1" customHeight="1" x14ac:dyDescent="0.3">
      <c r="A1531" s="880" t="s">
        <v>397</v>
      </c>
      <c r="B1531" s="867"/>
      <c r="C1531" s="867"/>
      <c r="D1531" s="867"/>
      <c r="E1531" s="867"/>
      <c r="F1531" s="867"/>
      <c r="G1531" s="867"/>
      <c r="H1531" s="867"/>
      <c r="I1531" s="48">
        <f>+G1530+G1528+G1529+G1527</f>
        <v>237899.51999999999</v>
      </c>
    </row>
    <row r="1532" spans="1:9" ht="12.75" hidden="1" customHeight="1" x14ac:dyDescent="0.3">
      <c r="A1532" s="880" t="s">
        <v>59</v>
      </c>
      <c r="B1532" s="867"/>
      <c r="C1532" s="867"/>
      <c r="D1532" s="867"/>
      <c r="E1532" s="867"/>
      <c r="F1532" s="867"/>
      <c r="G1532" s="867"/>
      <c r="H1532" s="867"/>
      <c r="I1532" s="48">
        <f>+I1531+I1525</f>
        <v>981335.52</v>
      </c>
    </row>
    <row r="1533" spans="1:9" ht="12.75" hidden="1" customHeight="1" x14ac:dyDescent="0.3">
      <c r="A1533" s="93"/>
      <c r="B1533" s="65"/>
      <c r="C1533" s="65"/>
      <c r="D1533" s="65"/>
      <c r="E1533" s="65"/>
      <c r="F1533" s="65"/>
      <c r="G1533" s="65"/>
      <c r="H1533" s="65"/>
      <c r="I1533" s="48"/>
    </row>
    <row r="1534" spans="1:9" ht="12.75" hidden="1" customHeight="1" x14ac:dyDescent="0.3">
      <c r="A1534" s="881" t="s">
        <v>114</v>
      </c>
      <c r="B1534" s="604"/>
      <c r="C1534" s="604"/>
      <c r="D1534" s="65"/>
      <c r="E1534" s="65"/>
      <c r="F1534" s="604" t="s">
        <v>396</v>
      </c>
      <c r="G1534" s="604"/>
      <c r="H1534" s="604"/>
      <c r="I1534" s="894"/>
    </row>
    <row r="1535" spans="1:9" ht="12.75" hidden="1" customHeight="1" x14ac:dyDescent="0.3">
      <c r="A1535" s="92" t="s">
        <v>111</v>
      </c>
      <c r="B1535" s="868"/>
      <c r="C1535" s="868"/>
      <c r="D1535" s="115"/>
      <c r="E1535" s="115"/>
      <c r="F1535" s="116" t="s">
        <v>111</v>
      </c>
      <c r="G1535" s="868"/>
      <c r="H1535" s="868"/>
      <c r="I1535" s="884"/>
    </row>
    <row r="1536" spans="1:9" ht="12.75" hidden="1" customHeight="1" x14ac:dyDescent="0.3">
      <c r="A1536" s="132" t="s">
        <v>115</v>
      </c>
      <c r="B1536" s="868" t="str">
        <f>VLOOKUP(A1536,[6]INICIO!$E$6:$H$26,2,FALSE)</f>
        <v>LINA MARCELA</v>
      </c>
      <c r="C1536" s="868"/>
      <c r="F1536" s="86" t="s">
        <v>112</v>
      </c>
      <c r="G1536" s="868"/>
      <c r="H1536" s="868"/>
      <c r="I1536" s="884"/>
    </row>
    <row r="1537" spans="1:9" ht="12.75" hidden="1" customHeight="1" x14ac:dyDescent="0.3">
      <c r="A1537" s="132" t="s">
        <v>113</v>
      </c>
      <c r="B1537" s="868" t="str">
        <f>VLOOKUP(A1536,[6]INICIO!$E$6:$H$26,4,FALSE)</f>
        <v>05202-316814 ANT</v>
      </c>
      <c r="C1537" s="868"/>
      <c r="F1537" s="86" t="s">
        <v>113</v>
      </c>
      <c r="G1537" s="868"/>
      <c r="H1537" s="868"/>
      <c r="I1537" s="884"/>
    </row>
    <row r="1538" spans="1:9" ht="12.75" hidden="1" customHeight="1" x14ac:dyDescent="0.3">
      <c r="A1538" s="132"/>
      <c r="B1538" s="116"/>
      <c r="C1538" s="116"/>
      <c r="F1538" s="86"/>
      <c r="G1538" s="116"/>
      <c r="H1538" s="116"/>
      <c r="I1538" s="95"/>
    </row>
    <row r="1539" spans="1:9" ht="12.75" hidden="1" customHeight="1" x14ac:dyDescent="0.3">
      <c r="A1539" s="872" t="s">
        <v>110</v>
      </c>
      <c r="B1539" s="869"/>
      <c r="C1539" s="869"/>
      <c r="D1539" s="869"/>
      <c r="E1539" s="869"/>
      <c r="F1539" s="869"/>
      <c r="G1539" s="869"/>
      <c r="H1539" s="869"/>
      <c r="I1539" s="873"/>
    </row>
    <row r="1540" spans="1:9" ht="12.75" hidden="1" customHeight="1" x14ac:dyDescent="0.3">
      <c r="A1540" s="870"/>
      <c r="B1540" s="691"/>
      <c r="C1540" s="691"/>
      <c r="D1540" s="691"/>
      <c r="E1540" s="691"/>
      <c r="F1540" s="691"/>
      <c r="G1540" s="691"/>
      <c r="H1540" s="691"/>
      <c r="I1540" s="871"/>
    </row>
    <row r="1541" spans="1:9" ht="12.75" hidden="1" customHeight="1" x14ac:dyDescent="0.3">
      <c r="A1541" s="872"/>
      <c r="B1541" s="869"/>
      <c r="C1541" s="869"/>
      <c r="D1541" s="869"/>
      <c r="E1541" s="869"/>
      <c r="F1541" s="869"/>
      <c r="G1541" s="869"/>
      <c r="H1541" s="869"/>
      <c r="I1541" s="873"/>
    </row>
    <row r="1542" spans="1:9" ht="21" hidden="1" customHeight="1" x14ac:dyDescent="0.3"/>
    <row r="1543" spans="1:9" ht="12.75" hidden="1" customHeight="1" x14ac:dyDescent="0.3">
      <c r="A1543" s="881" t="s">
        <v>68</v>
      </c>
      <c r="B1543" s="604"/>
      <c r="C1543" s="604"/>
      <c r="D1543" s="604"/>
      <c r="E1543" s="604"/>
      <c r="F1543" s="604"/>
      <c r="G1543" s="604"/>
      <c r="H1543" s="604"/>
      <c r="I1543" s="894"/>
    </row>
    <row r="1544" spans="1:9" ht="12.75" hidden="1" customHeight="1" x14ac:dyDescent="0.3">
      <c r="A1544" s="94" t="s">
        <v>69</v>
      </c>
      <c r="B1544" s="112" t="s">
        <v>456</v>
      </c>
      <c r="C1544" s="604" t="s">
        <v>70</v>
      </c>
      <c r="D1544" s="874" t="str">
        <f>VLOOKUP(B1544,[6]PRESUPUESTO!$A$18:$I$90,3,FALSE)</f>
        <v>ESPECIES Y JARDINERIA ZONA VERDE TIPO IIA</v>
      </c>
      <c r="E1544" s="874"/>
      <c r="F1544" s="874"/>
      <c r="G1544" s="874"/>
      <c r="H1544" s="874"/>
      <c r="I1544" s="877"/>
    </row>
    <row r="1545" spans="1:9" ht="12.75" hidden="1" customHeight="1" x14ac:dyDescent="0.3">
      <c r="A1545" s="94" t="s">
        <v>71</v>
      </c>
      <c r="B1545" s="112" t="str">
        <f>VLOOKUP(B1544,[6]PRESUPUESTO!$A$18:$I$90,2,FALSE)</f>
        <v>820-13F</v>
      </c>
      <c r="C1545" s="604"/>
      <c r="D1545" s="140" t="s">
        <v>12</v>
      </c>
      <c r="E1545" s="113" t="s">
        <v>12</v>
      </c>
      <c r="F1545" s="113" t="s">
        <v>13</v>
      </c>
      <c r="G1545" s="113" t="e">
        <f>VLOOKUP(B1545,[6]PRESUPUESTO!$B$15:$I$1222,5,FALSE)</f>
        <v>#N/A</v>
      </c>
      <c r="H1545" s="114" t="s">
        <v>27</v>
      </c>
      <c r="I1545" s="46">
        <f>+I1577</f>
        <v>328636</v>
      </c>
    </row>
    <row r="1546" spans="1:9" ht="12.75" hidden="1" customHeight="1" x14ac:dyDescent="0.3">
      <c r="A1546" s="47" t="s">
        <v>14</v>
      </c>
      <c r="B1546" s="3"/>
      <c r="C1546" s="115"/>
      <c r="D1546" s="115"/>
      <c r="E1546" s="115"/>
      <c r="F1546" s="115"/>
      <c r="G1546" s="115"/>
      <c r="H1546" s="115"/>
      <c r="I1546" s="48"/>
    </row>
    <row r="1547" spans="1:9" ht="12.75" hidden="1" customHeight="1" x14ac:dyDescent="0.3">
      <c r="A1547" s="879" t="s">
        <v>19</v>
      </c>
      <c r="B1547" s="868"/>
      <c r="C1547" s="868"/>
      <c r="D1547" s="868"/>
      <c r="E1547" s="868"/>
      <c r="F1547" s="116" t="s">
        <v>28</v>
      </c>
      <c r="G1547" s="116" t="s">
        <v>29</v>
      </c>
      <c r="H1547" s="116" t="s">
        <v>30</v>
      </c>
      <c r="I1547" s="50"/>
    </row>
    <row r="1548" spans="1:9" ht="12.75" hidden="1" customHeight="1" x14ac:dyDescent="0.3">
      <c r="A1548" s="92" t="s">
        <v>1</v>
      </c>
      <c r="B1548" s="117" t="s">
        <v>90</v>
      </c>
      <c r="C1548" s="878"/>
      <c r="D1548" s="878"/>
      <c r="E1548" s="878"/>
      <c r="F1548" s="123"/>
      <c r="G1548" s="115"/>
      <c r="H1548" s="118"/>
      <c r="I1548" s="50"/>
    </row>
    <row r="1549" spans="1:9" ht="12.75" hidden="1" customHeight="1" x14ac:dyDescent="0.3">
      <c r="A1549" s="92" t="s">
        <v>1</v>
      </c>
      <c r="B1549" s="117" t="s">
        <v>86</v>
      </c>
      <c r="C1549" s="878"/>
      <c r="D1549" s="878"/>
      <c r="E1549" s="878"/>
      <c r="F1549" s="123"/>
      <c r="G1549" s="115"/>
      <c r="H1549" s="118"/>
      <c r="I1549" s="50"/>
    </row>
    <row r="1550" spans="1:9" ht="12.75" hidden="1" customHeight="1" x14ac:dyDescent="0.3">
      <c r="A1550" s="92" t="s">
        <v>1</v>
      </c>
      <c r="B1550" s="117" t="s">
        <v>98</v>
      </c>
      <c r="C1550" s="878"/>
      <c r="D1550" s="878"/>
      <c r="E1550" s="878"/>
      <c r="F1550" s="123"/>
      <c r="G1550" s="115"/>
      <c r="H1550" s="118"/>
      <c r="I1550" s="50"/>
    </row>
    <row r="1551" spans="1:9" ht="12.75" hidden="1" customHeight="1" x14ac:dyDescent="0.3">
      <c r="A1551" s="49"/>
      <c r="B1551" s="115"/>
      <c r="C1551" s="115"/>
      <c r="D1551" s="115"/>
      <c r="E1551" s="115"/>
      <c r="F1551" s="120" t="s">
        <v>32</v>
      </c>
      <c r="G1551" s="121" t="str">
        <f>+B1544</f>
        <v>5.9</v>
      </c>
      <c r="H1551" s="121" t="s">
        <v>369</v>
      </c>
      <c r="I1551" s="48">
        <f>SUM(H1548:H1550)</f>
        <v>0</v>
      </c>
    </row>
    <row r="1552" spans="1:9" ht="12.75" hidden="1" customHeight="1" x14ac:dyDescent="0.3">
      <c r="A1552" s="47" t="s">
        <v>34</v>
      </c>
      <c r="B1552" s="3"/>
      <c r="C1552" s="115"/>
      <c r="D1552" s="115"/>
      <c r="E1552" s="115"/>
      <c r="F1552" s="115"/>
      <c r="G1552" s="115"/>
      <c r="H1552" s="115"/>
      <c r="I1552" s="50"/>
    </row>
    <row r="1553" spans="1:9" ht="12.75" hidden="1" customHeight="1" x14ac:dyDescent="0.3">
      <c r="A1553" s="879" t="s">
        <v>35</v>
      </c>
      <c r="B1553" s="868"/>
      <c r="C1553" s="868"/>
      <c r="D1553" s="868"/>
      <c r="E1553" s="116" t="s">
        <v>12</v>
      </c>
      <c r="F1553" s="116" t="s">
        <v>36</v>
      </c>
      <c r="G1553" s="116" t="s">
        <v>37</v>
      </c>
      <c r="H1553" s="116" t="s">
        <v>38</v>
      </c>
      <c r="I1553" s="50"/>
    </row>
    <row r="1554" spans="1:9" ht="12.75" hidden="1" customHeight="1" x14ac:dyDescent="0.3">
      <c r="A1554" s="92" t="s">
        <v>0</v>
      </c>
      <c r="B1554" s="117" t="s">
        <v>449</v>
      </c>
      <c r="C1554" s="878" t="str">
        <f>IF($A1554="EQUI",VLOOKUP($B1554,[6]EQUI!B$16:G$46,2,FALSE),IF($A1554="TRAN",VLOOKUP($B1554,[6]TRAN!$B$16:$G$26,2,FALSE),IF(A1554="MAT",VLOOKUP($B1554,[6]MAT!$B$16:$G$189,2,FALSE),IF(A1554="MDEO",VLOOKUP($B1554,[6]MDEO!$B$16:$I$21,2,FALSE)))))</f>
        <v>ESPECIE DURANTA ROJA</v>
      </c>
      <c r="D1554" s="878"/>
      <c r="E1554" s="123" t="str">
        <f>IF($A1554="EQUI",VLOOKUP($B1554,[6]EQUI!A$16:F$46,3,FALSE),IF($A1554="TRAN",VLOOKUP($B1554,[6]TRAN!$B$16:$G$26,3,FALSE),IF($A1554="MAT",VLOOKUP($B1554,[6]MAT!$B$16:$G$189,3,FALSE),IF($A1554="MDEO",VLOOKUP($B1554,[6]MDEO!$B$16:$I$21,3,FALSE)))))</f>
        <v>UN</v>
      </c>
      <c r="F1554" s="123">
        <f>IF($A1554="EQUI",VLOOKUP($B1554,[6]EQUI!B$16:G$46,4,FALSE),IF($A1554="TRAN",VLOOKUP($B1554,[6]TRAN!$B$16:$G$26,4,FALSE),IF($A1554="MAT",VLOOKUP($B1554,[6]MAT!$B$16:$G$189,4,FALSE),IF($A1554="MDEO",VLOOKUP($B1554,[6]MDEO!$B$16:$I$21,4,FALSE)))))</f>
        <v>4800</v>
      </c>
      <c r="G1554" s="115">
        <v>23</v>
      </c>
      <c r="H1554" s="118">
        <f t="shared" ref="H1554:H1560" si="8">+F1554*G1554</f>
        <v>110400</v>
      </c>
      <c r="I1554" s="50"/>
    </row>
    <row r="1555" spans="1:9" ht="12.75" hidden="1" customHeight="1" x14ac:dyDescent="0.3">
      <c r="A1555" s="92" t="s">
        <v>0</v>
      </c>
      <c r="B1555" s="117" t="s">
        <v>450</v>
      </c>
      <c r="C1555" s="878" t="str">
        <f>IF($A1555="EQUI",VLOOKUP($B1555,[6]EQUI!B$16:G$46,2,FALSE),IF($A1555="TRAN",VLOOKUP($B1555,[6]TRAN!$B$16:$G$26,2,FALSE),IF(A1555="MAT",VLOOKUP($B1555,[6]MAT!$B$16:$G$189,2,FALSE),IF(A1555="MDEO",VLOOKUP($B1555,[6]MDEO!$B$16:$I$21,2,FALSE)))))</f>
        <v>ESPECIE OITI</v>
      </c>
      <c r="D1555" s="878"/>
      <c r="E1555" s="123" t="str">
        <f>IF($A1555="EQUI",VLOOKUP($B1555,[6]EQUI!A$16:F$46,3,FALSE),IF($A1555="TRAN",VLOOKUP($B1555,[6]TRAN!$B$16:$G$26,3,FALSE),IF($A1555="MAT",VLOOKUP($B1555,[6]MAT!$B$16:$G$189,3,FALSE),IF($A1555="MDEO",VLOOKUP($B1555,[6]MDEO!$B$16:$I$21,3,FALSE)))))</f>
        <v>UN</v>
      </c>
      <c r="F1555" s="123">
        <f>IF($A1555="EQUI",VLOOKUP($B1555,[6]EQUI!B$16:G$46,4,FALSE),IF($A1555="TRAN",VLOOKUP($B1555,[6]TRAN!$B$16:$G$26,4,FALSE),IF($A1555="MAT",VLOOKUP($B1555,[6]MAT!$B$16:$G$189,4,FALSE),IF($A1555="MDEO",VLOOKUP($B1555,[6]MDEO!$B$16:$I$21,4,FALSE)))))</f>
        <v>33600</v>
      </c>
      <c r="G1555" s="115">
        <v>1</v>
      </c>
      <c r="H1555" s="118">
        <f t="shared" si="8"/>
        <v>33600</v>
      </c>
      <c r="I1555" s="50"/>
    </row>
    <row r="1556" spans="1:9" ht="12.75" hidden="1" customHeight="1" x14ac:dyDescent="0.3">
      <c r="A1556" s="92" t="s">
        <v>0</v>
      </c>
      <c r="B1556" s="117" t="s">
        <v>445</v>
      </c>
      <c r="C1556" s="878" t="str">
        <f>IF($A1556="EQUI",VLOOKUP($B1556,[6]EQUI!B$16:G$46,2,FALSE),IF($A1556="TRAN",VLOOKUP($B1556,[6]TRAN!$B$16:$G$26,2,FALSE),IF(A1556="MAT",VLOOKUP($B1556,[6]MAT!$B$16:$G$189,2,FALSE),IF(A1556="MDEO",VLOOKUP($B1556,[6]MDEO!$B$16:$I$21,2,FALSE)))))</f>
        <v>ESPECIE NIÑA BARCO</v>
      </c>
      <c r="D1556" s="878"/>
      <c r="E1556" s="123" t="str">
        <f>IF($A1556="EQUI",VLOOKUP($B1556,[6]EQUI!A$16:F$46,3,FALSE),IF($A1556="TRAN",VLOOKUP($B1556,[6]TRAN!$B$16:$G$26,3,FALSE),IF($A1556="MAT",VLOOKUP($B1556,[6]MAT!$B$16:$G$189,3,FALSE),IF($A1556="MDEO",VLOOKUP($B1556,[6]MDEO!$B$16:$I$21,3,FALSE)))))</f>
        <v>UN</v>
      </c>
      <c r="F1556" s="123">
        <f>IF($A1556="EQUI",VLOOKUP($B1556,[6]EQUI!B$16:G$46,4,FALSE),IF($A1556="TRAN",VLOOKUP($B1556,[6]TRAN!$B$16:$G$26,4,FALSE),IF($A1556="MAT",VLOOKUP($B1556,[6]MAT!$B$16:$G$189,4,FALSE),IF($A1556="MDEO",VLOOKUP($B1556,[6]MDEO!$B$16:$I$21,4,FALSE)))))</f>
        <v>6500</v>
      </c>
      <c r="G1556" s="115">
        <v>12</v>
      </c>
      <c r="H1556" s="118">
        <f t="shared" si="8"/>
        <v>78000</v>
      </c>
      <c r="I1556" s="50"/>
    </row>
    <row r="1557" spans="1:9" ht="12.75" hidden="1" customHeight="1" x14ac:dyDescent="0.3">
      <c r="A1557" s="92" t="s">
        <v>0</v>
      </c>
      <c r="B1557" s="117" t="s">
        <v>454</v>
      </c>
      <c r="C1557" s="878" t="str">
        <f>IF($A1557="EQUI",VLOOKUP($B1557,[6]EQUI!B$16:G$46,2,FALSE),IF($A1557="TRAN",VLOOKUP($B1557,[6]TRAN!$B$16:$G$26,2,FALSE),IF(A1557="MAT",VLOOKUP($B1557,[6]MAT!$B$16:$G$189,2,FALSE),IF(A1557="MDEO",VLOOKUP($B1557,[6]MDEO!$B$16:$I$21,2,FALSE)))))</f>
        <v>ESPECIE HELICONIA</v>
      </c>
      <c r="D1557" s="878"/>
      <c r="E1557" s="123" t="str">
        <f>IF($A1557="EQUI",VLOOKUP($B1557,[6]EQUI!A$16:F$46,3,FALSE),IF($A1557="TRAN",VLOOKUP($B1557,[6]TRAN!$B$16:$G$26,3,FALSE),IF($A1557="MAT",VLOOKUP($B1557,[6]MAT!$B$16:$G$189,3,FALSE),IF($A1557="MDEO",VLOOKUP($B1557,[6]MDEO!$B$16:$I$21,3,FALSE)))))</f>
        <v>UN</v>
      </c>
      <c r="F1557" s="123">
        <f>IF($A1557="EQUI",VLOOKUP($B1557,[6]EQUI!B$16:G$46,4,FALSE),IF($A1557="TRAN",VLOOKUP($B1557,[6]TRAN!$B$16:$G$26,4,FALSE),IF($A1557="MAT",VLOOKUP($B1557,[6]MAT!$B$16:$G$189,4,FALSE),IF($A1557="MDEO",VLOOKUP($B1557,[6]MDEO!$B$16:$I$21,4,FALSE)))))</f>
        <v>11200.000000000002</v>
      </c>
      <c r="G1557" s="115">
        <v>4</v>
      </c>
      <c r="H1557" s="118">
        <f t="shared" si="8"/>
        <v>44800.000000000007</v>
      </c>
      <c r="I1557" s="50"/>
    </row>
    <row r="1558" spans="1:9" ht="12.75" hidden="1" customHeight="1" x14ac:dyDescent="0.3">
      <c r="A1558" s="92" t="s">
        <v>0</v>
      </c>
      <c r="B1558" s="117" t="s">
        <v>151</v>
      </c>
      <c r="C1558" s="878" t="str">
        <f>IF($A1558="EQUI",VLOOKUP($B1558,[6]EQUI!B$16:G$46,2,FALSE),IF($A1558="TRAN",VLOOKUP($B1558,[6]TRAN!$B$16:$G$26,2,FALSE),IF(A1558="MAT",VLOOKUP($B1558,[6]MAT!$B$16:$G$194,2,FALSE),IF(A1558="MDEO",VLOOKUP($B1558,[6]MDEO!$B$16:$I$21,2,FALSE)))))</f>
        <v xml:space="preserve">FERTILIZANTE FÓSFORO </v>
      </c>
      <c r="D1558" s="878"/>
      <c r="E1558" s="123" t="str">
        <f>IF($A1558="EQUI",VLOOKUP($B1558,[6]EQUI!A$16:F$46,3,FALSE),IF($A1558="TRAN",VLOOKUP($B1558,[6]TRAN!$B$16:$G$26,3,FALSE),IF($A1558="MAT",VLOOKUP($B1558,[6]MAT!$B$16:$G$194,3,FALSE),IF($A1558="MDEO",VLOOKUP($B1558,[6]MDEO!$B$16:$I$21,3,FALSE)))))</f>
        <v>BULTO</v>
      </c>
      <c r="F1558" s="123">
        <f>IF($A1558="EQUI",VLOOKUP($B1558,[6]EQUI!B$16:G$46,4,FALSE),IF($A1558="TRAN",VLOOKUP($B1558,[6]TRAN!$B$16:$G$26,4,FALSE),IF($A1558="MAT",VLOOKUP($B1558,[6]MAT!$B$16:$G$194,4,FALSE),IF($A1558="MDEO",VLOOKUP($B1558,[6]MDEO!$B$16:$I$21,4,FALSE)))))</f>
        <v>110000</v>
      </c>
      <c r="G1558" s="115">
        <v>0.02</v>
      </c>
      <c r="H1558" s="118">
        <f t="shared" si="8"/>
        <v>2200</v>
      </c>
      <c r="I1558" s="50"/>
    </row>
    <row r="1559" spans="1:9" ht="12.75" hidden="1" customHeight="1" x14ac:dyDescent="0.3">
      <c r="A1559" s="92" t="s">
        <v>0</v>
      </c>
      <c r="B1559" s="117" t="s">
        <v>152</v>
      </c>
      <c r="C1559" s="878" t="str">
        <f>IF($A1559="EQUI",VLOOKUP($B1559,[6]EQUI!B$16:G$46,2,FALSE),IF($A1559="TRAN",VLOOKUP($B1559,[6]TRAN!$B$16:$G$26,2,FALSE),IF(A1559="MAT",VLOOKUP($B1559,[6]MAT!$B$16:$G$194,2,FALSE),IF(A1559="MDEO",VLOOKUP($B1559,[6]MDEO!$B$16:$I$21,2,FALSE)))))</f>
        <v>FERTILIZANTE Urea</v>
      </c>
      <c r="D1559" s="878"/>
      <c r="E1559" s="123" t="str">
        <f>IF($A1559="EQUI",VLOOKUP($B1559,[6]EQUI!A$16:F$46,3,FALSE),IF($A1559="TRAN",VLOOKUP($B1559,[6]TRAN!$B$16:$G$26,3,FALSE),IF($A1559="MAT",VLOOKUP($B1559,[6]MAT!$B$16:$G$194,3,FALSE),IF($A1559="MDEO",VLOOKUP($B1559,[6]MDEO!$B$16:$I$21,3,FALSE)))))</f>
        <v>BULTO</v>
      </c>
      <c r="F1559" s="123">
        <f>IF($A1559="EQUI",VLOOKUP($B1559,[6]EQUI!B$16:G$46,4,FALSE),IF($A1559="TRAN",VLOOKUP($B1559,[6]TRAN!$B$16:$G$26,4,FALSE),IF($A1559="MAT",VLOOKUP($B1559,[6]MAT!$B$16:$G$194,4,FALSE),IF($A1559="MDEO",VLOOKUP($B1559,[6]MDEO!$B$16:$I$21,4,FALSE)))))</f>
        <v>95000</v>
      </c>
      <c r="G1559" s="115">
        <v>0.1</v>
      </c>
      <c r="H1559" s="118">
        <f t="shared" si="8"/>
        <v>9500</v>
      </c>
      <c r="I1559" s="50"/>
    </row>
    <row r="1560" spans="1:9" ht="12.75" hidden="1" customHeight="1" x14ac:dyDescent="0.3">
      <c r="A1560" s="92" t="s">
        <v>0</v>
      </c>
      <c r="B1560" s="117" t="s">
        <v>446</v>
      </c>
      <c r="C1560" s="878" t="str">
        <f>IF($A1560="EQUI",VLOOKUP($B1560,[6]EQUI!B$16:G$46,2,FALSE),IF($A1560="TRAN",VLOOKUP($B1560,[6]TRAN!$B$16:$G$26,2,FALSE),IF(A1560="MAT",VLOOKUP($B1560,[6]MAT!$B$16:$G$189,2,FALSE),IF(A1560="MDEO",VLOOKUP($B1560,[6]MDEO!$B$16:$I$21,2,FALSE)))))</f>
        <v>BULTO TIERRA</v>
      </c>
      <c r="D1560" s="878"/>
      <c r="E1560" s="123" t="str">
        <f>IF($A1560="EQUI",VLOOKUP($B1560,[6]EQUI!A$16:F$46,3,FALSE),IF($A1560="TRAN",VLOOKUP($B1560,[6]TRAN!$B$16:$G$26,3,FALSE),IF($A1560="MAT",VLOOKUP($B1560,[6]MAT!$B$16:$G$189,3,FALSE),IF($A1560="MDEO",VLOOKUP($B1560,[6]MDEO!$B$16:$I$21,3,FALSE)))))</f>
        <v>BULTO</v>
      </c>
      <c r="F1560" s="123">
        <f>IF($A1560="EQUI",VLOOKUP($B1560,[6]EQUI!B$16:G$46,4,FALSE),IF($A1560="TRAN",VLOOKUP($B1560,[6]TRAN!$B$16:$G$26,4,FALSE),IF($A1560="MAT",VLOOKUP($B1560,[6]MAT!$B$16:$G$189,4,FALSE),IF($A1560="MDEO",VLOOKUP($B1560,[6]MDEO!$B$16:$I$21,4,FALSE)))))</f>
        <v>15000</v>
      </c>
      <c r="G1560" s="115">
        <v>0.3</v>
      </c>
      <c r="H1560" s="118">
        <f t="shared" si="8"/>
        <v>4500</v>
      </c>
      <c r="I1560" s="50"/>
    </row>
    <row r="1561" spans="1:9" ht="12.75" hidden="1" customHeight="1" x14ac:dyDescent="0.3">
      <c r="A1561" s="49"/>
      <c r="B1561" s="115"/>
      <c r="C1561" s="115"/>
      <c r="D1561" s="115"/>
      <c r="E1561" s="115"/>
      <c r="F1561" s="120" t="s">
        <v>32</v>
      </c>
      <c r="G1561" s="121" t="str">
        <f>+B1544</f>
        <v>5.9</v>
      </c>
      <c r="H1561" s="121" t="s">
        <v>372</v>
      </c>
      <c r="I1561" s="48">
        <f>SUM(H1554:H1560)</f>
        <v>283000</v>
      </c>
    </row>
    <row r="1562" spans="1:9" ht="12.75" hidden="1" customHeight="1" x14ac:dyDescent="0.3">
      <c r="A1562" s="47" t="s">
        <v>15</v>
      </c>
      <c r="B1562" s="3"/>
      <c r="C1562" s="115"/>
      <c r="D1562" s="115"/>
      <c r="E1562" s="115"/>
      <c r="F1562" s="115"/>
      <c r="G1562" s="115"/>
      <c r="H1562" s="115"/>
      <c r="I1562" s="50"/>
    </row>
    <row r="1563" spans="1:9" ht="12.75" hidden="1" customHeight="1" x14ac:dyDescent="0.3">
      <c r="A1563" s="879" t="s">
        <v>19</v>
      </c>
      <c r="B1563" s="868"/>
      <c r="C1563" s="868"/>
      <c r="D1563" s="116" t="s">
        <v>43</v>
      </c>
      <c r="E1563" s="116" t="s">
        <v>44</v>
      </c>
      <c r="F1563" s="123" t="s">
        <v>45</v>
      </c>
      <c r="G1563" s="116" t="s">
        <v>17</v>
      </c>
      <c r="H1563" s="116" t="s">
        <v>30</v>
      </c>
      <c r="I1563" s="50"/>
    </row>
    <row r="1564" spans="1:9" ht="12.75" hidden="1" customHeight="1" x14ac:dyDescent="0.3">
      <c r="A1564" s="51"/>
      <c r="B1564" s="117"/>
      <c r="C1564" s="133"/>
      <c r="D1564" s="123"/>
      <c r="E1564" s="123"/>
      <c r="F1564" s="123"/>
      <c r="G1564" s="116"/>
      <c r="H1564" s="118"/>
      <c r="I1564" s="50"/>
    </row>
    <row r="1565" spans="1:9" ht="12.75" hidden="1" customHeight="1" x14ac:dyDescent="0.3">
      <c r="A1565" s="51"/>
      <c r="B1565" s="117"/>
      <c r="C1565" s="133"/>
      <c r="D1565" s="123"/>
      <c r="E1565" s="123"/>
      <c r="F1565" s="123"/>
      <c r="G1565" s="116"/>
      <c r="H1565" s="118"/>
      <c r="I1565" s="50"/>
    </row>
    <row r="1566" spans="1:9" ht="12.75" hidden="1" customHeight="1" x14ac:dyDescent="0.3">
      <c r="A1566" s="49"/>
      <c r="B1566" s="115"/>
      <c r="C1566" s="115"/>
      <c r="D1566" s="115"/>
      <c r="E1566" s="115"/>
      <c r="F1566" s="120" t="s">
        <v>32</v>
      </c>
      <c r="G1566" s="121" t="str">
        <f>+B1544</f>
        <v>5.9</v>
      </c>
      <c r="H1566" s="121" t="s">
        <v>375</v>
      </c>
      <c r="I1566" s="48">
        <f>SUM(H1564:H1565)</f>
        <v>0</v>
      </c>
    </row>
    <row r="1567" spans="1:9" ht="12.75" hidden="1" customHeight="1" x14ac:dyDescent="0.3">
      <c r="A1567" s="47"/>
      <c r="B1567" s="3"/>
      <c r="C1567" s="115"/>
      <c r="D1567" s="115"/>
      <c r="E1567" s="115"/>
      <c r="F1567" s="115"/>
      <c r="G1567" s="115"/>
      <c r="H1567" s="115"/>
      <c r="I1567" s="50"/>
    </row>
    <row r="1568" spans="1:9" ht="12.75" hidden="1" customHeight="1" x14ac:dyDescent="0.3">
      <c r="A1568" s="882" t="s">
        <v>18</v>
      </c>
      <c r="B1568" s="883"/>
      <c r="C1568" s="883"/>
      <c r="D1568" s="140" t="s">
        <v>48</v>
      </c>
      <c r="E1568" s="140" t="s">
        <v>109</v>
      </c>
      <c r="F1568" s="141" t="s">
        <v>250</v>
      </c>
      <c r="G1568" s="142" t="s">
        <v>251</v>
      </c>
      <c r="H1568" s="140" t="s">
        <v>252</v>
      </c>
      <c r="I1568" s="52"/>
    </row>
    <row r="1569" spans="1:9" ht="12.75" hidden="1" customHeight="1" x14ac:dyDescent="0.3">
      <c r="A1569" s="51" t="s">
        <v>4</v>
      </c>
      <c r="B1569" s="131" t="s">
        <v>175</v>
      </c>
      <c r="C1569" s="126" t="str">
        <f>IF($A1569="EQUI",VLOOKUP($B1569,[6]EQUI!B$16:G$46,2,FALSE),IF($A1569="TRAN",VLOOKUP($B1569,[6]TRAN!$B$16:$G$26,2,FALSE),IF($A1569="MAT",VLOOKUP($B1569,[6]MAT!$B$16:$G$83,2,FALSE),IF($A1569="MDEO",VLOOKUP($B1569,[6]MDEO!$B$16:$I$21,2,FALSE)))))</f>
        <v>OFICIAL</v>
      </c>
      <c r="D1569" s="31">
        <f>IF($A1569="EQUI",VLOOKUP($B1569,[6]EQUI!B$16:G$46,3,FALSE),IF($A1569="TRAN",VLOOKUP($B1569,[6]TRAN!$B$16:$G$26,3,FALSE),IF($A1569="MAT",VLOOKUP($B1569,[6]MAT!$B$16:$G$83,3,FALSE),IF($A1569="MDEO",VLOOKUP($B1569,[6]MDEO!$B$16:$I$21,3,FALSE)))))</f>
        <v>9301.6465000000026</v>
      </c>
      <c r="E1569" s="127">
        <f>IF($A1569="EQUI",VLOOKUP($B1569,[6]EQUI!B$16:G$46,4,FALSE),IF($A1569="TRAN",VLOOKUP($B1569,[6]TRAN!$B$16:$G$26,4,FALSE),IF($A1569="MAT",VLOOKUP($B1569,[6]MAT!$B$16:$G$83,4,FALSE),IF($A1569="MDEO",VLOOKUP($B1569,[6]MDEO!$B$16:$I$21,5,FALSE)))))</f>
        <v>0.56000000000000005</v>
      </c>
      <c r="F1569" s="32">
        <f>+D1569+D1569*E1569</f>
        <v>14510.568540000004</v>
      </c>
      <c r="G1569" s="130">
        <v>0.9</v>
      </c>
      <c r="H1569" s="128">
        <f>G1569*F1569</f>
        <v>13059.511686000003</v>
      </c>
      <c r="I1569" s="50"/>
    </row>
    <row r="1570" spans="1:9" ht="12.75" hidden="1" customHeight="1" x14ac:dyDescent="0.3">
      <c r="A1570" s="51" t="s">
        <v>4</v>
      </c>
      <c r="B1570" s="131" t="s">
        <v>176</v>
      </c>
      <c r="C1570" s="126" t="str">
        <f>IF($A1570="EQUI",VLOOKUP($B1570,[6]EQUI!B$16:G$46,2,FALSE),IF($A1570="TRAN",VLOOKUP($B1570,[6]TRAN!$B$16:$G$26,2,FALSE),IF($A1570="MAT",VLOOKUP($B1570,[6]MAT!$B$16:$G$83,2,FALSE),IF($A1570="MDEO",VLOOKUP($B1570,[6]MDEO!$B$16:$I$21,2,FALSE)))))</f>
        <v>AYUDANTE ENTENDIDO</v>
      </c>
      <c r="D1570" s="31">
        <f>IF($A1570="EQUI",VLOOKUP($B1570,[6]EQUI!B$16:G$46,3,FALSE),IF($A1570="TRAN",VLOOKUP($B1570,[6]TRAN!$B$16:$G$26,3,FALSE),IF($A1570="MAT",VLOOKUP($B1570,[6]MAT!$B$16:$G$83,3,FALSE),IF($A1570="MDEO",VLOOKUP($B1570,[6]MDEO!$B$16:$I$21,3,FALSE)))))</f>
        <v>8051.6465000000007</v>
      </c>
      <c r="E1570" s="127">
        <f>IF($A1570="EQUI",VLOOKUP($B1570,[6]EQUI!B$16:G$46,4,FALSE),IF($A1570="TRAN",VLOOKUP($B1570,[6]TRAN!$B$16:$G$26,4,FALSE),IF($A1570="MAT",VLOOKUP($B1570,[6]MAT!$B$16:$G$83,4,FALSE),IF($A1570="MDEO",VLOOKUP($B1570,[6]MDEO!$B$16:$I$21,5,FALSE)))))</f>
        <v>0.56000000000000005</v>
      </c>
      <c r="F1570" s="32">
        <f>+D1570+D1570*E1570</f>
        <v>12560.568540000002</v>
      </c>
      <c r="G1570" s="130">
        <v>0.9</v>
      </c>
      <c r="H1570" s="128">
        <f>G1570*F1570</f>
        <v>11304.511686000002</v>
      </c>
      <c r="I1570" s="50"/>
    </row>
    <row r="1571" spans="1:9" ht="12.75" hidden="1" customHeight="1" x14ac:dyDescent="0.3">
      <c r="A1571" s="51" t="s">
        <v>4</v>
      </c>
      <c r="B1571" s="131" t="s">
        <v>177</v>
      </c>
      <c r="C1571" s="126" t="str">
        <f>IF($A1571="EQUI",VLOOKUP($B1571,[6]EQUI!B$16:G$46,2,FALSE),IF($A1571="TRAN",VLOOKUP($B1571,[6]TRAN!$B$16:$G$26,2,FALSE),IF($A1571="MAT",VLOOKUP($B1571,[6]MAT!$B$16:$G$83,2,FALSE),IF($A1571="MDEO",VLOOKUP($B1571,[6]MDEO!$B$16:$I$21,2,FALSE)))))</f>
        <v>AYUDANTE</v>
      </c>
      <c r="D1571" s="31">
        <f>IF($A1571="EQUI",VLOOKUP($B1571,[6]EQUI!B$16:G$46,3,FALSE),IF($A1571="TRAN",VLOOKUP($B1571,[6]TRAN!$B$16:$G$26,3,FALSE),IF($A1571="MAT",VLOOKUP($B1571,[6]MAT!$B$16:$G$83,3,FALSE),IF($A1571="MDEO",VLOOKUP($B1571,[6]MDEO!$B$16:$I$21,3,FALSE)))))</f>
        <v>6801.6465000000007</v>
      </c>
      <c r="E1571" s="127">
        <f>IF($A1571="EQUI",VLOOKUP($B1571,[6]EQUI!B$16:G$46,4,FALSE),IF($A1571="TRAN",VLOOKUP($B1571,[6]TRAN!$B$16:$G$26,4,FALSE),IF($A1571="MAT",VLOOKUP($B1571,[6]MAT!$B$16:$G$83,4,FALSE),IF($A1571="MDEO",VLOOKUP($B1571,[6]MDEO!$B$16:$I$21,5,FALSE)))))</f>
        <v>0.56000000000000005</v>
      </c>
      <c r="F1571" s="32">
        <f>+D1571+D1571*E1571</f>
        <v>10610.568540000002</v>
      </c>
      <c r="G1571" s="130">
        <v>1.8</v>
      </c>
      <c r="H1571" s="128">
        <f>G1571*F1571</f>
        <v>19099.023372000003</v>
      </c>
      <c r="I1571" s="50"/>
    </row>
    <row r="1572" spans="1:9" ht="12.75" hidden="1" customHeight="1" x14ac:dyDescent="0.3">
      <c r="A1572" s="51"/>
      <c r="B1572" s="131"/>
      <c r="C1572" s="126"/>
      <c r="D1572" s="31"/>
      <c r="E1572" s="127"/>
      <c r="F1572" s="32"/>
      <c r="G1572" s="130"/>
      <c r="H1572" s="128"/>
      <c r="I1572" s="50"/>
    </row>
    <row r="1573" spans="1:9" ht="12.75" hidden="1" customHeight="1" x14ac:dyDescent="0.3">
      <c r="A1573" s="51"/>
      <c r="B1573" s="131"/>
      <c r="C1573" s="126"/>
      <c r="D1573" s="31"/>
      <c r="E1573" s="127"/>
      <c r="F1573" s="32"/>
      <c r="G1573" s="130"/>
      <c r="H1573" s="128"/>
      <c r="I1573" s="50"/>
    </row>
    <row r="1574" spans="1:9" ht="12.75" hidden="1" customHeight="1" x14ac:dyDescent="0.3">
      <c r="A1574" s="879"/>
      <c r="B1574" s="868"/>
      <c r="C1574" s="115"/>
      <c r="D1574" s="115"/>
      <c r="E1574" s="115"/>
      <c r="F1574" s="115"/>
      <c r="G1574" s="115"/>
      <c r="H1574" s="115"/>
      <c r="I1574" s="50"/>
    </row>
    <row r="1575" spans="1:9" ht="12.75" hidden="1" customHeight="1" x14ac:dyDescent="0.3">
      <c r="A1575" s="49"/>
      <c r="B1575" s="115"/>
      <c r="C1575" s="115"/>
      <c r="D1575" s="115"/>
      <c r="E1575" s="115"/>
      <c r="F1575" s="120" t="s">
        <v>32</v>
      </c>
      <c r="G1575" s="121" t="str">
        <f>+B1544</f>
        <v>5.9</v>
      </c>
      <c r="H1575" s="120" t="s">
        <v>378</v>
      </c>
      <c r="I1575" s="48">
        <f>SUM(H1569:H1574)</f>
        <v>43463.046744000007</v>
      </c>
    </row>
    <row r="1576" spans="1:9" ht="12.75" hidden="1" customHeight="1" x14ac:dyDescent="0.3">
      <c r="A1576" s="49" t="s">
        <v>54</v>
      </c>
      <c r="B1576" s="115"/>
      <c r="C1576" s="115"/>
      <c r="D1576" s="115"/>
      <c r="E1576" s="115"/>
      <c r="F1576" s="115"/>
      <c r="G1576" s="115"/>
      <c r="H1576" s="116"/>
      <c r="I1576" s="48">
        <f>I1575*0.05</f>
        <v>2173.1523372000006</v>
      </c>
    </row>
    <row r="1577" spans="1:9" ht="12.75" hidden="1" customHeight="1" x14ac:dyDescent="0.3">
      <c r="A1577" s="49"/>
      <c r="B1577" s="115"/>
      <c r="C1577" s="115"/>
      <c r="D1577" s="115"/>
      <c r="E1577" s="115"/>
      <c r="F1577" s="120" t="s">
        <v>55</v>
      </c>
      <c r="G1577" s="116"/>
      <c r="H1577" s="116"/>
      <c r="I1577" s="48">
        <f>ROUND(I1575+I1576+I1561+I1551+I1566,0)</f>
        <v>328636</v>
      </c>
    </row>
    <row r="1578" spans="1:9" ht="12.75" hidden="1" customHeight="1" x14ac:dyDescent="0.3">
      <c r="A1578" s="879" t="s">
        <v>56</v>
      </c>
      <c r="B1578" s="868"/>
      <c r="C1578" s="868"/>
      <c r="D1578" s="868"/>
      <c r="E1578" s="868" t="s">
        <v>57</v>
      </c>
      <c r="F1578" s="868"/>
      <c r="G1578" s="875" t="s">
        <v>58</v>
      </c>
      <c r="H1578" s="875"/>
      <c r="I1578" s="48"/>
    </row>
    <row r="1579" spans="1:9" ht="12.75" hidden="1" customHeight="1" x14ac:dyDescent="0.3">
      <c r="A1579" s="879" t="s">
        <v>208</v>
      </c>
      <c r="B1579" s="868"/>
      <c r="C1579" s="868"/>
      <c r="D1579" s="868"/>
      <c r="E1579" s="876">
        <v>0.02</v>
      </c>
      <c r="F1579" s="876"/>
      <c r="G1579" s="875">
        <f>+I1577*E1579</f>
        <v>6572.72</v>
      </c>
      <c r="H1579" s="875"/>
      <c r="I1579" s="48"/>
    </row>
    <row r="1580" spans="1:9" ht="12.75" hidden="1" customHeight="1" x14ac:dyDescent="0.3">
      <c r="A1580" s="879" t="s">
        <v>5</v>
      </c>
      <c r="B1580" s="868"/>
      <c r="C1580" s="868"/>
      <c r="D1580" s="868"/>
      <c r="E1580" s="876">
        <v>0.23</v>
      </c>
      <c r="F1580" s="876"/>
      <c r="G1580" s="875">
        <f>+E1580*I1577</f>
        <v>75586.28</v>
      </c>
      <c r="H1580" s="875"/>
      <c r="I1580" s="48"/>
    </row>
    <row r="1581" spans="1:9" ht="12.75" hidden="1" customHeight="1" x14ac:dyDescent="0.3">
      <c r="A1581" s="879" t="s">
        <v>6</v>
      </c>
      <c r="B1581" s="868"/>
      <c r="C1581" s="868"/>
      <c r="D1581" s="868"/>
      <c r="E1581" s="876">
        <v>0.05</v>
      </c>
      <c r="F1581" s="876"/>
      <c r="G1581" s="875">
        <f>+E1581*I1577</f>
        <v>16431.8</v>
      </c>
      <c r="H1581" s="875"/>
      <c r="I1581" s="48"/>
    </row>
    <row r="1582" spans="1:9" ht="12.75" hidden="1" customHeight="1" x14ac:dyDescent="0.3">
      <c r="A1582" s="879" t="s">
        <v>207</v>
      </c>
      <c r="B1582" s="868"/>
      <c r="C1582" s="868"/>
      <c r="D1582" s="868"/>
      <c r="E1582" s="876">
        <v>0.02</v>
      </c>
      <c r="F1582" s="876"/>
      <c r="G1582" s="875">
        <f>+E1582*I1577</f>
        <v>6572.72</v>
      </c>
      <c r="H1582" s="875"/>
      <c r="I1582" s="48"/>
    </row>
    <row r="1583" spans="1:9" ht="12.75" hidden="1" customHeight="1" x14ac:dyDescent="0.3">
      <c r="A1583" s="880" t="s">
        <v>397</v>
      </c>
      <c r="B1583" s="867"/>
      <c r="C1583" s="867"/>
      <c r="D1583" s="867"/>
      <c r="E1583" s="867"/>
      <c r="F1583" s="867"/>
      <c r="G1583" s="867"/>
      <c r="H1583" s="867"/>
      <c r="I1583" s="48">
        <f>+G1582+G1580+G1581+G1579</f>
        <v>105163.52</v>
      </c>
    </row>
    <row r="1584" spans="1:9" ht="12.75" hidden="1" customHeight="1" x14ac:dyDescent="0.3">
      <c r="A1584" s="880" t="s">
        <v>59</v>
      </c>
      <c r="B1584" s="867"/>
      <c r="C1584" s="867"/>
      <c r="D1584" s="867"/>
      <c r="E1584" s="867"/>
      <c r="F1584" s="867"/>
      <c r="G1584" s="867"/>
      <c r="H1584" s="867"/>
      <c r="I1584" s="48">
        <f>+I1583+I1577</f>
        <v>433799.52</v>
      </c>
    </row>
    <row r="1585" spans="1:9" ht="12.75" hidden="1" customHeight="1" x14ac:dyDescent="0.3">
      <c r="A1585" s="93"/>
      <c r="B1585" s="65"/>
      <c r="C1585" s="65"/>
      <c r="D1585" s="65"/>
      <c r="E1585" s="65"/>
      <c r="F1585" s="65"/>
      <c r="G1585" s="65"/>
      <c r="H1585" s="65"/>
      <c r="I1585" s="48"/>
    </row>
    <row r="1586" spans="1:9" ht="12.75" hidden="1" customHeight="1" x14ac:dyDescent="0.3">
      <c r="A1586" s="881" t="s">
        <v>114</v>
      </c>
      <c r="B1586" s="604"/>
      <c r="C1586" s="604"/>
      <c r="D1586" s="65"/>
      <c r="E1586" s="65"/>
      <c r="F1586" s="604" t="s">
        <v>396</v>
      </c>
      <c r="G1586" s="604"/>
      <c r="H1586" s="604"/>
      <c r="I1586" s="894"/>
    </row>
    <row r="1587" spans="1:9" ht="12.75" hidden="1" customHeight="1" x14ac:dyDescent="0.3">
      <c r="A1587" s="92" t="s">
        <v>111</v>
      </c>
      <c r="B1587" s="868"/>
      <c r="C1587" s="868"/>
      <c r="D1587" s="115"/>
      <c r="E1587" s="115"/>
      <c r="F1587" s="116" t="s">
        <v>111</v>
      </c>
      <c r="G1587" s="868"/>
      <c r="H1587" s="868"/>
      <c r="I1587" s="884"/>
    </row>
    <row r="1588" spans="1:9" ht="12.75" hidden="1" customHeight="1" x14ac:dyDescent="0.3">
      <c r="A1588" s="132" t="s">
        <v>115</v>
      </c>
      <c r="B1588" s="868" t="str">
        <f>VLOOKUP(A1588,[6]INICIO!$E$6:$H$26,2,FALSE)</f>
        <v>LINA MARCELA</v>
      </c>
      <c r="C1588" s="868"/>
      <c r="F1588" s="86" t="s">
        <v>112</v>
      </c>
      <c r="G1588" s="868"/>
      <c r="H1588" s="868"/>
      <c r="I1588" s="884"/>
    </row>
    <row r="1589" spans="1:9" ht="12.75" hidden="1" customHeight="1" x14ac:dyDescent="0.3">
      <c r="A1589" s="132" t="s">
        <v>113</v>
      </c>
      <c r="B1589" s="868" t="str">
        <f>VLOOKUP(A1588,[6]INICIO!$E$6:$H$26,4,FALSE)</f>
        <v>05202-316814 ANT</v>
      </c>
      <c r="C1589" s="868"/>
      <c r="F1589" s="86" t="s">
        <v>113</v>
      </c>
      <c r="G1589" s="868"/>
      <c r="H1589" s="868"/>
      <c r="I1589" s="884"/>
    </row>
    <row r="1590" spans="1:9" ht="12.75" hidden="1" customHeight="1" x14ac:dyDescent="0.3">
      <c r="A1590" s="132"/>
      <c r="B1590" s="116"/>
      <c r="C1590" s="116"/>
      <c r="F1590" s="86"/>
      <c r="G1590" s="116"/>
      <c r="H1590" s="116"/>
      <c r="I1590" s="95"/>
    </row>
    <row r="1591" spans="1:9" ht="12.75" hidden="1" customHeight="1" x14ac:dyDescent="0.3">
      <c r="A1591" s="872" t="s">
        <v>110</v>
      </c>
      <c r="B1591" s="869"/>
      <c r="C1591" s="869"/>
      <c r="D1591" s="869"/>
      <c r="E1591" s="869"/>
      <c r="F1591" s="869"/>
      <c r="G1591" s="869"/>
      <c r="H1591" s="869"/>
      <c r="I1591" s="873"/>
    </row>
    <row r="1592" spans="1:9" ht="12.75" hidden="1" customHeight="1" x14ac:dyDescent="0.3">
      <c r="A1592" s="870"/>
      <c r="B1592" s="691"/>
      <c r="C1592" s="691"/>
      <c r="D1592" s="691"/>
      <c r="E1592" s="691"/>
      <c r="F1592" s="691"/>
      <c r="G1592" s="691"/>
      <c r="H1592" s="691"/>
      <c r="I1592" s="871"/>
    </row>
    <row r="1593" spans="1:9" ht="12.75" hidden="1" customHeight="1" x14ac:dyDescent="0.3">
      <c r="A1593" s="872"/>
      <c r="B1593" s="869"/>
      <c r="C1593" s="869"/>
      <c r="D1593" s="869"/>
      <c r="E1593" s="869"/>
      <c r="F1593" s="869"/>
      <c r="G1593" s="869"/>
      <c r="H1593" s="869"/>
      <c r="I1593" s="873"/>
    </row>
    <row r="1594" spans="1:9" ht="21" hidden="1" customHeight="1" x14ac:dyDescent="0.3"/>
    <row r="1595" spans="1:9" ht="12.75" hidden="1" customHeight="1" x14ac:dyDescent="0.3">
      <c r="A1595" s="881" t="s">
        <v>68</v>
      </c>
      <c r="B1595" s="604"/>
      <c r="C1595" s="604"/>
      <c r="D1595" s="604"/>
      <c r="E1595" s="604"/>
      <c r="F1595" s="604"/>
      <c r="G1595" s="604"/>
      <c r="H1595" s="604"/>
      <c r="I1595" s="894"/>
    </row>
    <row r="1596" spans="1:9" ht="12.75" hidden="1" customHeight="1" x14ac:dyDescent="0.3">
      <c r="A1596" s="94" t="s">
        <v>69</v>
      </c>
      <c r="B1596" s="112" t="s">
        <v>457</v>
      </c>
      <c r="C1596" s="604" t="s">
        <v>70</v>
      </c>
      <c r="D1596" s="874" t="str">
        <f>VLOOKUP(B1596,[6]PRESUPUESTO!$A$18:$I$90,3,FALSE)</f>
        <v>ESPECIES Y JARDINERIA ZONA VERDE TIPO IIB</v>
      </c>
      <c r="E1596" s="874"/>
      <c r="F1596" s="874"/>
      <c r="G1596" s="874"/>
      <c r="H1596" s="874"/>
      <c r="I1596" s="877"/>
    </row>
    <row r="1597" spans="1:9" ht="12.75" hidden="1" customHeight="1" x14ac:dyDescent="0.3">
      <c r="A1597" s="94" t="s">
        <v>71</v>
      </c>
      <c r="B1597" s="112" t="str">
        <f>VLOOKUP(B1596,[6]PRESUPUESTO!$A$18:$I$90,2,FALSE)</f>
        <v>820-13G</v>
      </c>
      <c r="C1597" s="604"/>
      <c r="D1597" s="140" t="s">
        <v>12</v>
      </c>
      <c r="E1597" s="113" t="s">
        <v>12</v>
      </c>
      <c r="F1597" s="113" t="s">
        <v>13</v>
      </c>
      <c r="G1597" s="113" t="e">
        <f>VLOOKUP(B1597,[6]PRESUPUESTO!$B$15:$I$1222,5,FALSE)</f>
        <v>#N/A</v>
      </c>
      <c r="H1597" s="114" t="s">
        <v>27</v>
      </c>
      <c r="I1597" s="46">
        <f>+I1629</f>
        <v>328636</v>
      </c>
    </row>
    <row r="1598" spans="1:9" ht="12.75" hidden="1" customHeight="1" x14ac:dyDescent="0.3">
      <c r="A1598" s="47" t="s">
        <v>14</v>
      </c>
      <c r="B1598" s="3"/>
      <c r="C1598" s="115"/>
      <c r="D1598" s="115"/>
      <c r="E1598" s="115"/>
      <c r="F1598" s="115"/>
      <c r="G1598" s="115"/>
      <c r="H1598" s="115"/>
      <c r="I1598" s="48"/>
    </row>
    <row r="1599" spans="1:9" ht="12.75" hidden="1" customHeight="1" x14ac:dyDescent="0.3">
      <c r="A1599" s="879" t="s">
        <v>19</v>
      </c>
      <c r="B1599" s="868"/>
      <c r="C1599" s="868"/>
      <c r="D1599" s="868"/>
      <c r="E1599" s="868"/>
      <c r="F1599" s="116" t="s">
        <v>28</v>
      </c>
      <c r="G1599" s="116" t="s">
        <v>29</v>
      </c>
      <c r="H1599" s="116" t="s">
        <v>30</v>
      </c>
      <c r="I1599" s="50"/>
    </row>
    <row r="1600" spans="1:9" ht="12.75" hidden="1" customHeight="1" x14ac:dyDescent="0.3">
      <c r="A1600" s="92" t="s">
        <v>1</v>
      </c>
      <c r="B1600" s="117" t="s">
        <v>90</v>
      </c>
      <c r="C1600" s="878"/>
      <c r="D1600" s="878"/>
      <c r="E1600" s="878"/>
      <c r="F1600" s="123"/>
      <c r="G1600" s="115"/>
      <c r="H1600" s="118"/>
      <c r="I1600" s="50"/>
    </row>
    <row r="1601" spans="1:9" ht="12.75" hidden="1" customHeight="1" x14ac:dyDescent="0.3">
      <c r="A1601" s="92" t="s">
        <v>1</v>
      </c>
      <c r="B1601" s="117" t="s">
        <v>86</v>
      </c>
      <c r="C1601" s="878"/>
      <c r="D1601" s="878"/>
      <c r="E1601" s="878"/>
      <c r="F1601" s="123"/>
      <c r="G1601" s="115"/>
      <c r="H1601" s="118"/>
      <c r="I1601" s="50"/>
    </row>
    <row r="1602" spans="1:9" ht="12.75" hidden="1" customHeight="1" x14ac:dyDescent="0.3">
      <c r="A1602" s="92" t="s">
        <v>1</v>
      </c>
      <c r="B1602" s="117" t="s">
        <v>98</v>
      </c>
      <c r="C1602" s="878"/>
      <c r="D1602" s="878"/>
      <c r="E1602" s="878"/>
      <c r="F1602" s="123"/>
      <c r="G1602" s="115"/>
      <c r="H1602" s="118"/>
      <c r="I1602" s="50"/>
    </row>
    <row r="1603" spans="1:9" ht="12.75" hidden="1" customHeight="1" x14ac:dyDescent="0.3">
      <c r="A1603" s="49"/>
      <c r="B1603" s="115"/>
      <c r="C1603" s="115"/>
      <c r="D1603" s="115"/>
      <c r="E1603" s="115"/>
      <c r="F1603" s="120" t="s">
        <v>32</v>
      </c>
      <c r="G1603" s="121" t="str">
        <f>+B1596</f>
        <v>5.10</v>
      </c>
      <c r="H1603" s="121" t="s">
        <v>369</v>
      </c>
      <c r="I1603" s="48">
        <f>SUM(H1600:H1602)</f>
        <v>0</v>
      </c>
    </row>
    <row r="1604" spans="1:9" ht="12.75" hidden="1" customHeight="1" x14ac:dyDescent="0.3">
      <c r="A1604" s="47" t="s">
        <v>34</v>
      </c>
      <c r="B1604" s="3"/>
      <c r="C1604" s="115"/>
      <c r="D1604" s="115"/>
      <c r="E1604" s="115"/>
      <c r="F1604" s="115"/>
      <c r="G1604" s="115"/>
      <c r="H1604" s="115"/>
      <c r="I1604" s="50"/>
    </row>
    <row r="1605" spans="1:9" ht="12.75" hidden="1" customHeight="1" x14ac:dyDescent="0.3">
      <c r="A1605" s="879" t="s">
        <v>35</v>
      </c>
      <c r="B1605" s="868"/>
      <c r="C1605" s="868"/>
      <c r="D1605" s="868"/>
      <c r="E1605" s="116" t="s">
        <v>12</v>
      </c>
      <c r="F1605" s="116" t="s">
        <v>36</v>
      </c>
      <c r="G1605" s="116" t="s">
        <v>37</v>
      </c>
      <c r="H1605" s="116" t="s">
        <v>38</v>
      </c>
      <c r="I1605" s="50"/>
    </row>
    <row r="1606" spans="1:9" ht="12.75" hidden="1" customHeight="1" x14ac:dyDescent="0.3">
      <c r="A1606" s="92" t="s">
        <v>0</v>
      </c>
      <c r="B1606" s="117" t="s">
        <v>449</v>
      </c>
      <c r="C1606" s="878" t="str">
        <f>IF($A1606="EQUI",VLOOKUP($B1606,[6]EQUI!B$16:G$46,2,FALSE),IF($A1606="TRAN",VLOOKUP($B1606,[6]TRAN!$B$16:$G$26,2,FALSE),IF(A1606="MAT",VLOOKUP($B1606,[6]MAT!$B$16:$G$189,2,FALSE),IF(A1606="MDEO",VLOOKUP($B1606,[6]MDEO!$B$16:$I$21,2,FALSE)))))</f>
        <v>ESPECIE DURANTA ROJA</v>
      </c>
      <c r="D1606" s="878"/>
      <c r="E1606" s="123" t="str">
        <f>IF($A1606="EQUI",VLOOKUP($B1606,[6]EQUI!A$16:F$46,3,FALSE),IF($A1606="TRAN",VLOOKUP($B1606,[6]TRAN!$B$16:$G$26,3,FALSE),IF($A1606="MAT",VLOOKUP($B1606,[6]MAT!$B$16:$G$189,3,FALSE),IF($A1606="MDEO",VLOOKUP($B1606,[6]MDEO!$B$16:$I$21,3,FALSE)))))</f>
        <v>UN</v>
      </c>
      <c r="F1606" s="123">
        <f>IF($A1606="EQUI",VLOOKUP($B1606,[6]EQUI!B$16:G$46,4,FALSE),IF($A1606="TRAN",VLOOKUP($B1606,[6]TRAN!$B$16:$G$26,4,FALSE),IF($A1606="MAT",VLOOKUP($B1606,[6]MAT!$B$16:$G$189,4,FALSE),IF($A1606="MDEO",VLOOKUP($B1606,[6]MDEO!$B$16:$I$21,4,FALSE)))))</f>
        <v>4800</v>
      </c>
      <c r="G1606" s="115">
        <v>23</v>
      </c>
      <c r="H1606" s="118">
        <f t="shared" ref="H1606:H1612" si="9">+F1606*G1606</f>
        <v>110400</v>
      </c>
      <c r="I1606" s="50"/>
    </row>
    <row r="1607" spans="1:9" ht="12.75" hidden="1" customHeight="1" x14ac:dyDescent="0.3">
      <c r="A1607" s="92" t="s">
        <v>0</v>
      </c>
      <c r="B1607" s="117" t="s">
        <v>450</v>
      </c>
      <c r="C1607" s="878" t="str">
        <f>IF($A1607="EQUI",VLOOKUP($B1607,[6]EQUI!B$16:G$46,2,FALSE),IF($A1607="TRAN",VLOOKUP($B1607,[6]TRAN!$B$16:$G$26,2,FALSE),IF(A1607="MAT",VLOOKUP($B1607,[6]MAT!$B$16:$G$189,2,FALSE),IF(A1607="MDEO",VLOOKUP($B1607,[6]MDEO!$B$16:$I$21,2,FALSE)))))</f>
        <v>ESPECIE OITI</v>
      </c>
      <c r="D1607" s="878"/>
      <c r="E1607" s="123" t="str">
        <f>IF($A1607="EQUI",VLOOKUP($B1607,[6]EQUI!A$16:F$46,3,FALSE),IF($A1607="TRAN",VLOOKUP($B1607,[6]TRAN!$B$16:$G$26,3,FALSE),IF($A1607="MAT",VLOOKUP($B1607,[6]MAT!$B$16:$G$189,3,FALSE),IF($A1607="MDEO",VLOOKUP($B1607,[6]MDEO!$B$16:$I$21,3,FALSE)))))</f>
        <v>UN</v>
      </c>
      <c r="F1607" s="123">
        <f>IF($A1607="EQUI",VLOOKUP($B1607,[6]EQUI!B$16:G$46,4,FALSE),IF($A1607="TRAN",VLOOKUP($B1607,[6]TRAN!$B$16:$G$26,4,FALSE),IF($A1607="MAT",VLOOKUP($B1607,[6]MAT!$B$16:$G$189,4,FALSE),IF($A1607="MDEO",VLOOKUP($B1607,[6]MDEO!$B$16:$I$21,4,FALSE)))))</f>
        <v>33600</v>
      </c>
      <c r="G1607" s="115">
        <v>1</v>
      </c>
      <c r="H1607" s="118">
        <f t="shared" si="9"/>
        <v>33600</v>
      </c>
      <c r="I1607" s="50"/>
    </row>
    <row r="1608" spans="1:9" ht="12.75" hidden="1" customHeight="1" x14ac:dyDescent="0.3">
      <c r="A1608" s="92" t="s">
        <v>0</v>
      </c>
      <c r="B1608" s="117" t="s">
        <v>445</v>
      </c>
      <c r="C1608" s="878" t="str">
        <f>IF($A1608="EQUI",VLOOKUP($B1608,[6]EQUI!B$16:G$46,2,FALSE),IF($A1608="TRAN",VLOOKUP($B1608,[6]TRAN!$B$16:$G$26,2,FALSE),IF(A1608="MAT",VLOOKUP($B1608,[6]MAT!$B$16:$G$189,2,FALSE),IF(A1608="MDEO",VLOOKUP($B1608,[6]MDEO!$B$16:$I$21,2,FALSE)))))</f>
        <v>ESPECIE NIÑA BARCO</v>
      </c>
      <c r="D1608" s="878"/>
      <c r="E1608" s="123" t="str">
        <f>IF($A1608="EQUI",VLOOKUP($B1608,[6]EQUI!A$16:F$46,3,FALSE),IF($A1608="TRAN",VLOOKUP($B1608,[6]TRAN!$B$16:$G$26,3,FALSE),IF($A1608="MAT",VLOOKUP($B1608,[6]MAT!$B$16:$G$189,3,FALSE),IF($A1608="MDEO",VLOOKUP($B1608,[6]MDEO!$B$16:$I$21,3,FALSE)))))</f>
        <v>UN</v>
      </c>
      <c r="F1608" s="123">
        <f>IF($A1608="EQUI",VLOOKUP($B1608,[6]EQUI!B$16:G$46,4,FALSE),IF($A1608="TRAN",VLOOKUP($B1608,[6]TRAN!$B$16:$G$26,4,FALSE),IF($A1608="MAT",VLOOKUP($B1608,[6]MAT!$B$16:$G$189,4,FALSE),IF($A1608="MDEO",VLOOKUP($B1608,[6]MDEO!$B$16:$I$21,4,FALSE)))))</f>
        <v>6500</v>
      </c>
      <c r="G1608" s="115">
        <v>12</v>
      </c>
      <c r="H1608" s="118">
        <f t="shared" si="9"/>
        <v>78000</v>
      </c>
      <c r="I1608" s="50"/>
    </row>
    <row r="1609" spans="1:9" ht="12.75" hidden="1" customHeight="1" x14ac:dyDescent="0.3">
      <c r="A1609" s="92" t="s">
        <v>0</v>
      </c>
      <c r="B1609" s="117" t="s">
        <v>454</v>
      </c>
      <c r="C1609" s="878" t="str">
        <f>IF($A1609="EQUI",VLOOKUP($B1609,[6]EQUI!B$16:G$46,2,FALSE),IF($A1609="TRAN",VLOOKUP($B1609,[6]TRAN!$B$16:$G$26,2,FALSE),IF(A1609="MAT",VLOOKUP($B1609,[6]MAT!$B$16:$G$189,2,FALSE),IF(A1609="MDEO",VLOOKUP($B1609,[6]MDEO!$B$16:$I$21,2,FALSE)))))</f>
        <v>ESPECIE HELICONIA</v>
      </c>
      <c r="D1609" s="878"/>
      <c r="E1609" s="123" t="str">
        <f>IF($A1609="EQUI",VLOOKUP($B1609,[6]EQUI!A$16:F$46,3,FALSE),IF($A1609="TRAN",VLOOKUP($B1609,[6]TRAN!$B$16:$G$26,3,FALSE),IF($A1609="MAT",VLOOKUP($B1609,[6]MAT!$B$16:$G$189,3,FALSE),IF($A1609="MDEO",VLOOKUP($B1609,[6]MDEO!$B$16:$I$21,3,FALSE)))))</f>
        <v>UN</v>
      </c>
      <c r="F1609" s="123">
        <f>IF($A1609="EQUI",VLOOKUP($B1609,[6]EQUI!B$16:G$46,4,FALSE),IF($A1609="TRAN",VLOOKUP($B1609,[6]TRAN!$B$16:$G$26,4,FALSE),IF($A1609="MAT",VLOOKUP($B1609,[6]MAT!$B$16:$G$189,4,FALSE),IF($A1609="MDEO",VLOOKUP($B1609,[6]MDEO!$B$16:$I$21,4,FALSE)))))</f>
        <v>11200.000000000002</v>
      </c>
      <c r="G1609" s="115">
        <v>4</v>
      </c>
      <c r="H1609" s="118">
        <f t="shared" si="9"/>
        <v>44800.000000000007</v>
      </c>
      <c r="I1609" s="50"/>
    </row>
    <row r="1610" spans="1:9" ht="12.75" hidden="1" customHeight="1" x14ac:dyDescent="0.3">
      <c r="A1610" s="92" t="s">
        <v>0</v>
      </c>
      <c r="B1610" s="117" t="s">
        <v>151</v>
      </c>
      <c r="C1610" s="878" t="str">
        <f>IF($A1610="EQUI",VLOOKUP($B1610,[6]EQUI!B$16:G$46,2,FALSE),IF($A1610="TRAN",VLOOKUP($B1610,[6]TRAN!$B$16:$G$26,2,FALSE),IF(A1610="MAT",VLOOKUP($B1610,[6]MAT!$B$16:$G$194,2,FALSE),IF(A1610="MDEO",VLOOKUP($B1610,[6]MDEO!$B$16:$I$21,2,FALSE)))))</f>
        <v xml:space="preserve">FERTILIZANTE FÓSFORO </v>
      </c>
      <c r="D1610" s="878"/>
      <c r="E1610" s="123" t="str">
        <f>IF($A1610="EQUI",VLOOKUP($B1610,[6]EQUI!A$16:F$46,3,FALSE),IF($A1610="TRAN",VLOOKUP($B1610,[6]TRAN!$B$16:$G$26,3,FALSE),IF($A1610="MAT",VLOOKUP($B1610,[6]MAT!$B$16:$G$194,3,FALSE),IF($A1610="MDEO",VLOOKUP($B1610,[6]MDEO!$B$16:$I$21,3,FALSE)))))</f>
        <v>BULTO</v>
      </c>
      <c r="F1610" s="123">
        <f>IF($A1610="EQUI",VLOOKUP($B1610,[6]EQUI!B$16:G$46,4,FALSE),IF($A1610="TRAN",VLOOKUP($B1610,[6]TRAN!$B$16:$G$26,4,FALSE),IF($A1610="MAT",VLOOKUP($B1610,[6]MAT!$B$16:$G$194,4,FALSE),IF($A1610="MDEO",VLOOKUP($B1610,[6]MDEO!$B$16:$I$21,4,FALSE)))))</f>
        <v>110000</v>
      </c>
      <c r="G1610" s="115">
        <v>0.02</v>
      </c>
      <c r="H1610" s="118">
        <f t="shared" si="9"/>
        <v>2200</v>
      </c>
      <c r="I1610" s="50"/>
    </row>
    <row r="1611" spans="1:9" ht="12.75" hidden="1" customHeight="1" x14ac:dyDescent="0.3">
      <c r="A1611" s="92" t="s">
        <v>0</v>
      </c>
      <c r="B1611" s="117" t="s">
        <v>152</v>
      </c>
      <c r="C1611" s="878" t="str">
        <f>IF($A1611="EQUI",VLOOKUP($B1611,[6]EQUI!B$16:G$46,2,FALSE),IF($A1611="TRAN",VLOOKUP($B1611,[6]TRAN!$B$16:$G$26,2,FALSE),IF(A1611="MAT",VLOOKUP($B1611,[6]MAT!$B$16:$G$194,2,FALSE),IF(A1611="MDEO",VLOOKUP($B1611,[6]MDEO!$B$16:$I$21,2,FALSE)))))</f>
        <v>FERTILIZANTE Urea</v>
      </c>
      <c r="D1611" s="878"/>
      <c r="E1611" s="123" t="str">
        <f>IF($A1611="EQUI",VLOOKUP($B1611,[6]EQUI!A$16:F$46,3,FALSE),IF($A1611="TRAN",VLOOKUP($B1611,[6]TRAN!$B$16:$G$26,3,FALSE),IF($A1611="MAT",VLOOKUP($B1611,[6]MAT!$B$16:$G$194,3,FALSE),IF($A1611="MDEO",VLOOKUP($B1611,[6]MDEO!$B$16:$I$21,3,FALSE)))))</f>
        <v>BULTO</v>
      </c>
      <c r="F1611" s="123">
        <f>IF($A1611="EQUI",VLOOKUP($B1611,[6]EQUI!B$16:G$46,4,FALSE),IF($A1611="TRAN",VLOOKUP($B1611,[6]TRAN!$B$16:$G$26,4,FALSE),IF($A1611="MAT",VLOOKUP($B1611,[6]MAT!$B$16:$G$194,4,FALSE),IF($A1611="MDEO",VLOOKUP($B1611,[6]MDEO!$B$16:$I$21,4,FALSE)))))</f>
        <v>95000</v>
      </c>
      <c r="G1611" s="115">
        <v>0.1</v>
      </c>
      <c r="H1611" s="118">
        <f t="shared" si="9"/>
        <v>9500</v>
      </c>
      <c r="I1611" s="50"/>
    </row>
    <row r="1612" spans="1:9" ht="12.75" hidden="1" customHeight="1" x14ac:dyDescent="0.3">
      <c r="A1612" s="92" t="s">
        <v>0</v>
      </c>
      <c r="B1612" s="117" t="s">
        <v>446</v>
      </c>
      <c r="C1612" s="878" t="str">
        <f>IF($A1612="EQUI",VLOOKUP($B1612,[6]EQUI!B$16:G$46,2,FALSE),IF($A1612="TRAN",VLOOKUP($B1612,[6]TRAN!$B$16:$G$26,2,FALSE),IF(A1612="MAT",VLOOKUP($B1612,[6]MAT!$B$16:$G$189,2,FALSE),IF(A1612="MDEO",VLOOKUP($B1612,[6]MDEO!$B$16:$I$21,2,FALSE)))))</f>
        <v>BULTO TIERRA</v>
      </c>
      <c r="D1612" s="878"/>
      <c r="E1612" s="123" t="str">
        <f>IF($A1612="EQUI",VLOOKUP($B1612,[6]EQUI!A$16:F$46,3,FALSE),IF($A1612="TRAN",VLOOKUP($B1612,[6]TRAN!$B$16:$G$26,3,FALSE),IF($A1612="MAT",VLOOKUP($B1612,[6]MAT!$B$16:$G$189,3,FALSE),IF($A1612="MDEO",VLOOKUP($B1612,[6]MDEO!$B$16:$I$21,3,FALSE)))))</f>
        <v>BULTO</v>
      </c>
      <c r="F1612" s="123">
        <f>IF($A1612="EQUI",VLOOKUP($B1612,[6]EQUI!B$16:G$46,4,FALSE),IF($A1612="TRAN",VLOOKUP($B1612,[6]TRAN!$B$16:$G$26,4,FALSE),IF($A1612="MAT",VLOOKUP($B1612,[6]MAT!$B$16:$G$189,4,FALSE),IF($A1612="MDEO",VLOOKUP($B1612,[6]MDEO!$B$16:$I$21,4,FALSE)))))</f>
        <v>15000</v>
      </c>
      <c r="G1612" s="115">
        <v>0.3</v>
      </c>
      <c r="H1612" s="118">
        <f t="shared" si="9"/>
        <v>4500</v>
      </c>
      <c r="I1612" s="50"/>
    </row>
    <row r="1613" spans="1:9" ht="12.75" hidden="1" customHeight="1" x14ac:dyDescent="0.3">
      <c r="A1613" s="49"/>
      <c r="B1613" s="115"/>
      <c r="C1613" s="115"/>
      <c r="D1613" s="115"/>
      <c r="E1613" s="115"/>
      <c r="F1613" s="120" t="s">
        <v>32</v>
      </c>
      <c r="G1613" s="121" t="str">
        <f>+B1596</f>
        <v>5.10</v>
      </c>
      <c r="H1613" s="121" t="s">
        <v>372</v>
      </c>
      <c r="I1613" s="48">
        <f>SUM(H1606:H1612)</f>
        <v>283000</v>
      </c>
    </row>
    <row r="1614" spans="1:9" ht="12.75" hidden="1" customHeight="1" x14ac:dyDescent="0.3">
      <c r="A1614" s="47" t="s">
        <v>15</v>
      </c>
      <c r="B1614" s="3"/>
      <c r="C1614" s="115"/>
      <c r="D1614" s="115"/>
      <c r="E1614" s="115"/>
      <c r="F1614" s="115"/>
      <c r="G1614" s="115"/>
      <c r="H1614" s="115"/>
      <c r="I1614" s="50"/>
    </row>
    <row r="1615" spans="1:9" ht="12.75" hidden="1" customHeight="1" x14ac:dyDescent="0.3">
      <c r="A1615" s="879" t="s">
        <v>19</v>
      </c>
      <c r="B1615" s="868"/>
      <c r="C1615" s="868"/>
      <c r="D1615" s="116" t="s">
        <v>43</v>
      </c>
      <c r="E1615" s="116" t="s">
        <v>44</v>
      </c>
      <c r="F1615" s="123" t="s">
        <v>45</v>
      </c>
      <c r="G1615" s="116" t="s">
        <v>17</v>
      </c>
      <c r="H1615" s="116" t="s">
        <v>30</v>
      </c>
      <c r="I1615" s="50"/>
    </row>
    <row r="1616" spans="1:9" ht="12.75" hidden="1" customHeight="1" x14ac:dyDescent="0.3">
      <c r="A1616" s="51"/>
      <c r="B1616" s="117"/>
      <c r="C1616" s="133"/>
      <c r="D1616" s="123"/>
      <c r="E1616" s="123"/>
      <c r="F1616" s="123"/>
      <c r="G1616" s="116"/>
      <c r="H1616" s="118"/>
      <c r="I1616" s="50"/>
    </row>
    <row r="1617" spans="1:9" ht="12.75" hidden="1" customHeight="1" x14ac:dyDescent="0.3">
      <c r="A1617" s="51"/>
      <c r="B1617" s="117"/>
      <c r="C1617" s="133"/>
      <c r="D1617" s="123"/>
      <c r="E1617" s="123"/>
      <c r="F1617" s="123"/>
      <c r="G1617" s="116"/>
      <c r="H1617" s="118"/>
      <c r="I1617" s="50"/>
    </row>
    <row r="1618" spans="1:9" ht="12.75" hidden="1" customHeight="1" x14ac:dyDescent="0.3">
      <c r="A1618" s="49"/>
      <c r="B1618" s="115"/>
      <c r="C1618" s="115"/>
      <c r="D1618" s="115"/>
      <c r="E1618" s="115"/>
      <c r="F1618" s="120" t="s">
        <v>32</v>
      </c>
      <c r="G1618" s="121" t="str">
        <f>+B1596</f>
        <v>5.10</v>
      </c>
      <c r="H1618" s="121" t="s">
        <v>375</v>
      </c>
      <c r="I1618" s="48">
        <f>SUM(H1616:H1617)</f>
        <v>0</v>
      </c>
    </row>
    <row r="1619" spans="1:9" ht="12.75" hidden="1" customHeight="1" x14ac:dyDescent="0.3">
      <c r="A1619" s="47"/>
      <c r="B1619" s="3"/>
      <c r="C1619" s="115"/>
      <c r="D1619" s="115"/>
      <c r="E1619" s="115"/>
      <c r="F1619" s="115"/>
      <c r="G1619" s="115"/>
      <c r="H1619" s="115"/>
      <c r="I1619" s="50"/>
    </row>
    <row r="1620" spans="1:9" ht="12.75" hidden="1" customHeight="1" x14ac:dyDescent="0.3">
      <c r="A1620" s="882" t="s">
        <v>18</v>
      </c>
      <c r="B1620" s="883"/>
      <c r="C1620" s="883"/>
      <c r="D1620" s="140" t="s">
        <v>48</v>
      </c>
      <c r="E1620" s="140" t="s">
        <v>109</v>
      </c>
      <c r="F1620" s="141" t="s">
        <v>250</v>
      </c>
      <c r="G1620" s="142" t="s">
        <v>251</v>
      </c>
      <c r="H1620" s="140" t="s">
        <v>252</v>
      </c>
      <c r="I1620" s="52"/>
    </row>
    <row r="1621" spans="1:9" ht="12.75" hidden="1" customHeight="1" x14ac:dyDescent="0.3">
      <c r="A1621" s="51" t="s">
        <v>4</v>
      </c>
      <c r="B1621" s="131" t="s">
        <v>175</v>
      </c>
      <c r="C1621" s="126" t="str">
        <f>IF($A1621="EQUI",VLOOKUP($B1621,[6]EQUI!B$16:G$46,2,FALSE),IF($A1621="TRAN",VLOOKUP($B1621,[6]TRAN!$B$16:$G$26,2,FALSE),IF($A1621="MAT",VLOOKUP($B1621,[6]MAT!$B$16:$G$83,2,FALSE),IF($A1621="MDEO",VLOOKUP($B1621,[6]MDEO!$B$16:$I$21,2,FALSE)))))</f>
        <v>OFICIAL</v>
      </c>
      <c r="D1621" s="31">
        <f>IF($A1621="EQUI",VLOOKUP($B1621,[6]EQUI!B$16:G$46,3,FALSE),IF($A1621="TRAN",VLOOKUP($B1621,[6]TRAN!$B$16:$G$26,3,FALSE),IF($A1621="MAT",VLOOKUP($B1621,[6]MAT!$B$16:$G$83,3,FALSE),IF($A1621="MDEO",VLOOKUP($B1621,[6]MDEO!$B$16:$I$21,3,FALSE)))))</f>
        <v>9301.6465000000026</v>
      </c>
      <c r="E1621" s="127">
        <f>IF($A1621="EQUI",VLOOKUP($B1621,[6]EQUI!B$16:G$46,4,FALSE),IF($A1621="TRAN",VLOOKUP($B1621,[6]TRAN!$B$16:$G$26,4,FALSE),IF($A1621="MAT",VLOOKUP($B1621,[6]MAT!$B$16:$G$83,4,FALSE),IF($A1621="MDEO",VLOOKUP($B1621,[6]MDEO!$B$16:$I$21,5,FALSE)))))</f>
        <v>0.56000000000000005</v>
      </c>
      <c r="F1621" s="32">
        <f>+D1621+D1621*E1621</f>
        <v>14510.568540000004</v>
      </c>
      <c r="G1621" s="130">
        <v>0.9</v>
      </c>
      <c r="H1621" s="128">
        <f>G1621*F1621</f>
        <v>13059.511686000003</v>
      </c>
      <c r="I1621" s="50"/>
    </row>
    <row r="1622" spans="1:9" ht="12.75" hidden="1" customHeight="1" x14ac:dyDescent="0.3">
      <c r="A1622" s="51" t="s">
        <v>4</v>
      </c>
      <c r="B1622" s="131" t="s">
        <v>176</v>
      </c>
      <c r="C1622" s="126" t="str">
        <f>IF($A1622="EQUI",VLOOKUP($B1622,[6]EQUI!B$16:G$46,2,FALSE),IF($A1622="TRAN",VLOOKUP($B1622,[6]TRAN!$B$16:$G$26,2,FALSE),IF($A1622="MAT",VLOOKUP($B1622,[6]MAT!$B$16:$G$83,2,FALSE),IF($A1622="MDEO",VLOOKUP($B1622,[6]MDEO!$B$16:$I$21,2,FALSE)))))</f>
        <v>AYUDANTE ENTENDIDO</v>
      </c>
      <c r="D1622" s="31">
        <f>IF($A1622="EQUI",VLOOKUP($B1622,[6]EQUI!B$16:G$46,3,FALSE),IF($A1622="TRAN",VLOOKUP($B1622,[6]TRAN!$B$16:$G$26,3,FALSE),IF($A1622="MAT",VLOOKUP($B1622,[6]MAT!$B$16:$G$83,3,FALSE),IF($A1622="MDEO",VLOOKUP($B1622,[6]MDEO!$B$16:$I$21,3,FALSE)))))</f>
        <v>8051.6465000000007</v>
      </c>
      <c r="E1622" s="127">
        <f>IF($A1622="EQUI",VLOOKUP($B1622,[6]EQUI!B$16:G$46,4,FALSE),IF($A1622="TRAN",VLOOKUP($B1622,[6]TRAN!$B$16:$G$26,4,FALSE),IF($A1622="MAT",VLOOKUP($B1622,[6]MAT!$B$16:$G$83,4,FALSE),IF($A1622="MDEO",VLOOKUP($B1622,[6]MDEO!$B$16:$I$21,5,FALSE)))))</f>
        <v>0.56000000000000005</v>
      </c>
      <c r="F1622" s="32">
        <f>+D1622+D1622*E1622</f>
        <v>12560.568540000002</v>
      </c>
      <c r="G1622" s="130">
        <v>0.9</v>
      </c>
      <c r="H1622" s="128">
        <f>G1622*F1622</f>
        <v>11304.511686000002</v>
      </c>
      <c r="I1622" s="50"/>
    </row>
    <row r="1623" spans="1:9" ht="12.75" hidden="1" customHeight="1" x14ac:dyDescent="0.3">
      <c r="A1623" s="51" t="s">
        <v>4</v>
      </c>
      <c r="B1623" s="131" t="s">
        <v>177</v>
      </c>
      <c r="C1623" s="126" t="str">
        <f>IF($A1623="EQUI",VLOOKUP($B1623,[6]EQUI!B$16:G$46,2,FALSE),IF($A1623="TRAN",VLOOKUP($B1623,[6]TRAN!$B$16:$G$26,2,FALSE),IF($A1623="MAT",VLOOKUP($B1623,[6]MAT!$B$16:$G$83,2,FALSE),IF($A1623="MDEO",VLOOKUP($B1623,[6]MDEO!$B$16:$I$21,2,FALSE)))))</f>
        <v>AYUDANTE</v>
      </c>
      <c r="D1623" s="31">
        <f>IF($A1623="EQUI",VLOOKUP($B1623,[6]EQUI!B$16:G$46,3,FALSE),IF($A1623="TRAN",VLOOKUP($B1623,[6]TRAN!$B$16:$G$26,3,FALSE),IF($A1623="MAT",VLOOKUP($B1623,[6]MAT!$B$16:$G$83,3,FALSE),IF($A1623="MDEO",VLOOKUP($B1623,[6]MDEO!$B$16:$I$21,3,FALSE)))))</f>
        <v>6801.6465000000007</v>
      </c>
      <c r="E1623" s="127">
        <f>IF($A1623="EQUI",VLOOKUP($B1623,[6]EQUI!B$16:G$46,4,FALSE),IF($A1623="TRAN",VLOOKUP($B1623,[6]TRAN!$B$16:$G$26,4,FALSE),IF($A1623="MAT",VLOOKUP($B1623,[6]MAT!$B$16:$G$83,4,FALSE),IF($A1623="MDEO",VLOOKUP($B1623,[6]MDEO!$B$16:$I$21,5,FALSE)))))</f>
        <v>0.56000000000000005</v>
      </c>
      <c r="F1623" s="32">
        <f>+D1623+D1623*E1623</f>
        <v>10610.568540000002</v>
      </c>
      <c r="G1623" s="130">
        <v>1.8</v>
      </c>
      <c r="H1623" s="128">
        <f>G1623*F1623</f>
        <v>19099.023372000003</v>
      </c>
      <c r="I1623" s="50"/>
    </row>
    <row r="1624" spans="1:9" ht="12.75" hidden="1" customHeight="1" x14ac:dyDescent="0.3">
      <c r="A1624" s="51"/>
      <c r="B1624" s="131"/>
      <c r="C1624" s="126"/>
      <c r="D1624" s="31"/>
      <c r="E1624" s="127"/>
      <c r="F1624" s="32"/>
      <c r="G1624" s="130"/>
      <c r="H1624" s="128"/>
      <c r="I1624" s="50"/>
    </row>
    <row r="1625" spans="1:9" ht="12.75" hidden="1" customHeight="1" x14ac:dyDescent="0.3">
      <c r="A1625" s="51"/>
      <c r="B1625" s="131"/>
      <c r="C1625" s="126"/>
      <c r="D1625" s="31"/>
      <c r="E1625" s="127"/>
      <c r="F1625" s="32"/>
      <c r="G1625" s="130"/>
      <c r="H1625" s="128"/>
      <c r="I1625" s="50"/>
    </row>
    <row r="1626" spans="1:9" ht="12.75" hidden="1" customHeight="1" x14ac:dyDescent="0.3">
      <c r="A1626" s="879"/>
      <c r="B1626" s="868"/>
      <c r="C1626" s="115"/>
      <c r="D1626" s="115"/>
      <c r="E1626" s="115"/>
      <c r="F1626" s="115"/>
      <c r="G1626" s="115"/>
      <c r="H1626" s="115"/>
      <c r="I1626" s="50"/>
    </row>
    <row r="1627" spans="1:9" ht="12.75" hidden="1" customHeight="1" x14ac:dyDescent="0.3">
      <c r="A1627" s="49"/>
      <c r="B1627" s="115"/>
      <c r="C1627" s="115"/>
      <c r="D1627" s="115"/>
      <c r="E1627" s="115"/>
      <c r="F1627" s="120" t="s">
        <v>32</v>
      </c>
      <c r="G1627" s="121" t="str">
        <f>+B1596</f>
        <v>5.10</v>
      </c>
      <c r="H1627" s="120" t="s">
        <v>378</v>
      </c>
      <c r="I1627" s="48">
        <f>SUM(H1621:H1626)</f>
        <v>43463.046744000007</v>
      </c>
    </row>
    <row r="1628" spans="1:9" ht="12.75" hidden="1" customHeight="1" x14ac:dyDescent="0.3">
      <c r="A1628" s="49" t="s">
        <v>54</v>
      </c>
      <c r="B1628" s="115"/>
      <c r="C1628" s="115"/>
      <c r="D1628" s="115"/>
      <c r="E1628" s="115"/>
      <c r="F1628" s="115"/>
      <c r="G1628" s="115"/>
      <c r="H1628" s="116"/>
      <c r="I1628" s="48">
        <f>I1627*0.05</f>
        <v>2173.1523372000006</v>
      </c>
    </row>
    <row r="1629" spans="1:9" ht="12.75" hidden="1" customHeight="1" x14ac:dyDescent="0.3">
      <c r="A1629" s="49"/>
      <c r="B1629" s="115"/>
      <c r="C1629" s="115"/>
      <c r="D1629" s="115"/>
      <c r="E1629" s="115"/>
      <c r="F1629" s="120" t="s">
        <v>55</v>
      </c>
      <c r="G1629" s="116"/>
      <c r="H1629" s="116"/>
      <c r="I1629" s="48">
        <f>ROUND(I1627+I1628+I1613+I1603+I1618,0)</f>
        <v>328636</v>
      </c>
    </row>
    <row r="1630" spans="1:9" ht="12.75" hidden="1" customHeight="1" x14ac:dyDescent="0.3">
      <c r="A1630" s="879" t="s">
        <v>56</v>
      </c>
      <c r="B1630" s="868"/>
      <c r="C1630" s="868"/>
      <c r="D1630" s="868"/>
      <c r="E1630" s="868" t="s">
        <v>57</v>
      </c>
      <c r="F1630" s="868"/>
      <c r="G1630" s="875" t="s">
        <v>58</v>
      </c>
      <c r="H1630" s="875"/>
      <c r="I1630" s="48"/>
    </row>
    <row r="1631" spans="1:9" ht="12.75" hidden="1" customHeight="1" x14ac:dyDescent="0.3">
      <c r="A1631" s="879" t="s">
        <v>208</v>
      </c>
      <c r="B1631" s="868"/>
      <c r="C1631" s="868"/>
      <c r="D1631" s="868"/>
      <c r="E1631" s="876">
        <v>0.02</v>
      </c>
      <c r="F1631" s="876"/>
      <c r="G1631" s="875">
        <f>+I1629*E1631</f>
        <v>6572.72</v>
      </c>
      <c r="H1631" s="875"/>
      <c r="I1631" s="48"/>
    </row>
    <row r="1632" spans="1:9" ht="12.75" hidden="1" customHeight="1" x14ac:dyDescent="0.3">
      <c r="A1632" s="879" t="s">
        <v>5</v>
      </c>
      <c r="B1632" s="868"/>
      <c r="C1632" s="868"/>
      <c r="D1632" s="868"/>
      <c r="E1632" s="876">
        <v>0.23</v>
      </c>
      <c r="F1632" s="876"/>
      <c r="G1632" s="875">
        <f>+E1632*I1629</f>
        <v>75586.28</v>
      </c>
      <c r="H1632" s="875"/>
      <c r="I1632" s="48"/>
    </row>
    <row r="1633" spans="1:9" ht="12.75" hidden="1" customHeight="1" x14ac:dyDescent="0.3">
      <c r="A1633" s="879" t="s">
        <v>6</v>
      </c>
      <c r="B1633" s="868"/>
      <c r="C1633" s="868"/>
      <c r="D1633" s="868"/>
      <c r="E1633" s="876">
        <v>0.05</v>
      </c>
      <c r="F1633" s="876"/>
      <c r="G1633" s="875">
        <f>+E1633*I1629</f>
        <v>16431.8</v>
      </c>
      <c r="H1633" s="875"/>
      <c r="I1633" s="48"/>
    </row>
    <row r="1634" spans="1:9" ht="12.75" hidden="1" customHeight="1" x14ac:dyDescent="0.3">
      <c r="A1634" s="879" t="s">
        <v>207</v>
      </c>
      <c r="B1634" s="868"/>
      <c r="C1634" s="868"/>
      <c r="D1634" s="868"/>
      <c r="E1634" s="876">
        <v>0.02</v>
      </c>
      <c r="F1634" s="876"/>
      <c r="G1634" s="875">
        <f>+E1634*I1629</f>
        <v>6572.72</v>
      </c>
      <c r="H1634" s="875"/>
      <c r="I1634" s="48"/>
    </row>
    <row r="1635" spans="1:9" ht="12.75" hidden="1" customHeight="1" x14ac:dyDescent="0.3">
      <c r="A1635" s="880" t="s">
        <v>397</v>
      </c>
      <c r="B1635" s="867"/>
      <c r="C1635" s="867"/>
      <c r="D1635" s="867"/>
      <c r="E1635" s="867"/>
      <c r="F1635" s="867"/>
      <c r="G1635" s="867"/>
      <c r="H1635" s="867"/>
      <c r="I1635" s="48">
        <f>+G1634+G1632+G1633+G1631</f>
        <v>105163.52</v>
      </c>
    </row>
    <row r="1636" spans="1:9" ht="12.75" hidden="1" customHeight="1" x14ac:dyDescent="0.3">
      <c r="A1636" s="880" t="s">
        <v>59</v>
      </c>
      <c r="B1636" s="867"/>
      <c r="C1636" s="867"/>
      <c r="D1636" s="867"/>
      <c r="E1636" s="867"/>
      <c r="F1636" s="867"/>
      <c r="G1636" s="867"/>
      <c r="H1636" s="867"/>
      <c r="I1636" s="48">
        <f>+I1635+I1629</f>
        <v>433799.52</v>
      </c>
    </row>
    <row r="1637" spans="1:9" ht="12.75" hidden="1" customHeight="1" x14ac:dyDescent="0.3">
      <c r="A1637" s="93"/>
      <c r="B1637" s="65"/>
      <c r="C1637" s="65"/>
      <c r="D1637" s="65"/>
      <c r="E1637" s="65"/>
      <c r="F1637" s="65"/>
      <c r="G1637" s="65"/>
      <c r="H1637" s="65"/>
      <c r="I1637" s="48"/>
    </row>
    <row r="1638" spans="1:9" ht="12.75" hidden="1" customHeight="1" x14ac:dyDescent="0.3">
      <c r="A1638" s="881" t="s">
        <v>114</v>
      </c>
      <c r="B1638" s="604"/>
      <c r="C1638" s="604"/>
      <c r="D1638" s="65"/>
      <c r="E1638" s="65"/>
      <c r="F1638" s="604" t="s">
        <v>396</v>
      </c>
      <c r="G1638" s="604"/>
      <c r="H1638" s="604"/>
      <c r="I1638" s="894"/>
    </row>
    <row r="1639" spans="1:9" ht="12.75" hidden="1" customHeight="1" x14ac:dyDescent="0.3">
      <c r="A1639" s="92" t="s">
        <v>111</v>
      </c>
      <c r="B1639" s="868"/>
      <c r="C1639" s="868"/>
      <c r="D1639" s="115"/>
      <c r="E1639" s="115"/>
      <c r="F1639" s="116" t="s">
        <v>111</v>
      </c>
      <c r="G1639" s="868"/>
      <c r="H1639" s="868"/>
      <c r="I1639" s="884"/>
    </row>
    <row r="1640" spans="1:9" ht="12.75" hidden="1" customHeight="1" x14ac:dyDescent="0.3">
      <c r="A1640" s="132" t="s">
        <v>115</v>
      </c>
      <c r="B1640" s="868" t="str">
        <f>VLOOKUP(A1640,[6]INICIO!$E$6:$H$26,2,FALSE)</f>
        <v>LINA MARCELA</v>
      </c>
      <c r="C1640" s="868"/>
      <c r="F1640" s="86" t="s">
        <v>112</v>
      </c>
      <c r="G1640" s="868"/>
      <c r="H1640" s="868"/>
      <c r="I1640" s="884"/>
    </row>
    <row r="1641" spans="1:9" ht="12.75" hidden="1" customHeight="1" x14ac:dyDescent="0.3">
      <c r="A1641" s="132" t="s">
        <v>113</v>
      </c>
      <c r="B1641" s="868" t="str">
        <f>VLOOKUP(A1640,[6]INICIO!$E$6:$H$26,4,FALSE)</f>
        <v>05202-316814 ANT</v>
      </c>
      <c r="C1641" s="868"/>
      <c r="F1641" s="86" t="s">
        <v>113</v>
      </c>
      <c r="G1641" s="868"/>
      <c r="H1641" s="868"/>
      <c r="I1641" s="884"/>
    </row>
    <row r="1642" spans="1:9" ht="12.75" hidden="1" customHeight="1" x14ac:dyDescent="0.3">
      <c r="A1642" s="132"/>
      <c r="B1642" s="116"/>
      <c r="C1642" s="116"/>
      <c r="F1642" s="86"/>
      <c r="G1642" s="116"/>
      <c r="H1642" s="116"/>
      <c r="I1642" s="95"/>
    </row>
    <row r="1643" spans="1:9" ht="12.75" hidden="1" customHeight="1" x14ac:dyDescent="0.3">
      <c r="A1643" s="872" t="s">
        <v>110</v>
      </c>
      <c r="B1643" s="869"/>
      <c r="C1643" s="869"/>
      <c r="D1643" s="869"/>
      <c r="E1643" s="869"/>
      <c r="F1643" s="869"/>
      <c r="G1643" s="869"/>
      <c r="H1643" s="869"/>
      <c r="I1643" s="873"/>
    </row>
    <row r="1644" spans="1:9" ht="12.75" hidden="1" customHeight="1" x14ac:dyDescent="0.3">
      <c r="A1644" s="870"/>
      <c r="B1644" s="691"/>
      <c r="C1644" s="691"/>
      <c r="D1644" s="691"/>
      <c r="E1644" s="691"/>
      <c r="F1644" s="691"/>
      <c r="G1644" s="691"/>
      <c r="H1644" s="691"/>
      <c r="I1644" s="871"/>
    </row>
    <row r="1645" spans="1:9" ht="12.75" hidden="1" customHeight="1" x14ac:dyDescent="0.3">
      <c r="A1645" s="872"/>
      <c r="B1645" s="869"/>
      <c r="C1645" s="869"/>
      <c r="D1645" s="869"/>
      <c r="E1645" s="869"/>
      <c r="F1645" s="869"/>
      <c r="G1645" s="869"/>
      <c r="H1645" s="869"/>
      <c r="I1645" s="873"/>
    </row>
    <row r="1646" spans="1:9" ht="21" hidden="1" customHeight="1" x14ac:dyDescent="0.3"/>
    <row r="1647" spans="1:9" ht="12.75" hidden="1" customHeight="1" x14ac:dyDescent="0.3">
      <c r="A1647" s="881" t="s">
        <v>68</v>
      </c>
      <c r="B1647" s="604"/>
      <c r="C1647" s="604"/>
      <c r="D1647" s="604"/>
      <c r="E1647" s="604"/>
      <c r="F1647" s="604"/>
      <c r="G1647" s="604"/>
      <c r="H1647" s="604"/>
      <c r="I1647" s="894"/>
    </row>
    <row r="1648" spans="1:9" ht="12.75" hidden="1" customHeight="1" x14ac:dyDescent="0.3">
      <c r="A1648" s="94" t="s">
        <v>69</v>
      </c>
      <c r="B1648" s="112" t="s">
        <v>458</v>
      </c>
      <c r="C1648" s="604" t="s">
        <v>70</v>
      </c>
      <c r="D1648" s="874" t="str">
        <f>VLOOKUP(B1648,[6]PRESUPUESTO!$A$18:$I$90,3,FALSE)</f>
        <v>ESPECIES Y JARDINERIA ZONA VERDE TIPO III</v>
      </c>
      <c r="E1648" s="874"/>
      <c r="F1648" s="874"/>
      <c r="G1648" s="874"/>
      <c r="H1648" s="874"/>
      <c r="I1648" s="877"/>
    </row>
    <row r="1649" spans="1:9" ht="12.75" hidden="1" customHeight="1" x14ac:dyDescent="0.3">
      <c r="A1649" s="94" t="s">
        <v>71</v>
      </c>
      <c r="B1649" s="112" t="str">
        <f>VLOOKUP(B1648,[6]PRESUPUESTO!$A$18:$I$90,2,FALSE)</f>
        <v>820-13G</v>
      </c>
      <c r="C1649" s="604"/>
      <c r="D1649" s="140" t="s">
        <v>12</v>
      </c>
      <c r="E1649" s="113" t="s">
        <v>12</v>
      </c>
      <c r="F1649" s="113" t="s">
        <v>13</v>
      </c>
      <c r="G1649" s="113" t="e">
        <f>VLOOKUP(B1649,[6]PRESUPUESTO!$B$15:$I$1222,5,FALSE)</f>
        <v>#N/A</v>
      </c>
      <c r="H1649" s="114" t="s">
        <v>27</v>
      </c>
      <c r="I1649" s="46">
        <f>+I1679</f>
        <v>709836</v>
      </c>
    </row>
    <row r="1650" spans="1:9" ht="12.75" hidden="1" customHeight="1" x14ac:dyDescent="0.3">
      <c r="A1650" s="47" t="s">
        <v>14</v>
      </c>
      <c r="B1650" s="3"/>
      <c r="C1650" s="115"/>
      <c r="D1650" s="115"/>
      <c r="E1650" s="115"/>
      <c r="F1650" s="115"/>
      <c r="G1650" s="115"/>
      <c r="H1650" s="115"/>
      <c r="I1650" s="48"/>
    </row>
    <row r="1651" spans="1:9" ht="12.75" hidden="1" customHeight="1" x14ac:dyDescent="0.3">
      <c r="A1651" s="879" t="s">
        <v>19</v>
      </c>
      <c r="B1651" s="868"/>
      <c r="C1651" s="868"/>
      <c r="D1651" s="868"/>
      <c r="E1651" s="868"/>
      <c r="F1651" s="116" t="s">
        <v>28</v>
      </c>
      <c r="G1651" s="116" t="s">
        <v>29</v>
      </c>
      <c r="H1651" s="116" t="s">
        <v>30</v>
      </c>
      <c r="I1651" s="50"/>
    </row>
    <row r="1652" spans="1:9" ht="12.75" hidden="1" customHeight="1" x14ac:dyDescent="0.3">
      <c r="A1652" s="92" t="s">
        <v>1</v>
      </c>
      <c r="B1652" s="117" t="s">
        <v>90</v>
      </c>
      <c r="C1652" s="878"/>
      <c r="D1652" s="878"/>
      <c r="E1652" s="878"/>
      <c r="F1652" s="123"/>
      <c r="G1652" s="115"/>
      <c r="H1652" s="118"/>
      <c r="I1652" s="50"/>
    </row>
    <row r="1653" spans="1:9" ht="12.75" hidden="1" customHeight="1" x14ac:dyDescent="0.3">
      <c r="A1653" s="92" t="s">
        <v>1</v>
      </c>
      <c r="B1653" s="117" t="s">
        <v>86</v>
      </c>
      <c r="C1653" s="878"/>
      <c r="D1653" s="878"/>
      <c r="E1653" s="878"/>
      <c r="F1653" s="123"/>
      <c r="G1653" s="115"/>
      <c r="H1653" s="118"/>
      <c r="I1653" s="50"/>
    </row>
    <row r="1654" spans="1:9" ht="12.75" hidden="1" customHeight="1" x14ac:dyDescent="0.3">
      <c r="A1654" s="92" t="s">
        <v>1</v>
      </c>
      <c r="B1654" s="117" t="s">
        <v>98</v>
      </c>
      <c r="C1654" s="878"/>
      <c r="D1654" s="878"/>
      <c r="E1654" s="878"/>
      <c r="F1654" s="123"/>
      <c r="G1654" s="115"/>
      <c r="H1654" s="118"/>
      <c r="I1654" s="50"/>
    </row>
    <row r="1655" spans="1:9" ht="12.75" hidden="1" customHeight="1" x14ac:dyDescent="0.3">
      <c r="A1655" s="49"/>
      <c r="B1655" s="115"/>
      <c r="C1655" s="115"/>
      <c r="D1655" s="115"/>
      <c r="E1655" s="115"/>
      <c r="F1655" s="120" t="s">
        <v>32</v>
      </c>
      <c r="G1655" s="121" t="str">
        <f>+B1648</f>
        <v>5.11</v>
      </c>
      <c r="H1655" s="121" t="s">
        <v>369</v>
      </c>
      <c r="I1655" s="48">
        <f>SUM(H1652:H1654)</f>
        <v>0</v>
      </c>
    </row>
    <row r="1656" spans="1:9" ht="12.75" hidden="1" customHeight="1" x14ac:dyDescent="0.3">
      <c r="A1656" s="47" t="s">
        <v>34</v>
      </c>
      <c r="B1656" s="3"/>
      <c r="C1656" s="115"/>
      <c r="D1656" s="115"/>
      <c r="E1656" s="115"/>
      <c r="F1656" s="115"/>
      <c r="G1656" s="115"/>
      <c r="H1656" s="115"/>
      <c r="I1656" s="50"/>
    </row>
    <row r="1657" spans="1:9" ht="12.75" hidden="1" customHeight="1" x14ac:dyDescent="0.3">
      <c r="A1657" s="879" t="s">
        <v>35</v>
      </c>
      <c r="B1657" s="868"/>
      <c r="C1657" s="868"/>
      <c r="D1657" s="868"/>
      <c r="E1657" s="116" t="s">
        <v>12</v>
      </c>
      <c r="F1657" s="116" t="s">
        <v>36</v>
      </c>
      <c r="G1657" s="116" t="s">
        <v>37</v>
      </c>
      <c r="H1657" s="116" t="s">
        <v>38</v>
      </c>
      <c r="I1657" s="50"/>
    </row>
    <row r="1658" spans="1:9" ht="12.75" hidden="1" customHeight="1" x14ac:dyDescent="0.3">
      <c r="A1658" s="92" t="s">
        <v>0</v>
      </c>
      <c r="B1658" s="117" t="s">
        <v>444</v>
      </c>
      <c r="C1658" s="878" t="str">
        <f>IF($A1658="EQUI",VLOOKUP($B1658,[6]EQUI!B$16:G$46,2,FALSE),IF($A1658="TRAN",VLOOKUP($B1658,[6]TRAN!$B$16:$G$26,2,FALSE),IF(A1658="MAT",VLOOKUP($B1658,[6]MAT!$B$16:$G$189,2,FALSE),IF(A1658="MDEO",VLOOKUP($B1658,[6]MDEO!$B$16:$I$21,2,FALSE)))))</f>
        <v>ESPECIE CROTO VICTORIA</v>
      </c>
      <c r="D1658" s="878"/>
      <c r="E1658" s="123" t="str">
        <f>IF($A1658="EQUI",VLOOKUP($B1658,[6]EQUI!A$16:F$46,3,FALSE),IF($A1658="TRAN",VLOOKUP($B1658,[6]TRAN!$B$16:$G$26,3,FALSE),IF($A1658="MAT",VLOOKUP($B1658,[6]MAT!$B$16:$G$189,3,FALSE),IF($A1658="MDEO",VLOOKUP($B1658,[6]MDEO!$B$16:$I$21,3,FALSE)))))</f>
        <v>UN</v>
      </c>
      <c r="F1658" s="123">
        <f>IF($A1658="EQUI",VLOOKUP($B1658,[6]EQUI!B$16:G$46,4,FALSE),IF($A1658="TRAN",VLOOKUP($B1658,[6]TRAN!$B$16:$G$26,4,FALSE),IF($A1658="MAT",VLOOKUP($B1658,[6]MAT!$B$16:$G$189,4,FALSE),IF($A1658="MDEO",VLOOKUP($B1658,[6]MDEO!$B$16:$I$21,4,FALSE)))))</f>
        <v>21600</v>
      </c>
      <c r="G1658" s="115">
        <v>20</v>
      </c>
      <c r="H1658" s="118">
        <f>+F1658*G1658</f>
        <v>432000</v>
      </c>
      <c r="I1658" s="50"/>
    </row>
    <row r="1659" spans="1:9" ht="12.75" hidden="1" customHeight="1" x14ac:dyDescent="0.3">
      <c r="A1659" s="92" t="s">
        <v>0</v>
      </c>
      <c r="B1659" s="117" t="s">
        <v>451</v>
      </c>
      <c r="C1659" s="878" t="str">
        <f>IF($A1659="EQUI",VLOOKUP($B1659,[6]EQUI!B$16:G$46,2,FALSE),IF($A1659="TRAN",VLOOKUP($B1659,[6]TRAN!$B$16:$G$26,2,FALSE),IF(A1659="MAT",VLOOKUP($B1659,[6]MAT!$B$16:$G$189,2,FALSE),IF(A1659="MDEO",VLOOKUP($B1659,[6]MDEO!$B$16:$I$21,2,FALSE)))))</f>
        <v>ESPECIE LENGUA DE SUEGRA</v>
      </c>
      <c r="D1659" s="878"/>
      <c r="E1659" s="123" t="str">
        <f>IF($A1659="EQUI",VLOOKUP($B1659,[6]EQUI!A$16:F$46,3,FALSE),IF($A1659="TRAN",VLOOKUP($B1659,[6]TRAN!$B$16:$G$26,3,FALSE),IF($A1659="MAT",VLOOKUP($B1659,[6]MAT!$B$16:$G$189,3,FALSE),IF($A1659="MDEO",VLOOKUP($B1659,[6]MDEO!$B$16:$I$21,3,FALSE)))))</f>
        <v>UN</v>
      </c>
      <c r="F1659" s="123">
        <f>IF($A1659="EQUI",VLOOKUP($B1659,[6]EQUI!B$16:G$46,4,FALSE),IF($A1659="TRAN",VLOOKUP($B1659,[6]TRAN!$B$16:$G$26,4,FALSE),IF($A1659="MAT",VLOOKUP($B1659,[6]MAT!$B$16:$G$189,4,FALSE),IF($A1659="MDEO",VLOOKUP($B1659,[6]MDEO!$B$16:$I$21,4,FALSE)))))</f>
        <v>18000</v>
      </c>
      <c r="G1659" s="115">
        <v>12</v>
      </c>
      <c r="H1659" s="118">
        <f>+F1659*G1659</f>
        <v>216000</v>
      </c>
      <c r="I1659" s="50"/>
    </row>
    <row r="1660" spans="1:9" ht="12.75" hidden="1" customHeight="1" x14ac:dyDescent="0.3">
      <c r="A1660" s="92" t="s">
        <v>0</v>
      </c>
      <c r="B1660" s="117" t="s">
        <v>151</v>
      </c>
      <c r="C1660" s="878" t="str">
        <f>IF($A1660="EQUI",VLOOKUP($B1660,[6]EQUI!B$16:G$46,2,FALSE),IF($A1660="TRAN",VLOOKUP($B1660,[6]TRAN!$B$16:$G$26,2,FALSE),IF(A1660="MAT",VLOOKUP($B1660,[6]MAT!$B$16:$G$194,2,FALSE),IF(A1660="MDEO",VLOOKUP($B1660,[6]MDEO!$B$16:$I$21,2,FALSE)))))</f>
        <v xml:space="preserve">FERTILIZANTE FÓSFORO </v>
      </c>
      <c r="D1660" s="878"/>
      <c r="E1660" s="123" t="str">
        <f>IF($A1660="EQUI",VLOOKUP($B1660,[6]EQUI!A$16:F$46,3,FALSE),IF($A1660="TRAN",VLOOKUP($B1660,[6]TRAN!$B$16:$G$26,3,FALSE),IF($A1660="MAT",VLOOKUP($B1660,[6]MAT!$B$16:$G$194,3,FALSE),IF($A1660="MDEO",VLOOKUP($B1660,[6]MDEO!$B$16:$I$21,3,FALSE)))))</f>
        <v>BULTO</v>
      </c>
      <c r="F1660" s="123">
        <f>IF($A1660="EQUI",VLOOKUP($B1660,[6]EQUI!B$16:G$46,4,FALSE),IF($A1660="TRAN",VLOOKUP($B1660,[6]TRAN!$B$16:$G$26,4,FALSE),IF($A1660="MAT",VLOOKUP($B1660,[6]MAT!$B$16:$G$194,4,FALSE),IF($A1660="MDEO",VLOOKUP($B1660,[6]MDEO!$B$16:$I$21,4,FALSE)))))</f>
        <v>110000</v>
      </c>
      <c r="G1660" s="115">
        <v>0.02</v>
      </c>
      <c r="H1660" s="118">
        <f>+F1660*G1660</f>
        <v>2200</v>
      </c>
      <c r="I1660" s="50"/>
    </row>
    <row r="1661" spans="1:9" ht="12.75" hidden="1" customHeight="1" x14ac:dyDescent="0.3">
      <c r="A1661" s="92" t="s">
        <v>0</v>
      </c>
      <c r="B1661" s="117" t="s">
        <v>152</v>
      </c>
      <c r="C1661" s="878" t="str">
        <f>IF($A1661="EQUI",VLOOKUP($B1661,[6]EQUI!B$16:G$46,2,FALSE),IF($A1661="TRAN",VLOOKUP($B1661,[6]TRAN!$B$16:$G$26,2,FALSE),IF(A1661="MAT",VLOOKUP($B1661,[6]MAT!$B$16:$G$194,2,FALSE),IF(A1661="MDEO",VLOOKUP($B1661,[6]MDEO!$B$16:$I$21,2,FALSE)))))</f>
        <v>FERTILIZANTE Urea</v>
      </c>
      <c r="D1661" s="878"/>
      <c r="E1661" s="123" t="str">
        <f>IF($A1661="EQUI",VLOOKUP($B1661,[6]EQUI!A$16:F$46,3,FALSE),IF($A1661="TRAN",VLOOKUP($B1661,[6]TRAN!$B$16:$G$26,3,FALSE),IF($A1661="MAT",VLOOKUP($B1661,[6]MAT!$B$16:$G$194,3,FALSE),IF($A1661="MDEO",VLOOKUP($B1661,[6]MDEO!$B$16:$I$21,3,FALSE)))))</f>
        <v>BULTO</v>
      </c>
      <c r="F1661" s="123">
        <f>IF($A1661="EQUI",VLOOKUP($B1661,[6]EQUI!B$16:G$46,4,FALSE),IF($A1661="TRAN",VLOOKUP($B1661,[6]TRAN!$B$16:$G$26,4,FALSE),IF($A1661="MAT",VLOOKUP($B1661,[6]MAT!$B$16:$G$194,4,FALSE),IF($A1661="MDEO",VLOOKUP($B1661,[6]MDEO!$B$16:$I$21,4,FALSE)))))</f>
        <v>95000</v>
      </c>
      <c r="G1661" s="115">
        <v>0.1</v>
      </c>
      <c r="H1661" s="118">
        <f>+F1661*G1661</f>
        <v>9500</v>
      </c>
      <c r="I1661" s="50"/>
    </row>
    <row r="1662" spans="1:9" ht="12.75" hidden="1" customHeight="1" x14ac:dyDescent="0.3">
      <c r="A1662" s="92" t="s">
        <v>0</v>
      </c>
      <c r="B1662" s="117" t="s">
        <v>446</v>
      </c>
      <c r="C1662" s="878" t="str">
        <f>IF($A1662="EQUI",VLOOKUP($B1662,[6]EQUI!B$16:G$46,2,FALSE),IF($A1662="TRAN",VLOOKUP($B1662,[6]TRAN!$B$16:$G$26,2,FALSE),IF(A1662="MAT",VLOOKUP($B1662,[6]MAT!$B$16:$G$189,2,FALSE),IF(A1662="MDEO",VLOOKUP($B1662,[6]MDEO!$B$16:$I$21,2,FALSE)))))</f>
        <v>BULTO TIERRA</v>
      </c>
      <c r="D1662" s="878"/>
      <c r="E1662" s="123" t="str">
        <f>IF($A1662="EQUI",VLOOKUP($B1662,[6]EQUI!A$16:F$46,3,FALSE),IF($A1662="TRAN",VLOOKUP($B1662,[6]TRAN!$B$16:$G$26,3,FALSE),IF($A1662="MAT",VLOOKUP($B1662,[6]MAT!$B$16:$G$189,3,FALSE),IF($A1662="MDEO",VLOOKUP($B1662,[6]MDEO!$B$16:$I$21,3,FALSE)))))</f>
        <v>BULTO</v>
      </c>
      <c r="F1662" s="123">
        <f>IF($A1662="EQUI",VLOOKUP($B1662,[6]EQUI!B$16:G$46,4,FALSE),IF($A1662="TRAN",VLOOKUP($B1662,[6]TRAN!$B$16:$G$26,4,FALSE),IF($A1662="MAT",VLOOKUP($B1662,[6]MAT!$B$16:$G$189,4,FALSE),IF($A1662="MDEO",VLOOKUP($B1662,[6]MDEO!$B$16:$I$21,4,FALSE)))))</f>
        <v>15000</v>
      </c>
      <c r="G1662" s="115">
        <v>0.3</v>
      </c>
      <c r="H1662" s="118">
        <f>+F1662*G1662</f>
        <v>4500</v>
      </c>
      <c r="I1662" s="50"/>
    </row>
    <row r="1663" spans="1:9" ht="12.75" hidden="1" customHeight="1" x14ac:dyDescent="0.3">
      <c r="A1663" s="49"/>
      <c r="B1663" s="115"/>
      <c r="C1663" s="115"/>
      <c r="D1663" s="115"/>
      <c r="E1663" s="115"/>
      <c r="F1663" s="120" t="s">
        <v>32</v>
      </c>
      <c r="G1663" s="121" t="str">
        <f>+B1648</f>
        <v>5.11</v>
      </c>
      <c r="H1663" s="121" t="s">
        <v>372</v>
      </c>
      <c r="I1663" s="48">
        <f>SUM(H1658:H1662)</f>
        <v>664200</v>
      </c>
    </row>
    <row r="1664" spans="1:9" ht="12.75" hidden="1" customHeight="1" x14ac:dyDescent="0.3">
      <c r="A1664" s="47" t="s">
        <v>15</v>
      </c>
      <c r="B1664" s="3"/>
      <c r="C1664" s="115"/>
      <c r="D1664" s="115"/>
      <c r="E1664" s="115"/>
      <c r="F1664" s="115"/>
      <c r="G1664" s="115"/>
      <c r="H1664" s="115"/>
      <c r="I1664" s="50"/>
    </row>
    <row r="1665" spans="1:9" ht="12.75" hidden="1" customHeight="1" x14ac:dyDescent="0.3">
      <c r="A1665" s="879" t="s">
        <v>19</v>
      </c>
      <c r="B1665" s="868"/>
      <c r="C1665" s="868"/>
      <c r="D1665" s="116" t="s">
        <v>43</v>
      </c>
      <c r="E1665" s="116" t="s">
        <v>44</v>
      </c>
      <c r="F1665" s="123" t="s">
        <v>45</v>
      </c>
      <c r="G1665" s="116" t="s">
        <v>17</v>
      </c>
      <c r="H1665" s="116" t="s">
        <v>30</v>
      </c>
      <c r="I1665" s="50"/>
    </row>
    <row r="1666" spans="1:9" ht="12.75" hidden="1" customHeight="1" x14ac:dyDescent="0.3">
      <c r="A1666" s="51"/>
      <c r="B1666" s="117"/>
      <c r="C1666" s="133"/>
      <c r="D1666" s="123"/>
      <c r="E1666" s="123"/>
      <c r="F1666" s="123"/>
      <c r="G1666" s="116"/>
      <c r="H1666" s="118"/>
      <c r="I1666" s="50"/>
    </row>
    <row r="1667" spans="1:9" ht="12.75" hidden="1" customHeight="1" x14ac:dyDescent="0.3">
      <c r="A1667" s="51"/>
      <c r="B1667" s="117"/>
      <c r="C1667" s="133"/>
      <c r="D1667" s="123"/>
      <c r="E1667" s="123"/>
      <c r="F1667" s="123"/>
      <c r="G1667" s="116"/>
      <c r="H1667" s="118"/>
      <c r="I1667" s="50"/>
    </row>
    <row r="1668" spans="1:9" ht="12.75" hidden="1" customHeight="1" x14ac:dyDescent="0.3">
      <c r="A1668" s="49"/>
      <c r="B1668" s="115"/>
      <c r="C1668" s="115"/>
      <c r="D1668" s="115"/>
      <c r="E1668" s="115"/>
      <c r="F1668" s="120" t="s">
        <v>32</v>
      </c>
      <c r="G1668" s="121" t="str">
        <f>+B1648</f>
        <v>5.11</v>
      </c>
      <c r="H1668" s="121" t="s">
        <v>375</v>
      </c>
      <c r="I1668" s="48">
        <f>SUM(H1666:H1667)</f>
        <v>0</v>
      </c>
    </row>
    <row r="1669" spans="1:9" ht="12.75" hidden="1" customHeight="1" x14ac:dyDescent="0.3">
      <c r="A1669" s="47"/>
      <c r="B1669" s="3"/>
      <c r="C1669" s="115"/>
      <c r="D1669" s="115"/>
      <c r="E1669" s="115"/>
      <c r="F1669" s="115"/>
      <c r="G1669" s="115"/>
      <c r="H1669" s="115"/>
      <c r="I1669" s="50"/>
    </row>
    <row r="1670" spans="1:9" ht="12.75" hidden="1" customHeight="1" x14ac:dyDescent="0.3">
      <c r="A1670" s="882" t="s">
        <v>18</v>
      </c>
      <c r="B1670" s="883"/>
      <c r="C1670" s="883"/>
      <c r="D1670" s="140" t="s">
        <v>48</v>
      </c>
      <c r="E1670" s="140" t="s">
        <v>109</v>
      </c>
      <c r="F1670" s="141" t="s">
        <v>250</v>
      </c>
      <c r="G1670" s="142" t="s">
        <v>251</v>
      </c>
      <c r="H1670" s="140" t="s">
        <v>252</v>
      </c>
      <c r="I1670" s="52"/>
    </row>
    <row r="1671" spans="1:9" ht="12.75" hidden="1" customHeight="1" x14ac:dyDescent="0.3">
      <c r="A1671" s="51" t="s">
        <v>4</v>
      </c>
      <c r="B1671" s="131" t="s">
        <v>175</v>
      </c>
      <c r="C1671" s="126" t="str">
        <f>IF($A1671="EQUI",VLOOKUP($B1671,[6]EQUI!B$16:G$46,2,FALSE),IF($A1671="TRAN",VLOOKUP($B1671,[6]TRAN!$B$16:$G$26,2,FALSE),IF($A1671="MAT",VLOOKUP($B1671,[6]MAT!$B$16:$G$83,2,FALSE),IF($A1671="MDEO",VLOOKUP($B1671,[6]MDEO!$B$16:$I$21,2,FALSE)))))</f>
        <v>OFICIAL</v>
      </c>
      <c r="D1671" s="31">
        <f>IF($A1671="EQUI",VLOOKUP($B1671,[6]EQUI!B$16:G$46,3,FALSE),IF($A1671="TRAN",VLOOKUP($B1671,[6]TRAN!$B$16:$G$26,3,FALSE),IF($A1671="MAT",VLOOKUP($B1671,[6]MAT!$B$16:$G$83,3,FALSE),IF($A1671="MDEO",VLOOKUP($B1671,[6]MDEO!$B$16:$I$21,3,FALSE)))))</f>
        <v>9301.6465000000026</v>
      </c>
      <c r="E1671" s="127">
        <f>IF($A1671="EQUI",VLOOKUP($B1671,[6]EQUI!B$16:G$46,4,FALSE),IF($A1671="TRAN",VLOOKUP($B1671,[6]TRAN!$B$16:$G$26,4,FALSE),IF($A1671="MAT",VLOOKUP($B1671,[6]MAT!$B$16:$G$83,4,FALSE),IF($A1671="MDEO",VLOOKUP($B1671,[6]MDEO!$B$16:$I$21,5,FALSE)))))</f>
        <v>0.56000000000000005</v>
      </c>
      <c r="F1671" s="32">
        <f>+D1671+D1671*E1671</f>
        <v>14510.568540000004</v>
      </c>
      <c r="G1671" s="130">
        <v>0.9</v>
      </c>
      <c r="H1671" s="128">
        <f>G1671*F1671</f>
        <v>13059.511686000003</v>
      </c>
      <c r="I1671" s="50"/>
    </row>
    <row r="1672" spans="1:9" ht="12.75" hidden="1" customHeight="1" x14ac:dyDescent="0.3">
      <c r="A1672" s="51" t="s">
        <v>4</v>
      </c>
      <c r="B1672" s="131" t="s">
        <v>176</v>
      </c>
      <c r="C1672" s="126" t="str">
        <f>IF($A1672="EQUI",VLOOKUP($B1672,[6]EQUI!B$16:G$46,2,FALSE),IF($A1672="TRAN",VLOOKUP($B1672,[6]TRAN!$B$16:$G$26,2,FALSE),IF($A1672="MAT",VLOOKUP($B1672,[6]MAT!$B$16:$G$83,2,FALSE),IF($A1672="MDEO",VLOOKUP($B1672,[6]MDEO!$B$16:$I$21,2,FALSE)))))</f>
        <v>AYUDANTE ENTENDIDO</v>
      </c>
      <c r="D1672" s="31">
        <f>IF($A1672="EQUI",VLOOKUP($B1672,[6]EQUI!B$16:G$46,3,FALSE),IF($A1672="TRAN",VLOOKUP($B1672,[6]TRAN!$B$16:$G$26,3,FALSE),IF($A1672="MAT",VLOOKUP($B1672,[6]MAT!$B$16:$G$83,3,FALSE),IF($A1672="MDEO",VLOOKUP($B1672,[6]MDEO!$B$16:$I$21,3,FALSE)))))</f>
        <v>8051.6465000000007</v>
      </c>
      <c r="E1672" s="127">
        <f>IF($A1672="EQUI",VLOOKUP($B1672,[6]EQUI!B$16:G$46,4,FALSE),IF($A1672="TRAN",VLOOKUP($B1672,[6]TRAN!$B$16:$G$26,4,FALSE),IF($A1672="MAT",VLOOKUP($B1672,[6]MAT!$B$16:$G$83,4,FALSE),IF($A1672="MDEO",VLOOKUP($B1672,[6]MDEO!$B$16:$I$21,5,FALSE)))))</f>
        <v>0.56000000000000005</v>
      </c>
      <c r="F1672" s="32">
        <f>+D1672+D1672*E1672</f>
        <v>12560.568540000002</v>
      </c>
      <c r="G1672" s="130">
        <v>0.9</v>
      </c>
      <c r="H1672" s="128">
        <f>G1672*F1672</f>
        <v>11304.511686000002</v>
      </c>
      <c r="I1672" s="50"/>
    </row>
    <row r="1673" spans="1:9" ht="12.75" hidden="1" customHeight="1" x14ac:dyDescent="0.3">
      <c r="A1673" s="51" t="s">
        <v>4</v>
      </c>
      <c r="B1673" s="131" t="s">
        <v>177</v>
      </c>
      <c r="C1673" s="126" t="str">
        <f>IF($A1673="EQUI",VLOOKUP($B1673,[6]EQUI!B$16:G$46,2,FALSE),IF($A1673="TRAN",VLOOKUP($B1673,[6]TRAN!$B$16:$G$26,2,FALSE),IF($A1673="MAT",VLOOKUP($B1673,[6]MAT!$B$16:$G$83,2,FALSE),IF($A1673="MDEO",VLOOKUP($B1673,[6]MDEO!$B$16:$I$21,2,FALSE)))))</f>
        <v>AYUDANTE</v>
      </c>
      <c r="D1673" s="31">
        <f>IF($A1673="EQUI",VLOOKUP($B1673,[6]EQUI!B$16:G$46,3,FALSE),IF($A1673="TRAN",VLOOKUP($B1673,[6]TRAN!$B$16:$G$26,3,FALSE),IF($A1673="MAT",VLOOKUP($B1673,[6]MAT!$B$16:$G$83,3,FALSE),IF($A1673="MDEO",VLOOKUP($B1673,[6]MDEO!$B$16:$I$21,3,FALSE)))))</f>
        <v>6801.6465000000007</v>
      </c>
      <c r="E1673" s="127">
        <f>IF($A1673="EQUI",VLOOKUP($B1673,[6]EQUI!B$16:G$46,4,FALSE),IF($A1673="TRAN",VLOOKUP($B1673,[6]TRAN!$B$16:$G$26,4,FALSE),IF($A1673="MAT",VLOOKUP($B1673,[6]MAT!$B$16:$G$83,4,FALSE),IF($A1673="MDEO",VLOOKUP($B1673,[6]MDEO!$B$16:$I$21,5,FALSE)))))</f>
        <v>0.56000000000000005</v>
      </c>
      <c r="F1673" s="32">
        <f>+D1673+D1673*E1673</f>
        <v>10610.568540000002</v>
      </c>
      <c r="G1673" s="130">
        <v>1.8</v>
      </c>
      <c r="H1673" s="128">
        <f>G1673*F1673</f>
        <v>19099.023372000003</v>
      </c>
      <c r="I1673" s="50"/>
    </row>
    <row r="1674" spans="1:9" ht="12.75" hidden="1" customHeight="1" x14ac:dyDescent="0.3">
      <c r="A1674" s="51"/>
      <c r="B1674" s="131"/>
      <c r="C1674" s="126"/>
      <c r="D1674" s="31"/>
      <c r="E1674" s="127"/>
      <c r="F1674" s="32"/>
      <c r="G1674" s="130"/>
      <c r="H1674" s="128"/>
      <c r="I1674" s="50"/>
    </row>
    <row r="1675" spans="1:9" ht="12.75" hidden="1" customHeight="1" x14ac:dyDescent="0.3">
      <c r="A1675" s="51"/>
      <c r="B1675" s="131"/>
      <c r="C1675" s="126"/>
      <c r="D1675" s="31"/>
      <c r="E1675" s="127"/>
      <c r="F1675" s="32"/>
      <c r="G1675" s="130"/>
      <c r="H1675" s="128"/>
      <c r="I1675" s="50"/>
    </row>
    <row r="1676" spans="1:9" ht="12.75" hidden="1" customHeight="1" x14ac:dyDescent="0.3">
      <c r="A1676" s="879"/>
      <c r="B1676" s="868"/>
      <c r="C1676" s="115"/>
      <c r="D1676" s="115"/>
      <c r="E1676" s="115"/>
      <c r="F1676" s="115"/>
      <c r="G1676" s="115"/>
      <c r="H1676" s="115"/>
      <c r="I1676" s="50"/>
    </row>
    <row r="1677" spans="1:9" ht="12.75" hidden="1" customHeight="1" x14ac:dyDescent="0.3">
      <c r="A1677" s="49"/>
      <c r="B1677" s="115"/>
      <c r="C1677" s="115"/>
      <c r="D1677" s="115"/>
      <c r="E1677" s="115"/>
      <c r="F1677" s="120" t="s">
        <v>32</v>
      </c>
      <c r="G1677" s="121" t="str">
        <f>+B1648</f>
        <v>5.11</v>
      </c>
      <c r="H1677" s="120" t="s">
        <v>378</v>
      </c>
      <c r="I1677" s="48">
        <f>SUM(H1671:H1676)</f>
        <v>43463.046744000007</v>
      </c>
    </row>
    <row r="1678" spans="1:9" ht="12.75" hidden="1" customHeight="1" x14ac:dyDescent="0.3">
      <c r="A1678" s="49" t="s">
        <v>54</v>
      </c>
      <c r="B1678" s="115"/>
      <c r="C1678" s="115"/>
      <c r="D1678" s="115"/>
      <c r="E1678" s="115"/>
      <c r="F1678" s="115"/>
      <c r="G1678" s="115"/>
      <c r="H1678" s="116"/>
      <c r="I1678" s="48">
        <f>I1677*0.05</f>
        <v>2173.1523372000006</v>
      </c>
    </row>
    <row r="1679" spans="1:9" ht="12.75" hidden="1" customHeight="1" x14ac:dyDescent="0.3">
      <c r="A1679" s="49"/>
      <c r="B1679" s="115"/>
      <c r="C1679" s="115"/>
      <c r="D1679" s="115"/>
      <c r="E1679" s="115"/>
      <c r="F1679" s="120" t="s">
        <v>55</v>
      </c>
      <c r="G1679" s="116"/>
      <c r="H1679" s="116"/>
      <c r="I1679" s="48">
        <f>ROUND(I1677+I1678+I1663+I1655+I1668,0)</f>
        <v>709836</v>
      </c>
    </row>
    <row r="1680" spans="1:9" ht="12.75" hidden="1" customHeight="1" x14ac:dyDescent="0.3">
      <c r="A1680" s="879" t="s">
        <v>56</v>
      </c>
      <c r="B1680" s="868"/>
      <c r="C1680" s="868"/>
      <c r="D1680" s="868"/>
      <c r="E1680" s="868" t="s">
        <v>57</v>
      </c>
      <c r="F1680" s="868"/>
      <c r="G1680" s="875" t="s">
        <v>58</v>
      </c>
      <c r="H1680" s="875"/>
      <c r="I1680" s="48"/>
    </row>
    <row r="1681" spans="1:9" ht="12.75" hidden="1" customHeight="1" x14ac:dyDescent="0.3">
      <c r="A1681" s="879" t="s">
        <v>208</v>
      </c>
      <c r="B1681" s="868"/>
      <c r="C1681" s="868"/>
      <c r="D1681" s="868"/>
      <c r="E1681" s="876">
        <v>0.02</v>
      </c>
      <c r="F1681" s="876"/>
      <c r="G1681" s="875">
        <f>+I1679*E1681</f>
        <v>14196.720000000001</v>
      </c>
      <c r="H1681" s="875"/>
      <c r="I1681" s="48"/>
    </row>
    <row r="1682" spans="1:9" ht="12.75" hidden="1" customHeight="1" x14ac:dyDescent="0.3">
      <c r="A1682" s="879" t="s">
        <v>5</v>
      </c>
      <c r="B1682" s="868"/>
      <c r="C1682" s="868"/>
      <c r="D1682" s="868"/>
      <c r="E1682" s="876">
        <v>0.23</v>
      </c>
      <c r="F1682" s="876"/>
      <c r="G1682" s="875">
        <f>+E1682*I1679</f>
        <v>163262.28</v>
      </c>
      <c r="H1682" s="875"/>
      <c r="I1682" s="48"/>
    </row>
    <row r="1683" spans="1:9" ht="12.75" hidden="1" customHeight="1" x14ac:dyDescent="0.3">
      <c r="A1683" s="879" t="s">
        <v>6</v>
      </c>
      <c r="B1683" s="868"/>
      <c r="C1683" s="868"/>
      <c r="D1683" s="868"/>
      <c r="E1683" s="876">
        <v>0.05</v>
      </c>
      <c r="F1683" s="876"/>
      <c r="G1683" s="875">
        <f>+E1683*I1679</f>
        <v>35491.800000000003</v>
      </c>
      <c r="H1683" s="875"/>
      <c r="I1683" s="48"/>
    </row>
    <row r="1684" spans="1:9" ht="12.75" hidden="1" customHeight="1" x14ac:dyDescent="0.3">
      <c r="A1684" s="879" t="s">
        <v>207</v>
      </c>
      <c r="B1684" s="868"/>
      <c r="C1684" s="868"/>
      <c r="D1684" s="868"/>
      <c r="E1684" s="876">
        <v>0.02</v>
      </c>
      <c r="F1684" s="876"/>
      <c r="G1684" s="875">
        <f>+E1684*I1679</f>
        <v>14196.720000000001</v>
      </c>
      <c r="H1684" s="875"/>
      <c r="I1684" s="48"/>
    </row>
    <row r="1685" spans="1:9" ht="12.75" hidden="1" customHeight="1" x14ac:dyDescent="0.3">
      <c r="A1685" s="880" t="s">
        <v>397</v>
      </c>
      <c r="B1685" s="867"/>
      <c r="C1685" s="867"/>
      <c r="D1685" s="867"/>
      <c r="E1685" s="867"/>
      <c r="F1685" s="867"/>
      <c r="G1685" s="867"/>
      <c r="H1685" s="867"/>
      <c r="I1685" s="48">
        <f>+G1684+G1682+G1683+G1681</f>
        <v>227147.51999999999</v>
      </c>
    </row>
    <row r="1686" spans="1:9" ht="12.75" hidden="1" customHeight="1" x14ac:dyDescent="0.3">
      <c r="A1686" s="880" t="s">
        <v>59</v>
      </c>
      <c r="B1686" s="867"/>
      <c r="C1686" s="867"/>
      <c r="D1686" s="867"/>
      <c r="E1686" s="867"/>
      <c r="F1686" s="867"/>
      <c r="G1686" s="867"/>
      <c r="H1686" s="867"/>
      <c r="I1686" s="48">
        <f>+I1685+I1679</f>
        <v>936983.52</v>
      </c>
    </row>
    <row r="1687" spans="1:9" ht="12.75" hidden="1" customHeight="1" x14ac:dyDescent="0.3">
      <c r="A1687" s="93"/>
      <c r="B1687" s="65"/>
      <c r="C1687" s="65"/>
      <c r="D1687" s="65"/>
      <c r="E1687" s="65"/>
      <c r="F1687" s="65"/>
      <c r="G1687" s="65"/>
      <c r="H1687" s="65"/>
      <c r="I1687" s="48"/>
    </row>
    <row r="1688" spans="1:9" ht="12.75" hidden="1" customHeight="1" x14ac:dyDescent="0.3">
      <c r="A1688" s="881" t="s">
        <v>114</v>
      </c>
      <c r="B1688" s="604"/>
      <c r="C1688" s="604"/>
      <c r="D1688" s="65"/>
      <c r="E1688" s="65"/>
      <c r="F1688" s="604" t="s">
        <v>396</v>
      </c>
      <c r="G1688" s="604"/>
      <c r="H1688" s="604"/>
      <c r="I1688" s="894"/>
    </row>
    <row r="1689" spans="1:9" ht="12.75" hidden="1" customHeight="1" x14ac:dyDescent="0.3">
      <c r="A1689" s="92" t="s">
        <v>111</v>
      </c>
      <c r="B1689" s="868"/>
      <c r="C1689" s="868"/>
      <c r="D1689" s="115"/>
      <c r="E1689" s="115"/>
      <c r="F1689" s="116" t="s">
        <v>111</v>
      </c>
      <c r="G1689" s="868"/>
      <c r="H1689" s="868"/>
      <c r="I1689" s="884"/>
    </row>
    <row r="1690" spans="1:9" ht="12.75" hidden="1" customHeight="1" x14ac:dyDescent="0.3">
      <c r="A1690" s="132" t="s">
        <v>115</v>
      </c>
      <c r="B1690" s="868" t="str">
        <f>VLOOKUP(A1690,[6]INICIO!$E$6:$H$26,2,FALSE)</f>
        <v>LINA MARCELA</v>
      </c>
      <c r="C1690" s="868"/>
      <c r="F1690" s="86" t="s">
        <v>112</v>
      </c>
      <c r="G1690" s="868"/>
      <c r="H1690" s="868"/>
      <c r="I1690" s="884"/>
    </row>
    <row r="1691" spans="1:9" ht="12.75" hidden="1" customHeight="1" x14ac:dyDescent="0.3">
      <c r="A1691" s="132" t="s">
        <v>113</v>
      </c>
      <c r="B1691" s="868" t="str">
        <f>VLOOKUP(A1690,[6]INICIO!$E$6:$H$26,4,FALSE)</f>
        <v>05202-316814 ANT</v>
      </c>
      <c r="C1691" s="868"/>
      <c r="F1691" s="86" t="s">
        <v>113</v>
      </c>
      <c r="G1691" s="868"/>
      <c r="H1691" s="868"/>
      <c r="I1691" s="884"/>
    </row>
    <row r="1692" spans="1:9" ht="12.75" hidden="1" customHeight="1" x14ac:dyDescent="0.3">
      <c r="A1692" s="132"/>
      <c r="B1692" s="116"/>
      <c r="C1692" s="116"/>
      <c r="F1692" s="86"/>
      <c r="G1692" s="116"/>
      <c r="H1692" s="116"/>
      <c r="I1692" s="95"/>
    </row>
    <row r="1693" spans="1:9" ht="12.75" hidden="1" customHeight="1" x14ac:dyDescent="0.3">
      <c r="A1693" s="872" t="s">
        <v>110</v>
      </c>
      <c r="B1693" s="869"/>
      <c r="C1693" s="869"/>
      <c r="D1693" s="869"/>
      <c r="E1693" s="869"/>
      <c r="F1693" s="869"/>
      <c r="G1693" s="869"/>
      <c r="H1693" s="869"/>
      <c r="I1693" s="873"/>
    </row>
    <row r="1694" spans="1:9" ht="12.75" hidden="1" customHeight="1" x14ac:dyDescent="0.3">
      <c r="A1694" s="870"/>
      <c r="B1694" s="691"/>
      <c r="C1694" s="691"/>
      <c r="D1694" s="691"/>
      <c r="E1694" s="691"/>
      <c r="F1694" s="691"/>
      <c r="G1694" s="691"/>
      <c r="H1694" s="691"/>
      <c r="I1694" s="871"/>
    </row>
    <row r="1695" spans="1:9" ht="12.75" hidden="1" customHeight="1" x14ac:dyDescent="0.3">
      <c r="A1695" s="872"/>
      <c r="B1695" s="869"/>
      <c r="C1695" s="869"/>
      <c r="D1695" s="869"/>
      <c r="E1695" s="869"/>
      <c r="F1695" s="869"/>
      <c r="G1695" s="869"/>
      <c r="H1695" s="869"/>
      <c r="I1695" s="873"/>
    </row>
  </sheetData>
  <mergeCells count="1509">
    <mergeCell ref="B1690:C1690"/>
    <mergeCell ref="G1690:I1690"/>
    <mergeCell ref="B1691:C1691"/>
    <mergeCell ref="G1691:I1691"/>
    <mergeCell ref="A1693:I1693"/>
    <mergeCell ref="A1694:I1695"/>
    <mergeCell ref="F1638:I1638"/>
    <mergeCell ref="B1639:C1639"/>
    <mergeCell ref="G1639:I1639"/>
    <mergeCell ref="B1640:C1640"/>
    <mergeCell ref="G1640:I1640"/>
    <mergeCell ref="B1641:C1641"/>
    <mergeCell ref="G1641:I1641"/>
    <mergeCell ref="A1643:I1643"/>
    <mergeCell ref="A1644:I1645"/>
    <mergeCell ref="A1647:I1647"/>
    <mergeCell ref="C1648:C1649"/>
    <mergeCell ref="D1648:I1648"/>
    <mergeCell ref="A1651:E1651"/>
    <mergeCell ref="C1652:E1652"/>
    <mergeCell ref="C1653:E1653"/>
    <mergeCell ref="C1654:E1654"/>
    <mergeCell ref="A1657:D1657"/>
    <mergeCell ref="A1680:D1680"/>
    <mergeCell ref="A1683:D1683"/>
    <mergeCell ref="E1683:F1683"/>
    <mergeCell ref="G1683:H1683"/>
    <mergeCell ref="A1684:D1684"/>
    <mergeCell ref="B1589:C1589"/>
    <mergeCell ref="G1589:I1589"/>
    <mergeCell ref="A1591:I1591"/>
    <mergeCell ref="A1592:I1593"/>
    <mergeCell ref="A1595:I1595"/>
    <mergeCell ref="C1596:C1597"/>
    <mergeCell ref="D1596:I1596"/>
    <mergeCell ref="A1599:E1599"/>
    <mergeCell ref="C1600:E1600"/>
    <mergeCell ref="E1684:F1684"/>
    <mergeCell ref="G1684:H1684"/>
    <mergeCell ref="A1685:H1685"/>
    <mergeCell ref="A1686:H1686"/>
    <mergeCell ref="A1688:C1688"/>
    <mergeCell ref="F1688:I1688"/>
    <mergeCell ref="B1689:C1689"/>
    <mergeCell ref="G1689:I1689"/>
    <mergeCell ref="C1601:E1601"/>
    <mergeCell ref="C1602:E1602"/>
    <mergeCell ref="A1605:D1605"/>
    <mergeCell ref="C1606:D1606"/>
    <mergeCell ref="C1662:D1662"/>
    <mergeCell ref="A1665:C1665"/>
    <mergeCell ref="A1670:C1670"/>
    <mergeCell ref="A1676:B1676"/>
    <mergeCell ref="C1607:D1607"/>
    <mergeCell ref="C1608:D1608"/>
    <mergeCell ref="C1609:D1609"/>
    <mergeCell ref="C1610:D1610"/>
    <mergeCell ref="C1611:D1611"/>
    <mergeCell ref="C1612:D1612"/>
    <mergeCell ref="A1615:C1615"/>
    <mergeCell ref="A1580:D1580"/>
    <mergeCell ref="E1580:F1580"/>
    <mergeCell ref="G1580:H1580"/>
    <mergeCell ref="A1581:D1581"/>
    <mergeCell ref="E1581:F1581"/>
    <mergeCell ref="G1581:H1581"/>
    <mergeCell ref="A1582:D1582"/>
    <mergeCell ref="E1582:F1582"/>
    <mergeCell ref="G1582:H1582"/>
    <mergeCell ref="A1583:H1583"/>
    <mergeCell ref="A1584:H1584"/>
    <mergeCell ref="A1586:C1586"/>
    <mergeCell ref="F1586:I1586"/>
    <mergeCell ref="B1587:C1587"/>
    <mergeCell ref="G1587:I1587"/>
    <mergeCell ref="B1588:C1588"/>
    <mergeCell ref="G1588:I1588"/>
    <mergeCell ref="C1550:E1550"/>
    <mergeCell ref="A1553:D1553"/>
    <mergeCell ref="C1554:D1554"/>
    <mergeCell ref="C1555:D1555"/>
    <mergeCell ref="C1556:D1556"/>
    <mergeCell ref="C1557:D1557"/>
    <mergeCell ref="C1558:D1558"/>
    <mergeCell ref="C1559:D1559"/>
    <mergeCell ref="C1560:D1560"/>
    <mergeCell ref="A1563:C1563"/>
    <mergeCell ref="A1568:C1568"/>
    <mergeCell ref="A1574:B1574"/>
    <mergeCell ref="A1578:D1578"/>
    <mergeCell ref="E1578:F1578"/>
    <mergeCell ref="G1578:H1578"/>
    <mergeCell ref="A1579:D1579"/>
    <mergeCell ref="E1579:F1579"/>
    <mergeCell ref="G1579:H1579"/>
    <mergeCell ref="A1532:H1532"/>
    <mergeCell ref="A1534:C1534"/>
    <mergeCell ref="F1534:I1534"/>
    <mergeCell ref="B1535:C1535"/>
    <mergeCell ref="G1535:I1535"/>
    <mergeCell ref="B1536:C1536"/>
    <mergeCell ref="G1536:I1536"/>
    <mergeCell ref="B1537:C1537"/>
    <mergeCell ref="G1537:I1537"/>
    <mergeCell ref="A1539:I1539"/>
    <mergeCell ref="A1540:I1541"/>
    <mergeCell ref="A1543:I1543"/>
    <mergeCell ref="C1544:C1545"/>
    <mergeCell ref="D1544:I1544"/>
    <mergeCell ref="A1547:E1547"/>
    <mergeCell ref="C1548:E1548"/>
    <mergeCell ref="C1549:E1549"/>
    <mergeCell ref="A1511:C1511"/>
    <mergeCell ref="A1516:C1516"/>
    <mergeCell ref="A1522:B1522"/>
    <mergeCell ref="A1526:D1526"/>
    <mergeCell ref="E1526:F1526"/>
    <mergeCell ref="G1526:H1526"/>
    <mergeCell ref="A1527:D1527"/>
    <mergeCell ref="E1527:F1527"/>
    <mergeCell ref="G1527:H1527"/>
    <mergeCell ref="G1528:H1528"/>
    <mergeCell ref="A1529:D1529"/>
    <mergeCell ref="E1529:F1529"/>
    <mergeCell ref="G1529:H1529"/>
    <mergeCell ref="A1530:D1530"/>
    <mergeCell ref="E1530:F1530"/>
    <mergeCell ref="G1530:H1530"/>
    <mergeCell ref="A1531:H1531"/>
    <mergeCell ref="A1528:D1528"/>
    <mergeCell ref="E1528:F1528"/>
    <mergeCell ref="B1485:C1485"/>
    <mergeCell ref="G1485:I1485"/>
    <mergeCell ref="A1488:I1489"/>
    <mergeCell ref="A1491:I1491"/>
    <mergeCell ref="C1492:C1493"/>
    <mergeCell ref="D1492:I1492"/>
    <mergeCell ref="A1495:E1495"/>
    <mergeCell ref="C1496:E1496"/>
    <mergeCell ref="C1497:E1497"/>
    <mergeCell ref="A1501:D1501"/>
    <mergeCell ref="C1502:D1502"/>
    <mergeCell ref="C1503:D1503"/>
    <mergeCell ref="C1504:D1504"/>
    <mergeCell ref="C1505:D1505"/>
    <mergeCell ref="C1506:D1506"/>
    <mergeCell ref="C1507:D1507"/>
    <mergeCell ref="C1508:D1508"/>
    <mergeCell ref="C1498:E1498"/>
    <mergeCell ref="A1487:I1487"/>
    <mergeCell ref="A1443:E1443"/>
    <mergeCell ref="C1445:E1445"/>
    <mergeCell ref="C1446:E1446"/>
    <mergeCell ref="A1449:D1449"/>
    <mergeCell ref="C1452:D1452"/>
    <mergeCell ref="C1453:D1453"/>
    <mergeCell ref="A1459:C1459"/>
    <mergeCell ref="A1464:C1464"/>
    <mergeCell ref="A1470:B1470"/>
    <mergeCell ref="A1476:D1476"/>
    <mergeCell ref="E1476:F1476"/>
    <mergeCell ref="G1476:H1476"/>
    <mergeCell ref="A1482:C1482"/>
    <mergeCell ref="F1482:I1482"/>
    <mergeCell ref="B1483:C1483"/>
    <mergeCell ref="G1483:I1483"/>
    <mergeCell ref="B1484:C1484"/>
    <mergeCell ref="G1484:I1484"/>
    <mergeCell ref="C1456:D1456"/>
    <mergeCell ref="A1477:D1477"/>
    <mergeCell ref="E1477:F1477"/>
    <mergeCell ref="G1477:H1477"/>
    <mergeCell ref="C1444:E1444"/>
    <mergeCell ref="C1450:D1450"/>
    <mergeCell ref="C1451:D1451"/>
    <mergeCell ref="A1474:D1474"/>
    <mergeCell ref="E1474:F1474"/>
    <mergeCell ref="G1474:H1474"/>
    <mergeCell ref="A1475:D1475"/>
    <mergeCell ref="E1475:F1475"/>
    <mergeCell ref="G1475:H1475"/>
    <mergeCell ref="A1478:D1478"/>
    <mergeCell ref="A1426:D1426"/>
    <mergeCell ref="E1426:F1426"/>
    <mergeCell ref="G1426:H1426"/>
    <mergeCell ref="A1427:H1427"/>
    <mergeCell ref="A1428:H1428"/>
    <mergeCell ref="A1430:C1430"/>
    <mergeCell ref="F1430:I1430"/>
    <mergeCell ref="B1431:C1431"/>
    <mergeCell ref="G1431:I1431"/>
    <mergeCell ref="B1432:C1432"/>
    <mergeCell ref="G1432:I1432"/>
    <mergeCell ref="B1433:C1433"/>
    <mergeCell ref="G1433:I1433"/>
    <mergeCell ref="A1435:I1435"/>
    <mergeCell ref="A1436:I1437"/>
    <mergeCell ref="A1439:I1439"/>
    <mergeCell ref="C1440:C1441"/>
    <mergeCell ref="D1440:I1440"/>
    <mergeCell ref="C1401:D1401"/>
    <mergeCell ref="C1402:D1402"/>
    <mergeCell ref="C1403:D1403"/>
    <mergeCell ref="C1404:D1404"/>
    <mergeCell ref="A1412:C1412"/>
    <mergeCell ref="A1418:B1418"/>
    <mergeCell ref="A1422:D1422"/>
    <mergeCell ref="E1422:F1422"/>
    <mergeCell ref="G1422:H1422"/>
    <mergeCell ref="A1423:D1423"/>
    <mergeCell ref="E1423:F1423"/>
    <mergeCell ref="G1423:H1423"/>
    <mergeCell ref="A1424:D1424"/>
    <mergeCell ref="E1424:F1424"/>
    <mergeCell ref="G1424:H1424"/>
    <mergeCell ref="A1425:D1425"/>
    <mergeCell ref="E1425:F1425"/>
    <mergeCell ref="G1425:H1425"/>
    <mergeCell ref="A1407:C1407"/>
    <mergeCell ref="B1381:C1381"/>
    <mergeCell ref="G1381:I1381"/>
    <mergeCell ref="B1382:C1382"/>
    <mergeCell ref="G1382:I1382"/>
    <mergeCell ref="B1383:C1383"/>
    <mergeCell ref="G1383:I1383"/>
    <mergeCell ref="A1385:I1385"/>
    <mergeCell ref="A1386:I1387"/>
    <mergeCell ref="A1389:I1389"/>
    <mergeCell ref="C1390:C1391"/>
    <mergeCell ref="D1390:I1390"/>
    <mergeCell ref="A1393:E1393"/>
    <mergeCell ref="C1394:E1394"/>
    <mergeCell ref="C1395:E1395"/>
    <mergeCell ref="C1396:E1396"/>
    <mergeCell ref="A1399:D1399"/>
    <mergeCell ref="C1400:D1400"/>
    <mergeCell ref="A1342:E1342"/>
    <mergeCell ref="C1343:E1343"/>
    <mergeCell ref="C1344:E1344"/>
    <mergeCell ref="C1345:E1345"/>
    <mergeCell ref="A1348:D1348"/>
    <mergeCell ref="C1349:D1349"/>
    <mergeCell ref="C1350:D1350"/>
    <mergeCell ref="C1351:D1351"/>
    <mergeCell ref="E1375:F1375"/>
    <mergeCell ref="G1375:H1375"/>
    <mergeCell ref="A1376:D1376"/>
    <mergeCell ref="E1376:F1376"/>
    <mergeCell ref="G1376:H1376"/>
    <mergeCell ref="A1377:H1377"/>
    <mergeCell ref="A1378:H1378"/>
    <mergeCell ref="A1380:C1380"/>
    <mergeCell ref="F1380:I1380"/>
    <mergeCell ref="A1368:B1368"/>
    <mergeCell ref="A1372:D1372"/>
    <mergeCell ref="E1372:F1372"/>
    <mergeCell ref="G1372:H1372"/>
    <mergeCell ref="A1373:D1373"/>
    <mergeCell ref="E1373:F1373"/>
    <mergeCell ref="G1373:H1373"/>
    <mergeCell ref="A1374:D1374"/>
    <mergeCell ref="E1374:F1374"/>
    <mergeCell ref="G1374:H1374"/>
    <mergeCell ref="A1375:D1375"/>
    <mergeCell ref="C1352:D1352"/>
    <mergeCell ref="C1353:D1353"/>
    <mergeCell ref="C1354:D1354"/>
    <mergeCell ref="A1357:C1357"/>
    <mergeCell ref="A1325:D1325"/>
    <mergeCell ref="E1325:F1325"/>
    <mergeCell ref="G1325:H1325"/>
    <mergeCell ref="A1326:H1326"/>
    <mergeCell ref="A1327:H1327"/>
    <mergeCell ref="A1329:C1329"/>
    <mergeCell ref="F1329:I1329"/>
    <mergeCell ref="B1330:C1330"/>
    <mergeCell ref="G1330:I1330"/>
    <mergeCell ref="B1331:C1331"/>
    <mergeCell ref="G1331:I1331"/>
    <mergeCell ref="B1332:C1332"/>
    <mergeCell ref="G1332:I1332"/>
    <mergeCell ref="A1334:I1334"/>
    <mergeCell ref="A1335:I1336"/>
    <mergeCell ref="A1338:I1338"/>
    <mergeCell ref="C1339:C1340"/>
    <mergeCell ref="D1339:I1339"/>
    <mergeCell ref="A1286:I1286"/>
    <mergeCell ref="C1287:C1288"/>
    <mergeCell ref="D1287:I1287"/>
    <mergeCell ref="A1290:E1290"/>
    <mergeCell ref="C1292:E1292"/>
    <mergeCell ref="C1291:E1291"/>
    <mergeCell ref="C1293:E1293"/>
    <mergeCell ref="C1294:E1294"/>
    <mergeCell ref="C1295:E1295"/>
    <mergeCell ref="C1296:E1296"/>
    <mergeCell ref="A1299:D1299"/>
    <mergeCell ref="C1300:D1300"/>
    <mergeCell ref="C1301:D1301"/>
    <mergeCell ref="C1302:D1302"/>
    <mergeCell ref="C1303:D1303"/>
    <mergeCell ref="C1304:D1304"/>
    <mergeCell ref="C1305:D1305"/>
    <mergeCell ref="A1271:D1271"/>
    <mergeCell ref="E1271:F1271"/>
    <mergeCell ref="G1271:H1271"/>
    <mergeCell ref="A1275:H1275"/>
    <mergeCell ref="A1276:H1276"/>
    <mergeCell ref="A1278:C1278"/>
    <mergeCell ref="F1278:I1278"/>
    <mergeCell ref="B1279:C1279"/>
    <mergeCell ref="G1279:I1279"/>
    <mergeCell ref="B1280:C1280"/>
    <mergeCell ref="G1280:I1280"/>
    <mergeCell ref="B1281:C1281"/>
    <mergeCell ref="G1281:I1281"/>
    <mergeCell ref="A1283:I1283"/>
    <mergeCell ref="A1284:I1285"/>
    <mergeCell ref="C1454:D1454"/>
    <mergeCell ref="C1455:D1455"/>
    <mergeCell ref="A1308:C1308"/>
    <mergeCell ref="A1313:C1313"/>
    <mergeCell ref="A1317:B1317"/>
    <mergeCell ref="A1321:D1321"/>
    <mergeCell ref="E1321:F1321"/>
    <mergeCell ref="G1321:H1321"/>
    <mergeCell ref="A1322:D1322"/>
    <mergeCell ref="E1322:F1322"/>
    <mergeCell ref="G1322:H1322"/>
    <mergeCell ref="A1323:D1323"/>
    <mergeCell ref="E1323:F1323"/>
    <mergeCell ref="G1323:H1323"/>
    <mergeCell ref="A1324:D1324"/>
    <mergeCell ref="E1324:F1324"/>
    <mergeCell ref="G1324:H1324"/>
    <mergeCell ref="B1237:C1237"/>
    <mergeCell ref="G1237:I1237"/>
    <mergeCell ref="A1239:I1239"/>
    <mergeCell ref="A1240:I1241"/>
    <mergeCell ref="A1242:I1242"/>
    <mergeCell ref="C1243:C1244"/>
    <mergeCell ref="D1243:I1243"/>
    <mergeCell ref="A1246:E1246"/>
    <mergeCell ref="C1247:E1247"/>
    <mergeCell ref="A1250:D1250"/>
    <mergeCell ref="C1251:D1251"/>
    <mergeCell ref="C1252:D1252"/>
    <mergeCell ref="A1255:C1255"/>
    <mergeCell ref="A1260:C1260"/>
    <mergeCell ref="A1266:B1266"/>
    <mergeCell ref="A1270:D1270"/>
    <mergeCell ref="E1270:F1270"/>
    <mergeCell ref="G1270:H1270"/>
    <mergeCell ref="A1214:C1214"/>
    <mergeCell ref="A1218:C1218"/>
    <mergeCell ref="A1226:D1226"/>
    <mergeCell ref="E1226:F1226"/>
    <mergeCell ref="G1226:H1226"/>
    <mergeCell ref="A1227:D1227"/>
    <mergeCell ref="E1227:F1227"/>
    <mergeCell ref="G1227:H1227"/>
    <mergeCell ref="E1230:F1230"/>
    <mergeCell ref="G1230:H1230"/>
    <mergeCell ref="A1231:H1231"/>
    <mergeCell ref="A1232:H1232"/>
    <mergeCell ref="A1234:C1234"/>
    <mergeCell ref="F1234:I1234"/>
    <mergeCell ref="B1235:C1235"/>
    <mergeCell ref="G1235:I1235"/>
    <mergeCell ref="B1236:C1236"/>
    <mergeCell ref="G1236:I1236"/>
    <mergeCell ref="E1229:F1229"/>
    <mergeCell ref="G1229:H1229"/>
    <mergeCell ref="A1230:D1230"/>
    <mergeCell ref="A1128:C1128"/>
    <mergeCell ref="E1140:F1140"/>
    <mergeCell ref="G1140:H1140"/>
    <mergeCell ref="A1141:H1141"/>
    <mergeCell ref="A1142:H1142"/>
    <mergeCell ref="A1144:C1144"/>
    <mergeCell ref="F1144:I1144"/>
    <mergeCell ref="B1145:C1145"/>
    <mergeCell ref="G1145:I1145"/>
    <mergeCell ref="B1146:C1146"/>
    <mergeCell ref="G1146:I1146"/>
    <mergeCell ref="B1147:C1147"/>
    <mergeCell ref="G1147:I1147"/>
    <mergeCell ref="A1149:I1149"/>
    <mergeCell ref="A1150:I1151"/>
    <mergeCell ref="A1152:I1152"/>
    <mergeCell ref="C1153:C1154"/>
    <mergeCell ref="D1153:I1153"/>
    <mergeCell ref="A1136:D1136"/>
    <mergeCell ref="E1136:F1136"/>
    <mergeCell ref="G1136:H1136"/>
    <mergeCell ref="A1137:D1137"/>
    <mergeCell ref="E1137:F1137"/>
    <mergeCell ref="G1137:H1137"/>
    <mergeCell ref="A1138:D1138"/>
    <mergeCell ref="E1138:F1138"/>
    <mergeCell ref="G1138:H1138"/>
    <mergeCell ref="A1139:D1139"/>
    <mergeCell ref="E1139:F1139"/>
    <mergeCell ref="G1139:H1139"/>
    <mergeCell ref="A1140:D1140"/>
    <mergeCell ref="B1102:C1102"/>
    <mergeCell ref="G1102:I1102"/>
    <mergeCell ref="B1103:C1103"/>
    <mergeCell ref="G1103:I1103"/>
    <mergeCell ref="A1105:I1105"/>
    <mergeCell ref="A1106:I1107"/>
    <mergeCell ref="A1109:I1109"/>
    <mergeCell ref="C1110:C1111"/>
    <mergeCell ref="D1110:I1110"/>
    <mergeCell ref="A1113:E1113"/>
    <mergeCell ref="C1114:E1114"/>
    <mergeCell ref="C1115:E1115"/>
    <mergeCell ref="C1116:E1116"/>
    <mergeCell ref="A1119:D1119"/>
    <mergeCell ref="C1120:D1120"/>
    <mergeCell ref="C1121:D1121"/>
    <mergeCell ref="A1124:C1124"/>
    <mergeCell ref="C1072:D1072"/>
    <mergeCell ref="C1073:D1073"/>
    <mergeCell ref="A1094:D1094"/>
    <mergeCell ref="E1094:F1094"/>
    <mergeCell ref="G1094:H1094"/>
    <mergeCell ref="A1095:D1095"/>
    <mergeCell ref="E1095:F1095"/>
    <mergeCell ref="G1095:H1095"/>
    <mergeCell ref="A1096:D1096"/>
    <mergeCell ref="E1096:F1096"/>
    <mergeCell ref="G1096:H1096"/>
    <mergeCell ref="A1097:H1097"/>
    <mergeCell ref="A1098:H1098"/>
    <mergeCell ref="A1100:C1100"/>
    <mergeCell ref="F1100:I1100"/>
    <mergeCell ref="B1101:C1101"/>
    <mergeCell ref="G1101:I1101"/>
    <mergeCell ref="B1051:C1051"/>
    <mergeCell ref="G1051:I1051"/>
    <mergeCell ref="B1052:C1052"/>
    <mergeCell ref="G1052:I1052"/>
    <mergeCell ref="A1054:I1054"/>
    <mergeCell ref="A1055:I1056"/>
    <mergeCell ref="A1058:I1058"/>
    <mergeCell ref="C1059:C1060"/>
    <mergeCell ref="D1059:I1059"/>
    <mergeCell ref="A1062:E1062"/>
    <mergeCell ref="C1063:E1063"/>
    <mergeCell ref="C1064:E1064"/>
    <mergeCell ref="C1065:E1065"/>
    <mergeCell ref="C1066:E1066"/>
    <mergeCell ref="C1067:E1067"/>
    <mergeCell ref="A1070:D1070"/>
    <mergeCell ref="C1071:D1071"/>
    <mergeCell ref="C1017:E1017"/>
    <mergeCell ref="G1042:H1042"/>
    <mergeCell ref="A1043:D1043"/>
    <mergeCell ref="E1043:F1043"/>
    <mergeCell ref="G1043:H1043"/>
    <mergeCell ref="A1044:D1044"/>
    <mergeCell ref="E1044:F1044"/>
    <mergeCell ref="G1044:H1044"/>
    <mergeCell ref="A1045:D1045"/>
    <mergeCell ref="E1045:F1045"/>
    <mergeCell ref="G1045:H1045"/>
    <mergeCell ref="A1046:H1046"/>
    <mergeCell ref="A1047:H1047"/>
    <mergeCell ref="A1049:C1049"/>
    <mergeCell ref="F1049:I1049"/>
    <mergeCell ref="B1050:C1050"/>
    <mergeCell ref="G1050:I1050"/>
    <mergeCell ref="A1020:D1020"/>
    <mergeCell ref="C1021:D1021"/>
    <mergeCell ref="C1022:D1022"/>
    <mergeCell ref="A1025:C1025"/>
    <mergeCell ref="A1041:D1041"/>
    <mergeCell ref="E1041:F1041"/>
    <mergeCell ref="G1041:H1041"/>
    <mergeCell ref="A1042:D1042"/>
    <mergeCell ref="E1042:F1042"/>
    <mergeCell ref="A1000:H1000"/>
    <mergeCell ref="A1002:C1002"/>
    <mergeCell ref="F1002:I1002"/>
    <mergeCell ref="B1003:C1003"/>
    <mergeCell ref="G1003:I1003"/>
    <mergeCell ref="B1004:C1004"/>
    <mergeCell ref="G1004:I1004"/>
    <mergeCell ref="B1005:C1005"/>
    <mergeCell ref="G1005:I1005"/>
    <mergeCell ref="A1007:I1007"/>
    <mergeCell ref="A1008:I1009"/>
    <mergeCell ref="A1010:I1010"/>
    <mergeCell ref="C1011:C1012"/>
    <mergeCell ref="D1011:I1011"/>
    <mergeCell ref="A1014:E1014"/>
    <mergeCell ref="C1015:E1015"/>
    <mergeCell ref="C1016:E1016"/>
    <mergeCell ref="A985:C985"/>
    <mergeCell ref="A994:D994"/>
    <mergeCell ref="E994:F994"/>
    <mergeCell ref="G994:H994"/>
    <mergeCell ref="A995:D995"/>
    <mergeCell ref="E995:F995"/>
    <mergeCell ref="G995:H995"/>
    <mergeCell ref="A996:D996"/>
    <mergeCell ref="E996:F996"/>
    <mergeCell ref="G996:H996"/>
    <mergeCell ref="A997:D997"/>
    <mergeCell ref="E997:F997"/>
    <mergeCell ref="G997:H997"/>
    <mergeCell ref="A998:D998"/>
    <mergeCell ref="E998:F998"/>
    <mergeCell ref="G998:H998"/>
    <mergeCell ref="A999:H999"/>
    <mergeCell ref="A952:D952"/>
    <mergeCell ref="E952:F952"/>
    <mergeCell ref="G952:H952"/>
    <mergeCell ref="A953:H953"/>
    <mergeCell ref="A954:H954"/>
    <mergeCell ref="A956:C956"/>
    <mergeCell ref="F956:I956"/>
    <mergeCell ref="B957:C957"/>
    <mergeCell ref="G957:I957"/>
    <mergeCell ref="B958:C958"/>
    <mergeCell ref="G958:I958"/>
    <mergeCell ref="B959:C959"/>
    <mergeCell ref="G959:I959"/>
    <mergeCell ref="A961:I961"/>
    <mergeCell ref="C977:D977"/>
    <mergeCell ref="C978:D978"/>
    <mergeCell ref="A981:C981"/>
    <mergeCell ref="A929:D929"/>
    <mergeCell ref="C930:D930"/>
    <mergeCell ref="C931:D931"/>
    <mergeCell ref="A934:C934"/>
    <mergeCell ref="A940:C940"/>
    <mergeCell ref="A944:B944"/>
    <mergeCell ref="A948:D948"/>
    <mergeCell ref="E948:F948"/>
    <mergeCell ref="G948:H948"/>
    <mergeCell ref="A949:D949"/>
    <mergeCell ref="E949:F949"/>
    <mergeCell ref="G949:H949"/>
    <mergeCell ref="A950:D950"/>
    <mergeCell ref="E950:F950"/>
    <mergeCell ref="G950:H950"/>
    <mergeCell ref="A951:D951"/>
    <mergeCell ref="E951:F951"/>
    <mergeCell ref="G951:H951"/>
    <mergeCell ref="A910:H910"/>
    <mergeCell ref="A911:H911"/>
    <mergeCell ref="A913:C913"/>
    <mergeCell ref="F913:I913"/>
    <mergeCell ref="B914:C914"/>
    <mergeCell ref="G914:I914"/>
    <mergeCell ref="B915:C915"/>
    <mergeCell ref="G915:I915"/>
    <mergeCell ref="B916:C916"/>
    <mergeCell ref="G916:I916"/>
    <mergeCell ref="A918:I918"/>
    <mergeCell ref="A919:I920"/>
    <mergeCell ref="A921:I921"/>
    <mergeCell ref="C922:C923"/>
    <mergeCell ref="D922:I922"/>
    <mergeCell ref="A925:E925"/>
    <mergeCell ref="C926:E926"/>
    <mergeCell ref="E906:F906"/>
    <mergeCell ref="G906:H906"/>
    <mergeCell ref="A907:D907"/>
    <mergeCell ref="E907:F907"/>
    <mergeCell ref="G907:H907"/>
    <mergeCell ref="A908:D908"/>
    <mergeCell ref="E908:F908"/>
    <mergeCell ref="G908:H908"/>
    <mergeCell ref="C883:D883"/>
    <mergeCell ref="C884:D884"/>
    <mergeCell ref="C885:D885"/>
    <mergeCell ref="C886:D886"/>
    <mergeCell ref="C887:D887"/>
    <mergeCell ref="C888:D888"/>
    <mergeCell ref="A891:C891"/>
    <mergeCell ref="A895:C895"/>
    <mergeCell ref="A909:D909"/>
    <mergeCell ref="E909:F909"/>
    <mergeCell ref="G909:H909"/>
    <mergeCell ref="C833:D833"/>
    <mergeCell ref="A836:C836"/>
    <mergeCell ref="A841:C841"/>
    <mergeCell ref="A850:D850"/>
    <mergeCell ref="E850:F850"/>
    <mergeCell ref="G850:H850"/>
    <mergeCell ref="A851:D851"/>
    <mergeCell ref="E851:F851"/>
    <mergeCell ref="G851:H851"/>
    <mergeCell ref="A852:D852"/>
    <mergeCell ref="E852:F852"/>
    <mergeCell ref="G852:H852"/>
    <mergeCell ref="A853:D853"/>
    <mergeCell ref="E853:F853"/>
    <mergeCell ref="G853:H853"/>
    <mergeCell ref="B814:C814"/>
    <mergeCell ref="G814:I814"/>
    <mergeCell ref="B815:C815"/>
    <mergeCell ref="G815:I815"/>
    <mergeCell ref="A817:I817"/>
    <mergeCell ref="A818:I819"/>
    <mergeCell ref="A820:I820"/>
    <mergeCell ref="C821:C822"/>
    <mergeCell ref="D821:I821"/>
    <mergeCell ref="A824:E824"/>
    <mergeCell ref="C825:E825"/>
    <mergeCell ref="A830:D830"/>
    <mergeCell ref="C831:D831"/>
    <mergeCell ref="C832:D832"/>
    <mergeCell ref="C826:E826"/>
    <mergeCell ref="C827:E827"/>
    <mergeCell ref="A805:D805"/>
    <mergeCell ref="E805:F805"/>
    <mergeCell ref="G805:H805"/>
    <mergeCell ref="A806:D806"/>
    <mergeCell ref="E806:F806"/>
    <mergeCell ref="G806:H806"/>
    <mergeCell ref="A807:D807"/>
    <mergeCell ref="E807:F807"/>
    <mergeCell ref="G807:H807"/>
    <mergeCell ref="A808:D808"/>
    <mergeCell ref="E808:F808"/>
    <mergeCell ref="G808:H808"/>
    <mergeCell ref="A809:H809"/>
    <mergeCell ref="A810:H810"/>
    <mergeCell ref="A812:C812"/>
    <mergeCell ref="F812:I812"/>
    <mergeCell ref="B813:C813"/>
    <mergeCell ref="G813:I813"/>
    <mergeCell ref="A768:I768"/>
    <mergeCell ref="A771:I771"/>
    <mergeCell ref="C772:C773"/>
    <mergeCell ref="D772:I772"/>
    <mergeCell ref="A775:E775"/>
    <mergeCell ref="C776:E776"/>
    <mergeCell ref="C777:E777"/>
    <mergeCell ref="C778:E778"/>
    <mergeCell ref="C779:E779"/>
    <mergeCell ref="A782:D782"/>
    <mergeCell ref="C783:D783"/>
    <mergeCell ref="C784:D784"/>
    <mergeCell ref="C785:D785"/>
    <mergeCell ref="A794:C794"/>
    <mergeCell ref="A800:B800"/>
    <mergeCell ref="A804:D804"/>
    <mergeCell ref="E804:F804"/>
    <mergeCell ref="G804:H804"/>
    <mergeCell ref="A788:C788"/>
    <mergeCell ref="C734:E734"/>
    <mergeCell ref="A758:D758"/>
    <mergeCell ref="E758:F758"/>
    <mergeCell ref="G758:H758"/>
    <mergeCell ref="A759:D759"/>
    <mergeCell ref="E759:F759"/>
    <mergeCell ref="G759:H759"/>
    <mergeCell ref="A760:H760"/>
    <mergeCell ref="A761:H761"/>
    <mergeCell ref="A763:C763"/>
    <mergeCell ref="F763:I763"/>
    <mergeCell ref="B764:C764"/>
    <mergeCell ref="G764:I764"/>
    <mergeCell ref="B765:C765"/>
    <mergeCell ref="G765:I765"/>
    <mergeCell ref="B766:C766"/>
    <mergeCell ref="G766:I766"/>
    <mergeCell ref="A717:D717"/>
    <mergeCell ref="E717:F717"/>
    <mergeCell ref="G717:H717"/>
    <mergeCell ref="A737:D737"/>
    <mergeCell ref="A742:C742"/>
    <mergeCell ref="A746:C746"/>
    <mergeCell ref="A751:B751"/>
    <mergeCell ref="A718:H718"/>
    <mergeCell ref="A755:D755"/>
    <mergeCell ref="E755:F755"/>
    <mergeCell ref="G755:H755"/>
    <mergeCell ref="A756:D756"/>
    <mergeCell ref="E756:F756"/>
    <mergeCell ref="G756:H756"/>
    <mergeCell ref="A757:D757"/>
    <mergeCell ref="E757:F757"/>
    <mergeCell ref="G757:H757"/>
    <mergeCell ref="A719:H719"/>
    <mergeCell ref="A721:C721"/>
    <mergeCell ref="F721:I721"/>
    <mergeCell ref="B722:C722"/>
    <mergeCell ref="G722:I722"/>
    <mergeCell ref="B723:C723"/>
    <mergeCell ref="G723:I723"/>
    <mergeCell ref="B724:C724"/>
    <mergeCell ref="G724:I724"/>
    <mergeCell ref="A726:I726"/>
    <mergeCell ref="A727:I728"/>
    <mergeCell ref="A729:I729"/>
    <mergeCell ref="C730:C731"/>
    <mergeCell ref="D730:I730"/>
    <mergeCell ref="A733:E733"/>
    <mergeCell ref="A675:H675"/>
    <mergeCell ref="A677:C677"/>
    <mergeCell ref="F677:I677"/>
    <mergeCell ref="B678:C678"/>
    <mergeCell ref="G678:I678"/>
    <mergeCell ref="B679:C679"/>
    <mergeCell ref="G679:I679"/>
    <mergeCell ref="B680:C680"/>
    <mergeCell ref="G680:I680"/>
    <mergeCell ref="G713:H713"/>
    <mergeCell ref="A714:D714"/>
    <mergeCell ref="E714:F714"/>
    <mergeCell ref="G714:H714"/>
    <mergeCell ref="A715:D715"/>
    <mergeCell ref="E715:F715"/>
    <mergeCell ref="G715:H715"/>
    <mergeCell ref="A716:D716"/>
    <mergeCell ref="E716:F716"/>
    <mergeCell ref="G716:H716"/>
    <mergeCell ref="A630:H630"/>
    <mergeCell ref="A631:H631"/>
    <mergeCell ref="A633:C633"/>
    <mergeCell ref="F633:I633"/>
    <mergeCell ref="B634:C634"/>
    <mergeCell ref="G634:I634"/>
    <mergeCell ref="B635:C635"/>
    <mergeCell ref="G635:I635"/>
    <mergeCell ref="B636:C636"/>
    <mergeCell ref="G636:I636"/>
    <mergeCell ref="A638:I638"/>
    <mergeCell ref="A639:I640"/>
    <mergeCell ref="A642:I642"/>
    <mergeCell ref="C643:C644"/>
    <mergeCell ref="A646:E646"/>
    <mergeCell ref="A650:D650"/>
    <mergeCell ref="A661:C661"/>
    <mergeCell ref="A657:C657"/>
    <mergeCell ref="C609:D609"/>
    <mergeCell ref="A616:C616"/>
    <mergeCell ref="A612:C612"/>
    <mergeCell ref="A621:B621"/>
    <mergeCell ref="A625:D625"/>
    <mergeCell ref="E625:F625"/>
    <mergeCell ref="G625:H625"/>
    <mergeCell ref="A626:D626"/>
    <mergeCell ref="E626:F626"/>
    <mergeCell ref="G626:H626"/>
    <mergeCell ref="A627:D627"/>
    <mergeCell ref="E627:F627"/>
    <mergeCell ref="G627:H627"/>
    <mergeCell ref="A628:D628"/>
    <mergeCell ref="E628:F628"/>
    <mergeCell ref="G628:H628"/>
    <mergeCell ref="A629:D629"/>
    <mergeCell ref="E629:F629"/>
    <mergeCell ref="G629:H629"/>
    <mergeCell ref="B594:C594"/>
    <mergeCell ref="G594:I594"/>
    <mergeCell ref="A585:D585"/>
    <mergeCell ref="E585:F585"/>
    <mergeCell ref="B595:C595"/>
    <mergeCell ref="G595:I595"/>
    <mergeCell ref="A597:I597"/>
    <mergeCell ref="A598:I599"/>
    <mergeCell ref="A587:D587"/>
    <mergeCell ref="E587:F587"/>
    <mergeCell ref="G587:H587"/>
    <mergeCell ref="A600:I600"/>
    <mergeCell ref="C601:C602"/>
    <mergeCell ref="D601:I601"/>
    <mergeCell ref="A604:E604"/>
    <mergeCell ref="C605:D605"/>
    <mergeCell ref="A608:D608"/>
    <mergeCell ref="A586:D586"/>
    <mergeCell ref="E586:F586"/>
    <mergeCell ref="G586:H586"/>
    <mergeCell ref="G552:I552"/>
    <mergeCell ref="B553:C553"/>
    <mergeCell ref="G553:I553"/>
    <mergeCell ref="A555:I555"/>
    <mergeCell ref="A556:I557"/>
    <mergeCell ref="A545:D545"/>
    <mergeCell ref="E545:F545"/>
    <mergeCell ref="G545:H545"/>
    <mergeCell ref="A530:C530"/>
    <mergeCell ref="A588:D588"/>
    <mergeCell ref="E588:F588"/>
    <mergeCell ref="G588:H588"/>
    <mergeCell ref="A589:H589"/>
    <mergeCell ref="A590:H590"/>
    <mergeCell ref="A592:C592"/>
    <mergeCell ref="F592:I592"/>
    <mergeCell ref="B593:C593"/>
    <mergeCell ref="G593:I593"/>
    <mergeCell ref="A559:I559"/>
    <mergeCell ref="C560:C561"/>
    <mergeCell ref="D560:I560"/>
    <mergeCell ref="A563:E563"/>
    <mergeCell ref="C564:E564"/>
    <mergeCell ref="A567:D567"/>
    <mergeCell ref="C568:D568"/>
    <mergeCell ref="A575:C575"/>
    <mergeCell ref="A580:B580"/>
    <mergeCell ref="A584:D584"/>
    <mergeCell ref="E584:F584"/>
    <mergeCell ref="G584:H584"/>
    <mergeCell ref="A571:C571"/>
    <mergeCell ref="G585:H585"/>
    <mergeCell ref="A542:D542"/>
    <mergeCell ref="E542:F542"/>
    <mergeCell ref="G542:H542"/>
    <mergeCell ref="A543:D543"/>
    <mergeCell ref="E543:F543"/>
    <mergeCell ref="G543:H543"/>
    <mergeCell ref="A544:D544"/>
    <mergeCell ref="E544:F544"/>
    <mergeCell ref="G544:H544"/>
    <mergeCell ref="A423:C423"/>
    <mergeCell ref="F423:I423"/>
    <mergeCell ref="B424:C424"/>
    <mergeCell ref="G424:I424"/>
    <mergeCell ref="B425:C425"/>
    <mergeCell ref="G425:I425"/>
    <mergeCell ref="B426:C426"/>
    <mergeCell ref="G426:I426"/>
    <mergeCell ref="A428:I428"/>
    <mergeCell ref="A429:I430"/>
    <mergeCell ref="A514:I514"/>
    <mergeCell ref="C515:C516"/>
    <mergeCell ref="D515:I515"/>
    <mergeCell ref="A518:E518"/>
    <mergeCell ref="C519:D519"/>
    <mergeCell ref="C520:D520"/>
    <mergeCell ref="G459:H459"/>
    <mergeCell ref="A460:D460"/>
    <mergeCell ref="E460:F460"/>
    <mergeCell ref="G460:H460"/>
    <mergeCell ref="A461:H461"/>
    <mergeCell ref="A462:H462"/>
    <mergeCell ref="A464:C464"/>
    <mergeCell ref="A388:I389"/>
    <mergeCell ref="A391:I391"/>
    <mergeCell ref="C392:C393"/>
    <mergeCell ref="D392:I392"/>
    <mergeCell ref="A395:E395"/>
    <mergeCell ref="C396:E396"/>
    <mergeCell ref="A399:D399"/>
    <mergeCell ref="A374:D374"/>
    <mergeCell ref="E374:F374"/>
    <mergeCell ref="G374:H374"/>
    <mergeCell ref="A378:D378"/>
    <mergeCell ref="E378:F378"/>
    <mergeCell ref="G378:H378"/>
    <mergeCell ref="A379:H379"/>
    <mergeCell ref="A380:H380"/>
    <mergeCell ref="A382:C382"/>
    <mergeCell ref="F382:I382"/>
    <mergeCell ref="B383:C383"/>
    <mergeCell ref="G383:I383"/>
    <mergeCell ref="B384:C384"/>
    <mergeCell ref="G384:I384"/>
    <mergeCell ref="B385:C385"/>
    <mergeCell ref="A349:I349"/>
    <mergeCell ref="C350:C351"/>
    <mergeCell ref="D350:I350"/>
    <mergeCell ref="A353:E353"/>
    <mergeCell ref="C354:E354"/>
    <mergeCell ref="A357:D357"/>
    <mergeCell ref="C358:D358"/>
    <mergeCell ref="A361:C361"/>
    <mergeCell ref="A365:C365"/>
    <mergeCell ref="A370:B370"/>
    <mergeCell ref="A375:D375"/>
    <mergeCell ref="E375:F375"/>
    <mergeCell ref="G375:H375"/>
    <mergeCell ref="A376:D376"/>
    <mergeCell ref="E376:F376"/>
    <mergeCell ref="G376:H376"/>
    <mergeCell ref="A377:D377"/>
    <mergeCell ref="E377:F377"/>
    <mergeCell ref="G377:H377"/>
    <mergeCell ref="A324:C324"/>
    <mergeCell ref="A329:B329"/>
    <mergeCell ref="A334:D334"/>
    <mergeCell ref="E334:F334"/>
    <mergeCell ref="G334:H334"/>
    <mergeCell ref="A338:H338"/>
    <mergeCell ref="A339:H339"/>
    <mergeCell ref="A341:C341"/>
    <mergeCell ref="F341:I341"/>
    <mergeCell ref="B342:C342"/>
    <mergeCell ref="G342:I342"/>
    <mergeCell ref="B343:C343"/>
    <mergeCell ref="G343:I343"/>
    <mergeCell ref="B344:C344"/>
    <mergeCell ref="G344:I344"/>
    <mergeCell ref="A346:I346"/>
    <mergeCell ref="A347:I348"/>
    <mergeCell ref="A274:D274"/>
    <mergeCell ref="C275:D275"/>
    <mergeCell ref="A263:I263"/>
    <mergeCell ref="A264:I265"/>
    <mergeCell ref="A266:I266"/>
    <mergeCell ref="C267:C268"/>
    <mergeCell ref="D267:I267"/>
    <mergeCell ref="A270:E270"/>
    <mergeCell ref="C271:E271"/>
    <mergeCell ref="A308:I308"/>
    <mergeCell ref="C309:C310"/>
    <mergeCell ref="D309:I309"/>
    <mergeCell ref="A312:E312"/>
    <mergeCell ref="C313:E313"/>
    <mergeCell ref="A316:D316"/>
    <mergeCell ref="C317:D317"/>
    <mergeCell ref="A320:C320"/>
    <mergeCell ref="A292:D292"/>
    <mergeCell ref="E292:F292"/>
    <mergeCell ref="G292:H292"/>
    <mergeCell ref="A296:D296"/>
    <mergeCell ref="E296:F296"/>
    <mergeCell ref="G296:H296"/>
    <mergeCell ref="A297:H297"/>
    <mergeCell ref="A298:H298"/>
    <mergeCell ref="A300:C300"/>
    <mergeCell ref="F300:I300"/>
    <mergeCell ref="B301:C301"/>
    <mergeCell ref="G301:I301"/>
    <mergeCell ref="C276:D276"/>
    <mergeCell ref="A279:C279"/>
    <mergeCell ref="A283:C283"/>
    <mergeCell ref="A214:H214"/>
    <mergeCell ref="A215:H215"/>
    <mergeCell ref="A217:C217"/>
    <mergeCell ref="F217:I217"/>
    <mergeCell ref="B218:C218"/>
    <mergeCell ref="G218:I218"/>
    <mergeCell ref="B219:C219"/>
    <mergeCell ref="G219:I219"/>
    <mergeCell ref="B220:C220"/>
    <mergeCell ref="G220:I220"/>
    <mergeCell ref="A222:I222"/>
    <mergeCell ref="A223:I224"/>
    <mergeCell ref="A225:I225"/>
    <mergeCell ref="C226:C227"/>
    <mergeCell ref="D226:I226"/>
    <mergeCell ref="A229:E229"/>
    <mergeCell ref="C230:E230"/>
    <mergeCell ref="B176:C176"/>
    <mergeCell ref="G176:I176"/>
    <mergeCell ref="B177:C177"/>
    <mergeCell ref="G177:I177"/>
    <mergeCell ref="A179:I179"/>
    <mergeCell ref="A180:I181"/>
    <mergeCell ref="A182:I182"/>
    <mergeCell ref="C183:C184"/>
    <mergeCell ref="D183:I183"/>
    <mergeCell ref="A186:E186"/>
    <mergeCell ref="C187:E187"/>
    <mergeCell ref="A190:D190"/>
    <mergeCell ref="C191:D191"/>
    <mergeCell ref="A167:D167"/>
    <mergeCell ref="E167:F167"/>
    <mergeCell ref="G167:H167"/>
    <mergeCell ref="A168:D168"/>
    <mergeCell ref="E168:F168"/>
    <mergeCell ref="G168:H168"/>
    <mergeCell ref="A169:D169"/>
    <mergeCell ref="E169:F169"/>
    <mergeCell ref="G169:H169"/>
    <mergeCell ref="A170:D170"/>
    <mergeCell ref="E170:F170"/>
    <mergeCell ref="G170:H170"/>
    <mergeCell ref="A171:H171"/>
    <mergeCell ref="A172:H172"/>
    <mergeCell ref="A174:C174"/>
    <mergeCell ref="F174:I174"/>
    <mergeCell ref="B175:C175"/>
    <mergeCell ref="G175:I175"/>
    <mergeCell ref="A138:I139"/>
    <mergeCell ref="A141:I141"/>
    <mergeCell ref="C142:C143"/>
    <mergeCell ref="D142:I142"/>
    <mergeCell ref="A145:E145"/>
    <mergeCell ref="C146:E146"/>
    <mergeCell ref="A149:D149"/>
    <mergeCell ref="C150:D150"/>
    <mergeCell ref="A157:C157"/>
    <mergeCell ref="A162:B162"/>
    <mergeCell ref="A166:D166"/>
    <mergeCell ref="E166:F166"/>
    <mergeCell ref="G166:H166"/>
    <mergeCell ref="A127:D127"/>
    <mergeCell ref="E127:F127"/>
    <mergeCell ref="G127:H127"/>
    <mergeCell ref="A128:D128"/>
    <mergeCell ref="E128:F128"/>
    <mergeCell ref="G128:H128"/>
    <mergeCell ref="A129:H129"/>
    <mergeCell ref="A130:H130"/>
    <mergeCell ref="A132:C132"/>
    <mergeCell ref="F132:I132"/>
    <mergeCell ref="B133:C133"/>
    <mergeCell ref="G133:I133"/>
    <mergeCell ref="B134:C134"/>
    <mergeCell ref="G134:I134"/>
    <mergeCell ref="B135:C135"/>
    <mergeCell ref="G135:I135"/>
    <mergeCell ref="A137:I137"/>
    <mergeCell ref="A153:C153"/>
    <mergeCell ref="G126:H126"/>
    <mergeCell ref="A87:H87"/>
    <mergeCell ref="A88:H88"/>
    <mergeCell ref="A90:C90"/>
    <mergeCell ref="F90:I90"/>
    <mergeCell ref="B91:C91"/>
    <mergeCell ref="G91:I91"/>
    <mergeCell ref="B92:C92"/>
    <mergeCell ref="G92:I92"/>
    <mergeCell ref="B93:C93"/>
    <mergeCell ref="G93:I93"/>
    <mergeCell ref="A95:I95"/>
    <mergeCell ref="A96:I97"/>
    <mergeCell ref="A98:I98"/>
    <mergeCell ref="C99:C100"/>
    <mergeCell ref="D99:I99"/>
    <mergeCell ref="A102:E102"/>
    <mergeCell ref="C103:E103"/>
    <mergeCell ref="A30:C30"/>
    <mergeCell ref="I30:I31"/>
    <mergeCell ref="A34:C34"/>
    <mergeCell ref="A44:D44"/>
    <mergeCell ref="E44:F44"/>
    <mergeCell ref="G44:H44"/>
    <mergeCell ref="A45:D45"/>
    <mergeCell ref="E45:F45"/>
    <mergeCell ref="G45:H45"/>
    <mergeCell ref="A43:D43"/>
    <mergeCell ref="E43:F43"/>
    <mergeCell ref="G43:H43"/>
    <mergeCell ref="A19:E19"/>
    <mergeCell ref="A70:C70"/>
    <mergeCell ref="I70:I71"/>
    <mergeCell ref="A74:C74"/>
    <mergeCell ref="A82:D82"/>
    <mergeCell ref="E82:F82"/>
    <mergeCell ref="G82:H82"/>
    <mergeCell ref="C20:E20"/>
    <mergeCell ref="G53:I53"/>
    <mergeCell ref="A55:I55"/>
    <mergeCell ref="A56:I57"/>
    <mergeCell ref="C58:C59"/>
    <mergeCell ref="D58:I58"/>
    <mergeCell ref="C26:D26"/>
    <mergeCell ref="C27:D27"/>
    <mergeCell ref="A1189:C1189"/>
    <mergeCell ref="A699:C699"/>
    <mergeCell ref="C691:E691"/>
    <mergeCell ref="C692:E692"/>
    <mergeCell ref="A695:D695"/>
    <mergeCell ref="C696:D696"/>
    <mergeCell ref="A669:D669"/>
    <mergeCell ref="E669:F669"/>
    <mergeCell ref="G669:H669"/>
    <mergeCell ref="A670:D670"/>
    <mergeCell ref="E670:F670"/>
    <mergeCell ref="G670:H670"/>
    <mergeCell ref="A671:D671"/>
    <mergeCell ref="E671:F671"/>
    <mergeCell ref="G671:H671"/>
    <mergeCell ref="A672:D672"/>
    <mergeCell ref="E672:F672"/>
    <mergeCell ref="G672:H672"/>
    <mergeCell ref="A673:D673"/>
    <mergeCell ref="E673:F673"/>
    <mergeCell ref="G673:H673"/>
    <mergeCell ref="A682:I682"/>
    <mergeCell ref="A683:I684"/>
    <mergeCell ref="A685:I685"/>
    <mergeCell ref="C686:C687"/>
    <mergeCell ref="D686:I686"/>
    <mergeCell ref="A689:E689"/>
    <mergeCell ref="C690:E690"/>
    <mergeCell ref="A674:H674"/>
    <mergeCell ref="A1156:E1156"/>
    <mergeCell ref="C1157:E1157"/>
    <mergeCell ref="C1158:E1158"/>
    <mergeCell ref="C1203:E1203"/>
    <mergeCell ref="C1204:E1204"/>
    <mergeCell ref="C1205:E1205"/>
    <mergeCell ref="A1208:D1208"/>
    <mergeCell ref="A703:C703"/>
    <mergeCell ref="A709:B709"/>
    <mergeCell ref="A713:D713"/>
    <mergeCell ref="E713:F713"/>
    <mergeCell ref="A1362:C1362"/>
    <mergeCell ref="A1272:D1272"/>
    <mergeCell ref="E1272:F1272"/>
    <mergeCell ref="G1272:H1272"/>
    <mergeCell ref="A1273:D1273"/>
    <mergeCell ref="A546:D546"/>
    <mergeCell ref="E546:F546"/>
    <mergeCell ref="G546:H546"/>
    <mergeCell ref="A547:H547"/>
    <mergeCell ref="A548:H548"/>
    <mergeCell ref="A550:C550"/>
    <mergeCell ref="F550:I550"/>
    <mergeCell ref="B551:C551"/>
    <mergeCell ref="G551:I551"/>
    <mergeCell ref="B552:C552"/>
    <mergeCell ref="E1273:F1273"/>
    <mergeCell ref="G1273:H1273"/>
    <mergeCell ref="A1274:D1274"/>
    <mergeCell ref="E1274:F1274"/>
    <mergeCell ref="G1274:H1274"/>
    <mergeCell ref="A1228:D1228"/>
    <mergeCell ref="E1228:F1228"/>
    <mergeCell ref="G1228:H1228"/>
    <mergeCell ref="A1229:D1229"/>
    <mergeCell ref="C1210:D1210"/>
    <mergeCell ref="C1211:D1211"/>
    <mergeCell ref="A1182:D1182"/>
    <mergeCell ref="E1182:F1182"/>
    <mergeCell ref="G1182:H1182"/>
    <mergeCell ref="A1181:D1181"/>
    <mergeCell ref="E1181:F1181"/>
    <mergeCell ref="G1181:H1181"/>
    <mergeCell ref="A1183:D1183"/>
    <mergeCell ref="E1183:F1183"/>
    <mergeCell ref="G1183:H1183"/>
    <mergeCell ref="A1184:D1184"/>
    <mergeCell ref="E1184:F1184"/>
    <mergeCell ref="G1184:H1184"/>
    <mergeCell ref="A1185:D1185"/>
    <mergeCell ref="E1185:F1185"/>
    <mergeCell ref="G1185:H1185"/>
    <mergeCell ref="A1186:H1186"/>
    <mergeCell ref="A1187:H1187"/>
    <mergeCell ref="F1189:I1189"/>
    <mergeCell ref="B1190:C1190"/>
    <mergeCell ref="G1190:I1190"/>
    <mergeCell ref="B1191:C1191"/>
    <mergeCell ref="G1191:I1191"/>
    <mergeCell ref="B1192:C1192"/>
    <mergeCell ref="G1192:I1192"/>
    <mergeCell ref="A1194:I1194"/>
    <mergeCell ref="A1195:I1196"/>
    <mergeCell ref="A1198:I1198"/>
    <mergeCell ref="C1199:C1200"/>
    <mergeCell ref="D1199:I1199"/>
    <mergeCell ref="A1202:E1202"/>
    <mergeCell ref="C867:C868"/>
    <mergeCell ref="D867:I867"/>
    <mergeCell ref="A962:I963"/>
    <mergeCell ref="A965:I965"/>
    <mergeCell ref="C966:C967"/>
    <mergeCell ref="D966:I966"/>
    <mergeCell ref="A969:E969"/>
    <mergeCell ref="A1088:B1088"/>
    <mergeCell ref="A1092:D1092"/>
    <mergeCell ref="E1092:F1092"/>
    <mergeCell ref="G1092:H1092"/>
    <mergeCell ref="A1093:D1093"/>
    <mergeCell ref="E1093:F1093"/>
    <mergeCell ref="G1093:H1093"/>
    <mergeCell ref="C1074:D1074"/>
    <mergeCell ref="C1075:D1075"/>
    <mergeCell ref="A1078:C1078"/>
    <mergeCell ref="A1082:C1082"/>
    <mergeCell ref="A1031:C1031"/>
    <mergeCell ref="A1037:B1037"/>
    <mergeCell ref="C874:E874"/>
    <mergeCell ref="C875:E875"/>
    <mergeCell ref="C876:E876"/>
    <mergeCell ref="C877:E877"/>
    <mergeCell ref="C878:E878"/>
    <mergeCell ref="A881:D881"/>
    <mergeCell ref="C882:D882"/>
    <mergeCell ref="A901:B901"/>
    <mergeCell ref="A905:D905"/>
    <mergeCell ref="E905:F905"/>
    <mergeCell ref="G905:H905"/>
    <mergeCell ref="A906:D906"/>
    <mergeCell ref="G415:H415"/>
    <mergeCell ref="A417:D417"/>
    <mergeCell ref="E417:F417"/>
    <mergeCell ref="G417:H417"/>
    <mergeCell ref="A418:D418"/>
    <mergeCell ref="E418:F418"/>
    <mergeCell ref="G418:H418"/>
    <mergeCell ref="A419:D419"/>
    <mergeCell ref="E419:F419"/>
    <mergeCell ref="G419:H419"/>
    <mergeCell ref="A420:H420"/>
    <mergeCell ref="A421:H421"/>
    <mergeCell ref="A854:D854"/>
    <mergeCell ref="E854:F854"/>
    <mergeCell ref="G854:H854"/>
    <mergeCell ref="A855:H855"/>
    <mergeCell ref="A856:H856"/>
    <mergeCell ref="A440:D440"/>
    <mergeCell ref="C441:D441"/>
    <mergeCell ref="A444:C444"/>
    <mergeCell ref="A448:C448"/>
    <mergeCell ref="A456:D456"/>
    <mergeCell ref="E456:F456"/>
    <mergeCell ref="G456:H456"/>
    <mergeCell ref="A457:D457"/>
    <mergeCell ref="E457:F457"/>
    <mergeCell ref="G457:H457"/>
    <mergeCell ref="A458:D458"/>
    <mergeCell ref="E458:F458"/>
    <mergeCell ref="G458:H458"/>
    <mergeCell ref="A459:D459"/>
    <mergeCell ref="E459:F459"/>
    <mergeCell ref="A858:C858"/>
    <mergeCell ref="F858:I858"/>
    <mergeCell ref="B859:C859"/>
    <mergeCell ref="G859:I859"/>
    <mergeCell ref="A416:D416"/>
    <mergeCell ref="E416:F416"/>
    <mergeCell ref="G416:H416"/>
    <mergeCell ref="A523:D523"/>
    <mergeCell ref="C524:D524"/>
    <mergeCell ref="C525:D525"/>
    <mergeCell ref="C526:D526"/>
    <mergeCell ref="C527:D527"/>
    <mergeCell ref="A534:C534"/>
    <mergeCell ref="G385:I385"/>
    <mergeCell ref="A387:I387"/>
    <mergeCell ref="C400:D400"/>
    <mergeCell ref="A403:C403"/>
    <mergeCell ref="A407:C407"/>
    <mergeCell ref="A769:I770"/>
    <mergeCell ref="A415:D415"/>
    <mergeCell ref="E415:F415"/>
    <mergeCell ref="C651:D651"/>
    <mergeCell ref="C652:D652"/>
    <mergeCell ref="C653:D653"/>
    <mergeCell ref="C654:D654"/>
    <mergeCell ref="C738:D738"/>
    <mergeCell ref="C739:D739"/>
    <mergeCell ref="A432:I432"/>
    <mergeCell ref="C433:C434"/>
    <mergeCell ref="D433:I433"/>
    <mergeCell ref="A436:E436"/>
    <mergeCell ref="C437:E437"/>
    <mergeCell ref="C1:I1"/>
    <mergeCell ref="C24:D24"/>
    <mergeCell ref="C25:D25"/>
    <mergeCell ref="A14:B14"/>
    <mergeCell ref="C14:I14"/>
    <mergeCell ref="A9:B9"/>
    <mergeCell ref="G9:I9"/>
    <mergeCell ref="A10:B10"/>
    <mergeCell ref="D12:I12"/>
    <mergeCell ref="D13:I13"/>
    <mergeCell ref="C16:C17"/>
    <mergeCell ref="D16:I16"/>
    <mergeCell ref="A2:B5"/>
    <mergeCell ref="D2:I2"/>
    <mergeCell ref="D4:I4"/>
    <mergeCell ref="A7:B7"/>
    <mergeCell ref="D9:F9"/>
    <mergeCell ref="D5:I5"/>
    <mergeCell ref="D3:I3"/>
    <mergeCell ref="A13:B13"/>
    <mergeCell ref="D10:I10"/>
    <mergeCell ref="A11:B11"/>
    <mergeCell ref="A12:B12"/>
    <mergeCell ref="D11:I11"/>
    <mergeCell ref="C2:C3"/>
    <mergeCell ref="G7:I7"/>
    <mergeCell ref="D7:F7"/>
    <mergeCell ref="I19:I20"/>
    <mergeCell ref="A23:D23"/>
    <mergeCell ref="I23:I27"/>
    <mergeCell ref="A205:B205"/>
    <mergeCell ref="A233:D233"/>
    <mergeCell ref="C234:D234"/>
    <mergeCell ref="A237:C237"/>
    <mergeCell ref="A241:C241"/>
    <mergeCell ref="A246:B246"/>
    <mergeCell ref="A250:D250"/>
    <mergeCell ref="E250:F250"/>
    <mergeCell ref="G250:H250"/>
    <mergeCell ref="A251:D251"/>
    <mergeCell ref="E251:F251"/>
    <mergeCell ref="G251:H251"/>
    <mergeCell ref="A61:E61"/>
    <mergeCell ref="I61:I63"/>
    <mergeCell ref="C62:E62"/>
    <mergeCell ref="C63:E63"/>
    <mergeCell ref="A66:D66"/>
    <mergeCell ref="I66:I67"/>
    <mergeCell ref="C67:D67"/>
    <mergeCell ref="A107:D107"/>
    <mergeCell ref="C108:D108"/>
    <mergeCell ref="A111:C111"/>
    <mergeCell ref="A115:C115"/>
    <mergeCell ref="A120:B120"/>
    <mergeCell ref="A124:D124"/>
    <mergeCell ref="E124:F124"/>
    <mergeCell ref="G124:H124"/>
    <mergeCell ref="A125:D125"/>
    <mergeCell ref="E125:F125"/>
    <mergeCell ref="G125:H125"/>
    <mergeCell ref="A126:D126"/>
    <mergeCell ref="E126:F126"/>
    <mergeCell ref="E252:F252"/>
    <mergeCell ref="G252:H252"/>
    <mergeCell ref="A42:D42"/>
    <mergeCell ref="E42:F42"/>
    <mergeCell ref="G42:H42"/>
    <mergeCell ref="A46:D46"/>
    <mergeCell ref="E46:F46"/>
    <mergeCell ref="G46:H46"/>
    <mergeCell ref="A47:H47"/>
    <mergeCell ref="A48:H48"/>
    <mergeCell ref="A50:C50"/>
    <mergeCell ref="F50:I50"/>
    <mergeCell ref="B51:C51"/>
    <mergeCell ref="G51:I51"/>
    <mergeCell ref="B52:C52"/>
    <mergeCell ref="G52:I52"/>
    <mergeCell ref="B53:C53"/>
    <mergeCell ref="A194:C194"/>
    <mergeCell ref="A200:C200"/>
    <mergeCell ref="A83:D83"/>
    <mergeCell ref="E83:F83"/>
    <mergeCell ref="G83:H83"/>
    <mergeCell ref="A84:D84"/>
    <mergeCell ref="E84:F84"/>
    <mergeCell ref="G84:H84"/>
    <mergeCell ref="A85:D85"/>
    <mergeCell ref="E85:F85"/>
    <mergeCell ref="G85:H85"/>
    <mergeCell ref="A86:D86"/>
    <mergeCell ref="E86:F86"/>
    <mergeCell ref="G86:H86"/>
    <mergeCell ref="C104:E104"/>
    <mergeCell ref="A253:D253"/>
    <mergeCell ref="E253:F253"/>
    <mergeCell ref="G253:H253"/>
    <mergeCell ref="A254:D254"/>
    <mergeCell ref="E254:F254"/>
    <mergeCell ref="G254:H254"/>
    <mergeCell ref="A255:H255"/>
    <mergeCell ref="A256:H256"/>
    <mergeCell ref="A258:C258"/>
    <mergeCell ref="F258:I258"/>
    <mergeCell ref="B259:C259"/>
    <mergeCell ref="G259:I259"/>
    <mergeCell ref="B260:C260"/>
    <mergeCell ref="G260:I260"/>
    <mergeCell ref="B261:C261"/>
    <mergeCell ref="G261:I261"/>
    <mergeCell ref="A209:D209"/>
    <mergeCell ref="E209:F209"/>
    <mergeCell ref="G209:H209"/>
    <mergeCell ref="A210:D210"/>
    <mergeCell ref="E210:F210"/>
    <mergeCell ref="G210:H210"/>
    <mergeCell ref="A211:D211"/>
    <mergeCell ref="E211:F211"/>
    <mergeCell ref="G211:H211"/>
    <mergeCell ref="A212:D212"/>
    <mergeCell ref="E212:F212"/>
    <mergeCell ref="G212:H212"/>
    <mergeCell ref="A213:D213"/>
    <mergeCell ref="E213:F213"/>
    <mergeCell ref="G213:H213"/>
    <mergeCell ref="A252:D252"/>
    <mergeCell ref="A288:B288"/>
    <mergeCell ref="A293:D293"/>
    <mergeCell ref="E293:F293"/>
    <mergeCell ref="G293:H293"/>
    <mergeCell ref="A294:D294"/>
    <mergeCell ref="E294:F294"/>
    <mergeCell ref="G294:H294"/>
    <mergeCell ref="A295:D295"/>
    <mergeCell ref="E295:F295"/>
    <mergeCell ref="G295:H295"/>
    <mergeCell ref="E1478:F1478"/>
    <mergeCell ref="G1478:H1478"/>
    <mergeCell ref="A1479:H1479"/>
    <mergeCell ref="A1480:H1480"/>
    <mergeCell ref="B302:C302"/>
    <mergeCell ref="G302:I302"/>
    <mergeCell ref="B303:C303"/>
    <mergeCell ref="G303:I303"/>
    <mergeCell ref="A305:I305"/>
    <mergeCell ref="A306:I307"/>
    <mergeCell ref="A335:D335"/>
    <mergeCell ref="E335:F335"/>
    <mergeCell ref="G335:H335"/>
    <mergeCell ref="A336:D336"/>
    <mergeCell ref="E336:F336"/>
    <mergeCell ref="G336:H336"/>
    <mergeCell ref="A337:D337"/>
    <mergeCell ref="E337:F337"/>
    <mergeCell ref="G337:H337"/>
    <mergeCell ref="A333:D333"/>
    <mergeCell ref="E333:F333"/>
    <mergeCell ref="G333:H333"/>
    <mergeCell ref="C1209:D1209"/>
    <mergeCell ref="A1620:C1620"/>
    <mergeCell ref="A1626:B1626"/>
    <mergeCell ref="A1630:D1630"/>
    <mergeCell ref="E1630:F1630"/>
    <mergeCell ref="G1630:H1630"/>
    <mergeCell ref="A1631:D1631"/>
    <mergeCell ref="E1631:F1631"/>
    <mergeCell ref="G1631:H1631"/>
    <mergeCell ref="B860:C860"/>
    <mergeCell ref="G860:I860"/>
    <mergeCell ref="B861:C861"/>
    <mergeCell ref="G861:I861"/>
    <mergeCell ref="A863:I863"/>
    <mergeCell ref="C970:E970"/>
    <mergeCell ref="C971:E971"/>
    <mergeCell ref="C972:E972"/>
    <mergeCell ref="C973:E973"/>
    <mergeCell ref="A976:D976"/>
    <mergeCell ref="A870:E870"/>
    <mergeCell ref="C871:E871"/>
    <mergeCell ref="C872:E872"/>
    <mergeCell ref="C873:E873"/>
    <mergeCell ref="C1159:E1159"/>
    <mergeCell ref="A1162:D1162"/>
    <mergeCell ref="C1163:D1163"/>
    <mergeCell ref="C1164:D1164"/>
    <mergeCell ref="C1165:D1165"/>
    <mergeCell ref="A1168:C1168"/>
    <mergeCell ref="A1173:C1173"/>
    <mergeCell ref="A864:I865"/>
    <mergeCell ref="A866:I866"/>
    <mergeCell ref="A1632:D1632"/>
    <mergeCell ref="E1632:F1632"/>
    <mergeCell ref="G1632:H1632"/>
    <mergeCell ref="E1680:F1680"/>
    <mergeCell ref="G1680:H1680"/>
    <mergeCell ref="A1681:D1681"/>
    <mergeCell ref="E1681:F1681"/>
    <mergeCell ref="G1681:H1681"/>
    <mergeCell ref="A1682:D1682"/>
    <mergeCell ref="E1682:F1682"/>
    <mergeCell ref="G1682:H1682"/>
    <mergeCell ref="A1633:D1633"/>
    <mergeCell ref="E1633:F1633"/>
    <mergeCell ref="G1633:H1633"/>
    <mergeCell ref="A1634:D1634"/>
    <mergeCell ref="E1634:F1634"/>
    <mergeCell ref="G1634:H1634"/>
    <mergeCell ref="A1635:H1635"/>
    <mergeCell ref="A1636:H1636"/>
    <mergeCell ref="A1638:C1638"/>
    <mergeCell ref="C1658:D1658"/>
    <mergeCell ref="C1659:D1659"/>
    <mergeCell ref="C1660:D1660"/>
    <mergeCell ref="C1661:D1661"/>
    <mergeCell ref="F464:I464"/>
    <mergeCell ref="B465:C465"/>
    <mergeCell ref="G465:I465"/>
    <mergeCell ref="B466:C466"/>
    <mergeCell ref="G466:I466"/>
    <mergeCell ref="B467:C467"/>
    <mergeCell ref="G467:I467"/>
    <mergeCell ref="A469:I469"/>
    <mergeCell ref="A470:I471"/>
    <mergeCell ref="A473:I473"/>
    <mergeCell ref="C474:C475"/>
    <mergeCell ref="D474:I474"/>
    <mergeCell ref="A477:E477"/>
    <mergeCell ref="C478:E478"/>
    <mergeCell ref="A481:D481"/>
    <mergeCell ref="C482:D482"/>
    <mergeCell ref="A485:C485"/>
    <mergeCell ref="A503:H503"/>
    <mergeCell ref="A505:C505"/>
    <mergeCell ref="F505:I505"/>
    <mergeCell ref="B506:C506"/>
    <mergeCell ref="G506:I506"/>
    <mergeCell ref="B507:C507"/>
    <mergeCell ref="G507:I507"/>
    <mergeCell ref="B508:C508"/>
    <mergeCell ref="G508:I508"/>
    <mergeCell ref="A510:I510"/>
    <mergeCell ref="A511:I512"/>
    <mergeCell ref="A489:C489"/>
    <mergeCell ref="A497:D497"/>
    <mergeCell ref="E497:F497"/>
    <mergeCell ref="G497:H497"/>
    <mergeCell ref="A498:D498"/>
    <mergeCell ref="E498:F498"/>
    <mergeCell ref="G498:H498"/>
    <mergeCell ref="A499:D499"/>
    <mergeCell ref="E499:F499"/>
    <mergeCell ref="G499:H499"/>
    <mergeCell ref="A500:D500"/>
    <mergeCell ref="E500:F500"/>
    <mergeCell ref="G500:H500"/>
    <mergeCell ref="A501:D501"/>
    <mergeCell ref="E501:F501"/>
    <mergeCell ref="G501:H501"/>
    <mergeCell ref="A502:H502"/>
  </mergeCells>
  <phoneticPr fontId="25" type="noConversion"/>
  <hyperlinks>
    <hyperlink ref="B59" location="'ESPECIFICACION NORMA'!B37" display="201.3-13" xr:uid="{00000000-0004-0000-0C00-000000000000}"/>
    <hyperlink ref="B17" location="'ESPECIFICACION NORMA'!B16" display="PAR_01" xr:uid="{00000000-0004-0000-0C00-000001000000}"/>
  </hyperlinks>
  <printOptions horizontalCentered="1"/>
  <pageMargins left="0.27559055118110237" right="0.19685039370078741" top="0.59055118110236227" bottom="0.6692913385826772" header="0.43307086614173229" footer="0.55118110236220474"/>
  <pageSetup scale="71" orientation="portrait" r:id="rId1"/>
  <rowBreaks count="30" manualBreakCount="30">
    <brk id="57" max="10" man="1"/>
    <brk id="97" max="10" man="1"/>
    <brk id="139" max="10" man="1"/>
    <brk id="181" max="10" man="1"/>
    <brk id="224" max="10" man="1"/>
    <brk id="261" max="16383" man="1"/>
    <brk id="303" max="16383" man="1"/>
    <brk id="344" max="16383" man="1"/>
    <brk id="385" max="16383" man="1"/>
    <brk id="426" max="16383" man="1"/>
    <brk id="552" max="10" man="1"/>
    <brk id="599" max="10" man="1"/>
    <brk id="633" max="10" man="1"/>
    <brk id="684" max="10" man="1"/>
    <brk id="721" max="10" man="1"/>
    <brk id="768" max="10" man="1"/>
    <brk id="813" max="16383" man="1"/>
    <brk id="857" max="16383" man="1"/>
    <brk id="903" max="10" man="1"/>
    <brk id="948" max="10" man="1"/>
    <brk id="999" max="10" man="1"/>
    <brk id="1041" max="10" man="1"/>
    <brk id="1094" max="10" man="1"/>
    <brk id="1139" max="10" man="1"/>
    <brk id="1193" max="10" man="1"/>
    <brk id="1234" max="10" man="1"/>
    <brk id="1277" max="10" man="1"/>
    <brk id="1330" max="10" man="1"/>
    <brk id="1379" max="16383" man="1"/>
    <brk id="1430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1"/>
  <sheetViews>
    <sheetView showGridLines="0" view="pageBreakPreview" zoomScaleNormal="100" zoomScaleSheetLayoutView="100" workbookViewId="0">
      <selection activeCell="D37" sqref="D37"/>
    </sheetView>
  </sheetViews>
  <sheetFormatPr baseColWidth="10" defaultRowHeight="14.4" x14ac:dyDescent="0.3"/>
  <cols>
    <col min="1" max="1" width="12" customWidth="1"/>
    <col min="2" max="2" width="11.33203125" customWidth="1"/>
    <col min="3" max="3" width="31.44140625" customWidth="1"/>
    <col min="4" max="4" width="19.6640625" customWidth="1"/>
    <col min="5" max="5" width="18" customWidth="1"/>
    <col min="6" max="6" width="11.109375" hidden="1" customWidth="1"/>
    <col min="7" max="7" width="11.5546875" hidden="1" customWidth="1"/>
    <col min="8" max="8" width="21.44140625" hidden="1" customWidth="1"/>
    <col min="9" max="9" width="14" style="5" hidden="1" customWidth="1"/>
    <col min="10" max="10" width="0" hidden="1" customWidth="1"/>
  </cols>
  <sheetData>
    <row r="1" spans="1:9" ht="34.5" customHeight="1" x14ac:dyDescent="0.3">
      <c r="A1" s="9"/>
      <c r="B1" s="9"/>
      <c r="C1" s="692"/>
      <c r="D1" s="692"/>
      <c r="E1" s="692"/>
      <c r="F1" s="692"/>
      <c r="G1" s="692"/>
    </row>
    <row r="2" spans="1:9" ht="12.75" customHeight="1" x14ac:dyDescent="0.3">
      <c r="A2" s="902"/>
      <c r="D2" s="935" t="s">
        <v>60</v>
      </c>
      <c r="E2" s="935"/>
      <c r="F2" s="26"/>
    </row>
    <row r="3" spans="1:9" ht="12.75" customHeight="1" x14ac:dyDescent="0.3">
      <c r="A3" s="902"/>
      <c r="D3" s="935" t="s">
        <v>61</v>
      </c>
      <c r="E3" s="935"/>
      <c r="F3" s="19"/>
    </row>
    <row r="4" spans="1:9" ht="12.75" customHeight="1" x14ac:dyDescent="0.3">
      <c r="A4" s="902"/>
      <c r="C4" s="277" t="s">
        <v>281</v>
      </c>
      <c r="D4" s="935" t="s">
        <v>1061</v>
      </c>
      <c r="E4" s="935"/>
      <c r="F4" s="19"/>
    </row>
    <row r="5" spans="1:9" ht="12.75" customHeight="1" x14ac:dyDescent="0.3">
      <c r="A5" s="902"/>
      <c r="C5" s="277" t="s">
        <v>280</v>
      </c>
      <c r="D5" s="936" t="s">
        <v>1062</v>
      </c>
      <c r="E5" s="936"/>
      <c r="F5" s="19"/>
    </row>
    <row r="6" spans="1:9" ht="10.5" customHeight="1" x14ac:dyDescent="0.3">
      <c r="A6" s="934"/>
      <c r="B6" s="1"/>
    </row>
    <row r="7" spans="1:9" x14ac:dyDescent="0.3">
      <c r="A7" s="11" t="s">
        <v>21</v>
      </c>
      <c r="B7" s="11" t="str">
        <f>+D4</f>
        <v>DISTRITO DE TURBO</v>
      </c>
      <c r="C7" s="11" t="s">
        <v>22</v>
      </c>
      <c r="D7" s="807" t="str">
        <f>+D3</f>
        <v>DEPARTAMENTO DE ANTIOQUIA</v>
      </c>
      <c r="E7" s="809"/>
      <c r="G7" s="37"/>
    </row>
    <row r="8" spans="1:9" ht="9" customHeight="1" x14ac:dyDescent="0.3">
      <c r="A8" s="2"/>
      <c r="B8" s="2"/>
      <c r="C8" s="2"/>
      <c r="D8" s="3"/>
      <c r="E8" s="3"/>
      <c r="F8" s="3"/>
      <c r="G8" s="3"/>
    </row>
    <row r="9" spans="1:9" ht="12" customHeight="1" x14ac:dyDescent="0.3">
      <c r="A9" s="8" t="s">
        <v>20</v>
      </c>
      <c r="B9" s="11" t="s">
        <v>72</v>
      </c>
      <c r="C9" s="11" t="s">
        <v>16</v>
      </c>
      <c r="D9" s="20" t="s">
        <v>10</v>
      </c>
      <c r="E9" s="22">
        <f>'AJUSTE PRESUPUESTO'!H9</f>
        <v>45152</v>
      </c>
      <c r="F9" s="40"/>
      <c r="G9" s="36"/>
    </row>
    <row r="10" spans="1:9" ht="12" customHeight="1" x14ac:dyDescent="0.3">
      <c r="A10" s="8" t="s">
        <v>8</v>
      </c>
      <c r="B10" s="10" t="s">
        <v>64</v>
      </c>
      <c r="C10" s="655" t="s">
        <v>1061</v>
      </c>
      <c r="D10" s="655"/>
      <c r="E10" s="655"/>
      <c r="F10" s="655"/>
      <c r="G10" s="655"/>
    </row>
    <row r="11" spans="1:9" ht="12" customHeight="1" x14ac:dyDescent="0.3">
      <c r="A11" s="8" t="s">
        <v>7</v>
      </c>
      <c r="B11" s="10" t="s">
        <v>63</v>
      </c>
      <c r="C11" s="655" t="s">
        <v>1117</v>
      </c>
      <c r="D11" s="655"/>
      <c r="E11" s="655"/>
      <c r="F11" s="655"/>
      <c r="G11" s="655"/>
    </row>
    <row r="12" spans="1:9" ht="19.95" customHeight="1" x14ac:dyDescent="0.3">
      <c r="A12" s="8" t="s">
        <v>9</v>
      </c>
      <c r="B12" s="10" t="s">
        <v>62</v>
      </c>
      <c r="C12" s="655" t="s">
        <v>1035</v>
      </c>
      <c r="D12" s="655"/>
      <c r="E12" s="655"/>
      <c r="F12" s="655"/>
      <c r="G12" s="655"/>
    </row>
    <row r="13" spans="1:9" ht="12" customHeight="1" x14ac:dyDescent="0.3">
      <c r="A13" s="8" t="s">
        <v>66</v>
      </c>
      <c r="B13" s="10" t="s">
        <v>65</v>
      </c>
      <c r="C13" s="655" t="s">
        <v>67</v>
      </c>
      <c r="D13" s="655"/>
      <c r="E13" s="655"/>
      <c r="F13" s="655"/>
      <c r="G13" s="655"/>
    </row>
    <row r="15" spans="1:9" s="5" customFormat="1" x14ac:dyDescent="0.3">
      <c r="A15" s="192" t="s">
        <v>72</v>
      </c>
      <c r="B15" s="192" t="s">
        <v>75</v>
      </c>
      <c r="C15" s="360" t="s">
        <v>35</v>
      </c>
      <c r="D15" s="192" t="s">
        <v>12</v>
      </c>
      <c r="E15" s="193" t="s">
        <v>120</v>
      </c>
      <c r="F15" s="192" t="s">
        <v>121</v>
      </c>
      <c r="G15" s="192" t="s">
        <v>38</v>
      </c>
    </row>
    <row r="16" spans="1:9" s="68" customFormat="1" ht="10.199999999999999" x14ac:dyDescent="0.2">
      <c r="A16" s="278" t="s">
        <v>522</v>
      </c>
      <c r="B16" s="358" t="s">
        <v>41</v>
      </c>
      <c r="C16" s="361" t="s">
        <v>1265</v>
      </c>
      <c r="D16" s="359" t="s">
        <v>108</v>
      </c>
      <c r="E16" s="194">
        <v>12500</v>
      </c>
      <c r="F16" s="278"/>
      <c r="G16" s="279">
        <f>+F16*E16</f>
        <v>0</v>
      </c>
      <c r="H16" s="14">
        <v>17900</v>
      </c>
      <c r="I16" s="280">
        <f>+H16-E16</f>
        <v>5400</v>
      </c>
    </row>
    <row r="17" spans="1:14" s="68" customFormat="1" ht="10.199999999999999" x14ac:dyDescent="0.2">
      <c r="A17" s="278" t="s">
        <v>522</v>
      </c>
      <c r="B17" s="358" t="s">
        <v>134</v>
      </c>
      <c r="C17" s="362" t="s">
        <v>1266</v>
      </c>
      <c r="D17" s="359" t="s">
        <v>124</v>
      </c>
      <c r="E17" s="194">
        <v>2750</v>
      </c>
      <c r="F17" s="278"/>
      <c r="G17" s="279">
        <f t="shared" ref="G17:G49" si="0">+F17*E17</f>
        <v>0</v>
      </c>
      <c r="H17" s="14"/>
      <c r="I17" s="280"/>
    </row>
    <row r="18" spans="1:14" s="68" customFormat="1" ht="10.199999999999999" x14ac:dyDescent="0.2">
      <c r="A18" s="278" t="s">
        <v>522</v>
      </c>
      <c r="B18" s="358" t="s">
        <v>135</v>
      </c>
      <c r="C18" s="362" t="s">
        <v>1267</v>
      </c>
      <c r="D18" s="359" t="s">
        <v>1280</v>
      </c>
      <c r="E18" s="194">
        <v>40000</v>
      </c>
      <c r="F18" s="278"/>
      <c r="G18" s="279">
        <f t="shared" si="0"/>
        <v>0</v>
      </c>
      <c r="H18" s="14"/>
      <c r="I18" s="280"/>
    </row>
    <row r="19" spans="1:14" s="68" customFormat="1" ht="10.199999999999999" x14ac:dyDescent="0.2">
      <c r="A19" s="278" t="s">
        <v>522</v>
      </c>
      <c r="B19" s="358" t="s">
        <v>136</v>
      </c>
      <c r="C19" s="362" t="s">
        <v>1268</v>
      </c>
      <c r="D19" s="359" t="s">
        <v>123</v>
      </c>
      <c r="E19" s="194">
        <v>3500</v>
      </c>
      <c r="F19" s="278"/>
      <c r="G19" s="279">
        <f t="shared" si="0"/>
        <v>0</v>
      </c>
      <c r="H19" s="14">
        <v>1300</v>
      </c>
      <c r="I19" s="280">
        <f t="shared" ref="I19:I43" si="1">+H19-E19</f>
        <v>-2200</v>
      </c>
    </row>
    <row r="20" spans="1:14" s="68" customFormat="1" ht="10.199999999999999" x14ac:dyDescent="0.2">
      <c r="A20" s="278" t="s">
        <v>522</v>
      </c>
      <c r="B20" s="358" t="s">
        <v>137</v>
      </c>
      <c r="C20" s="362" t="s">
        <v>1281</v>
      </c>
      <c r="D20" s="359" t="s">
        <v>126</v>
      </c>
      <c r="E20" s="194">
        <v>10500</v>
      </c>
      <c r="F20" s="278"/>
      <c r="G20" s="279">
        <f t="shared" si="0"/>
        <v>0</v>
      </c>
      <c r="H20" s="14">
        <v>40000</v>
      </c>
      <c r="I20" s="280">
        <f t="shared" si="1"/>
        <v>29500</v>
      </c>
    </row>
    <row r="21" spans="1:14" s="68" customFormat="1" ht="10.199999999999999" x14ac:dyDescent="0.2">
      <c r="A21" s="278" t="s">
        <v>522</v>
      </c>
      <c r="B21" s="358" t="s">
        <v>138</v>
      </c>
      <c r="C21" s="362" t="s">
        <v>1269</v>
      </c>
      <c r="D21" s="359" t="s">
        <v>127</v>
      </c>
      <c r="E21" s="194">
        <v>4100</v>
      </c>
      <c r="F21" s="278"/>
      <c r="G21" s="279">
        <f t="shared" si="0"/>
        <v>0</v>
      </c>
      <c r="H21" s="14">
        <v>2950</v>
      </c>
      <c r="I21" s="280">
        <f t="shared" si="1"/>
        <v>-1150</v>
      </c>
    </row>
    <row r="22" spans="1:14" s="68" customFormat="1" ht="10.199999999999999" x14ac:dyDescent="0.2">
      <c r="A22" s="278" t="s">
        <v>522</v>
      </c>
      <c r="B22" s="358" t="s">
        <v>139</v>
      </c>
      <c r="C22" s="362" t="s">
        <v>1282</v>
      </c>
      <c r="D22" s="359" t="s">
        <v>127</v>
      </c>
      <c r="E22" s="194">
        <v>3500</v>
      </c>
      <c r="F22" s="278"/>
      <c r="G22" s="279">
        <f t="shared" si="0"/>
        <v>0</v>
      </c>
      <c r="H22" s="14">
        <v>5600</v>
      </c>
      <c r="I22" s="280">
        <f t="shared" si="1"/>
        <v>2100</v>
      </c>
    </row>
    <row r="23" spans="1:14" s="282" customFormat="1" ht="10.199999999999999" x14ac:dyDescent="0.2">
      <c r="A23" s="278" t="s">
        <v>522</v>
      </c>
      <c r="B23" s="358" t="s">
        <v>140</v>
      </c>
      <c r="C23" s="362" t="s">
        <v>1283</v>
      </c>
      <c r="D23" s="359" t="s">
        <v>127</v>
      </c>
      <c r="E23" s="194">
        <v>2300</v>
      </c>
      <c r="F23" s="278"/>
      <c r="G23" s="279">
        <f t="shared" si="0"/>
        <v>0</v>
      </c>
      <c r="H23" s="179">
        <v>3600</v>
      </c>
      <c r="I23" s="281">
        <f t="shared" si="1"/>
        <v>1300</v>
      </c>
    </row>
    <row r="24" spans="1:14" s="282" customFormat="1" ht="10.199999999999999" x14ac:dyDescent="0.2">
      <c r="A24" s="278" t="s">
        <v>522</v>
      </c>
      <c r="B24" s="358" t="s">
        <v>141</v>
      </c>
      <c r="C24" s="362" t="s">
        <v>1284</v>
      </c>
      <c r="D24" s="359" t="s">
        <v>123</v>
      </c>
      <c r="E24" s="194">
        <v>7500</v>
      </c>
      <c r="F24" s="278"/>
      <c r="G24" s="279">
        <f t="shared" si="0"/>
        <v>0</v>
      </c>
      <c r="H24" s="179">
        <v>4950</v>
      </c>
      <c r="I24" s="281">
        <f t="shared" si="1"/>
        <v>-2550</v>
      </c>
    </row>
    <row r="25" spans="1:14" s="68" customFormat="1" ht="10.199999999999999" x14ac:dyDescent="0.2">
      <c r="A25" s="278" t="s">
        <v>522</v>
      </c>
      <c r="B25" s="358" t="s">
        <v>524</v>
      </c>
      <c r="C25" s="362" t="s">
        <v>1270</v>
      </c>
      <c r="D25" s="359" t="s">
        <v>105</v>
      </c>
      <c r="E25" s="194">
        <v>100000</v>
      </c>
      <c r="F25" s="278"/>
      <c r="G25" s="279">
        <f t="shared" si="0"/>
        <v>0</v>
      </c>
      <c r="H25" s="14">
        <v>5440</v>
      </c>
      <c r="I25" s="280">
        <f t="shared" si="1"/>
        <v>-94560</v>
      </c>
    </row>
    <row r="26" spans="1:14" s="68" customFormat="1" ht="10.199999999999999" x14ac:dyDescent="0.2">
      <c r="A26" s="278" t="s">
        <v>522</v>
      </c>
      <c r="B26" s="358" t="s">
        <v>142</v>
      </c>
      <c r="C26" s="362" t="s">
        <v>1271</v>
      </c>
      <c r="D26" s="359" t="s">
        <v>108</v>
      </c>
      <c r="E26" s="194">
        <v>21650</v>
      </c>
      <c r="F26" s="278"/>
      <c r="G26" s="279">
        <f t="shared" si="0"/>
        <v>0</v>
      </c>
      <c r="H26" s="14">
        <v>86000</v>
      </c>
      <c r="I26" s="280">
        <f t="shared" si="1"/>
        <v>64350</v>
      </c>
    </row>
    <row r="27" spans="1:14" s="68" customFormat="1" ht="10.199999999999999" x14ac:dyDescent="0.2">
      <c r="A27" s="278" t="s">
        <v>522</v>
      </c>
      <c r="B27" s="358" t="s">
        <v>40</v>
      </c>
      <c r="C27" s="362" t="s">
        <v>1285</v>
      </c>
      <c r="D27" s="359" t="s">
        <v>107</v>
      </c>
      <c r="E27" s="194">
        <v>700000</v>
      </c>
      <c r="F27" s="278"/>
      <c r="G27" s="279">
        <f t="shared" si="0"/>
        <v>0</v>
      </c>
      <c r="I27" s="44"/>
      <c r="J27" s="283"/>
      <c r="K27" s="283"/>
      <c r="L27" s="283"/>
      <c r="M27" s="64"/>
      <c r="N27" s="63"/>
    </row>
    <row r="28" spans="1:14" s="68" customFormat="1" ht="10.199999999999999" x14ac:dyDescent="0.2">
      <c r="A28" s="278" t="s">
        <v>522</v>
      </c>
      <c r="B28" s="358" t="s">
        <v>143</v>
      </c>
      <c r="C28" s="362" t="s">
        <v>1286</v>
      </c>
      <c r="D28" s="359" t="s">
        <v>107</v>
      </c>
      <c r="E28" s="194">
        <v>700000</v>
      </c>
      <c r="F28" s="278"/>
      <c r="G28" s="279">
        <f t="shared" si="0"/>
        <v>0</v>
      </c>
      <c r="H28" s="14">
        <v>15000</v>
      </c>
      <c r="I28" s="280">
        <f t="shared" si="1"/>
        <v>-685000</v>
      </c>
    </row>
    <row r="29" spans="1:14" s="68" customFormat="1" ht="10.199999999999999" x14ac:dyDescent="0.2">
      <c r="A29" s="278" t="s">
        <v>522</v>
      </c>
      <c r="B29" s="358" t="s">
        <v>144</v>
      </c>
      <c r="C29" s="362" t="s">
        <v>1272</v>
      </c>
      <c r="D29" s="359" t="s">
        <v>26</v>
      </c>
      <c r="E29" s="194">
        <v>8500</v>
      </c>
      <c r="F29" s="278"/>
      <c r="G29" s="279">
        <f t="shared" si="0"/>
        <v>0</v>
      </c>
      <c r="H29" s="14">
        <v>7500</v>
      </c>
      <c r="I29" s="280">
        <f t="shared" si="1"/>
        <v>-1000</v>
      </c>
    </row>
    <row r="30" spans="1:14" s="68" customFormat="1" ht="10.199999999999999" x14ac:dyDescent="0.2">
      <c r="A30" s="278" t="s">
        <v>522</v>
      </c>
      <c r="B30" s="358" t="s">
        <v>145</v>
      </c>
      <c r="C30" s="362" t="s">
        <v>1287</v>
      </c>
      <c r="D30" s="359" t="s">
        <v>436</v>
      </c>
      <c r="E30" s="194">
        <v>290000</v>
      </c>
      <c r="F30" s="284"/>
      <c r="G30" s="279">
        <f t="shared" si="0"/>
        <v>0</v>
      </c>
      <c r="H30" s="14">
        <v>150000</v>
      </c>
      <c r="I30" s="280">
        <f t="shared" si="1"/>
        <v>-140000</v>
      </c>
    </row>
    <row r="31" spans="1:14" s="68" customFormat="1" ht="10.199999999999999" x14ac:dyDescent="0.2">
      <c r="A31" s="278" t="s">
        <v>522</v>
      </c>
      <c r="B31" s="358" t="s">
        <v>146</v>
      </c>
      <c r="C31" s="362" t="s">
        <v>1288</v>
      </c>
      <c r="D31" s="359" t="s">
        <v>105</v>
      </c>
      <c r="E31" s="194">
        <v>210000</v>
      </c>
      <c r="F31" s="278"/>
      <c r="G31" s="279">
        <f t="shared" si="0"/>
        <v>0</v>
      </c>
      <c r="H31" s="14">
        <v>220000</v>
      </c>
      <c r="I31" s="280">
        <f t="shared" si="1"/>
        <v>10000</v>
      </c>
    </row>
    <row r="32" spans="1:14" s="68" customFormat="1" ht="10.199999999999999" x14ac:dyDescent="0.2">
      <c r="A32" s="278" t="s">
        <v>522</v>
      </c>
      <c r="B32" s="358" t="s">
        <v>526</v>
      </c>
      <c r="C32" s="362" t="s">
        <v>1289</v>
      </c>
      <c r="D32" s="359" t="s">
        <v>128</v>
      </c>
      <c r="E32" s="194">
        <v>350000</v>
      </c>
      <c r="F32" s="278"/>
      <c r="G32" s="279">
        <f t="shared" si="0"/>
        <v>0</v>
      </c>
      <c r="H32" s="14">
        <v>14500</v>
      </c>
      <c r="I32" s="280">
        <f t="shared" si="1"/>
        <v>-335500</v>
      </c>
    </row>
    <row r="33" spans="1:14" s="68" customFormat="1" ht="10.199999999999999" x14ac:dyDescent="0.2">
      <c r="A33" s="278" t="s">
        <v>522</v>
      </c>
      <c r="B33" s="358" t="s">
        <v>147</v>
      </c>
      <c r="C33" s="362" t="s">
        <v>1298</v>
      </c>
      <c r="D33" s="359" t="s">
        <v>12</v>
      </c>
      <c r="E33" s="194">
        <v>10000</v>
      </c>
      <c r="F33" s="278"/>
      <c r="G33" s="279">
        <f t="shared" si="0"/>
        <v>0</v>
      </c>
      <c r="H33" s="14">
        <v>25000</v>
      </c>
      <c r="I33" s="280">
        <f t="shared" si="1"/>
        <v>15000</v>
      </c>
    </row>
    <row r="34" spans="1:14" s="68" customFormat="1" ht="10.199999999999999" x14ac:dyDescent="0.2">
      <c r="A34" s="278" t="s">
        <v>522</v>
      </c>
      <c r="B34" s="358" t="s">
        <v>148</v>
      </c>
      <c r="C34" s="362" t="s">
        <v>1273</v>
      </c>
      <c r="D34" s="359" t="s">
        <v>128</v>
      </c>
      <c r="E34" s="194">
        <v>85000</v>
      </c>
      <c r="F34" s="285"/>
      <c r="G34" s="286">
        <f t="shared" si="0"/>
        <v>0</v>
      </c>
      <c r="H34" s="14">
        <v>1540</v>
      </c>
      <c r="I34" s="280">
        <f t="shared" si="1"/>
        <v>-83460</v>
      </c>
    </row>
    <row r="35" spans="1:14" s="68" customFormat="1" ht="10.199999999999999" x14ac:dyDescent="0.2">
      <c r="A35" s="278" t="s">
        <v>522</v>
      </c>
      <c r="B35" s="358" t="s">
        <v>39</v>
      </c>
      <c r="C35" s="362" t="s">
        <v>1290</v>
      </c>
      <c r="D35" s="359" t="s">
        <v>107</v>
      </c>
      <c r="E35" s="194">
        <v>500000</v>
      </c>
      <c r="F35" s="287"/>
      <c r="G35" s="288">
        <f t="shared" si="0"/>
        <v>0</v>
      </c>
      <c r="H35" s="14">
        <v>7500</v>
      </c>
      <c r="I35" s="280">
        <f t="shared" si="1"/>
        <v>-492500</v>
      </c>
    </row>
    <row r="36" spans="1:14" s="68" customFormat="1" ht="10.199999999999999" x14ac:dyDescent="0.2">
      <c r="A36" s="278" t="s">
        <v>522</v>
      </c>
      <c r="B36" s="358" t="s">
        <v>149</v>
      </c>
      <c r="C36" s="362" t="s">
        <v>1412</v>
      </c>
      <c r="D36" s="359" t="s">
        <v>105</v>
      </c>
      <c r="E36" s="194">
        <v>17000</v>
      </c>
      <c r="F36" s="284"/>
      <c r="G36" s="279">
        <f t="shared" si="0"/>
        <v>0</v>
      </c>
      <c r="H36" s="14">
        <v>65000</v>
      </c>
      <c r="I36" s="280">
        <f t="shared" si="1"/>
        <v>48000</v>
      </c>
    </row>
    <row r="37" spans="1:14" s="68" customFormat="1" ht="10.199999999999999" x14ac:dyDescent="0.2">
      <c r="A37" s="278" t="s">
        <v>522</v>
      </c>
      <c r="B37" s="358" t="s">
        <v>150</v>
      </c>
      <c r="C37" s="362" t="s">
        <v>1274</v>
      </c>
      <c r="D37" s="359" t="s">
        <v>108</v>
      </c>
      <c r="E37" s="194">
        <v>145000</v>
      </c>
      <c r="F37" s="278"/>
      <c r="G37" s="279">
        <f t="shared" si="0"/>
        <v>0</v>
      </c>
      <c r="H37" s="14">
        <v>180000</v>
      </c>
      <c r="I37" s="280">
        <f t="shared" si="1"/>
        <v>35000</v>
      </c>
    </row>
    <row r="38" spans="1:14" s="68" customFormat="1" ht="10.199999999999999" x14ac:dyDescent="0.2">
      <c r="A38" s="278" t="s">
        <v>522</v>
      </c>
      <c r="B38" s="358" t="s">
        <v>527</v>
      </c>
      <c r="C38" s="362" t="s">
        <v>1291</v>
      </c>
      <c r="D38" s="359" t="s">
        <v>129</v>
      </c>
      <c r="E38" s="194">
        <v>6500</v>
      </c>
      <c r="F38" s="278"/>
      <c r="G38" s="279">
        <f t="shared" si="0"/>
        <v>0</v>
      </c>
      <c r="H38" s="14">
        <v>215000</v>
      </c>
      <c r="I38" s="280">
        <f t="shared" si="1"/>
        <v>208500</v>
      </c>
    </row>
    <row r="39" spans="1:14" s="68" customFormat="1" ht="10.199999999999999" x14ac:dyDescent="0.2">
      <c r="A39" s="278" t="s">
        <v>522</v>
      </c>
      <c r="B39" s="358" t="s">
        <v>153</v>
      </c>
      <c r="C39" s="362" t="s">
        <v>1275</v>
      </c>
      <c r="D39" s="359" t="s">
        <v>128</v>
      </c>
      <c r="E39" s="194">
        <v>455700</v>
      </c>
      <c r="F39" s="278"/>
      <c r="G39" s="279">
        <f t="shared" si="0"/>
        <v>0</v>
      </c>
      <c r="H39" s="14">
        <v>2000</v>
      </c>
      <c r="I39" s="280">
        <f t="shared" si="1"/>
        <v>-453700</v>
      </c>
    </row>
    <row r="40" spans="1:14" s="68" customFormat="1" ht="10.199999999999999" x14ac:dyDescent="0.2">
      <c r="A40" s="278" t="s">
        <v>522</v>
      </c>
      <c r="B40" s="358" t="s">
        <v>154</v>
      </c>
      <c r="C40" s="362" t="s">
        <v>1276</v>
      </c>
      <c r="D40" s="359" t="s">
        <v>131</v>
      </c>
      <c r="E40" s="194">
        <v>410000</v>
      </c>
      <c r="F40" s="278"/>
      <c r="G40" s="279">
        <f t="shared" si="0"/>
        <v>0</v>
      </c>
      <c r="H40" s="14">
        <v>2100</v>
      </c>
      <c r="I40" s="280">
        <f t="shared" si="1"/>
        <v>-407900</v>
      </c>
    </row>
    <row r="41" spans="1:14" s="68" customFormat="1" ht="10.199999999999999" x14ac:dyDescent="0.2">
      <c r="A41" s="278" t="s">
        <v>522</v>
      </c>
      <c r="B41" s="358" t="s">
        <v>155</v>
      </c>
      <c r="C41" s="362" t="s">
        <v>1292</v>
      </c>
      <c r="D41" s="359" t="s">
        <v>133</v>
      </c>
      <c r="E41" s="289">
        <v>31400</v>
      </c>
      <c r="F41" s="278"/>
      <c r="G41" s="279">
        <f t="shared" si="0"/>
        <v>0</v>
      </c>
      <c r="H41" s="14">
        <v>2480</v>
      </c>
      <c r="I41" s="280">
        <f t="shared" si="1"/>
        <v>-28920</v>
      </c>
    </row>
    <row r="42" spans="1:14" s="68" customFormat="1" ht="10.199999999999999" x14ac:dyDescent="0.2">
      <c r="A42" s="278" t="s">
        <v>522</v>
      </c>
      <c r="B42" s="358" t="s">
        <v>156</v>
      </c>
      <c r="C42" s="362" t="s">
        <v>1277</v>
      </c>
      <c r="D42" s="359" t="s">
        <v>129</v>
      </c>
      <c r="E42" s="289">
        <v>600</v>
      </c>
      <c r="F42" s="278"/>
      <c r="G42" s="279">
        <f t="shared" si="0"/>
        <v>0</v>
      </c>
      <c r="H42" s="14">
        <v>2520</v>
      </c>
      <c r="I42" s="280">
        <f t="shared" si="1"/>
        <v>1920</v>
      </c>
    </row>
    <row r="43" spans="1:14" s="68" customFormat="1" ht="10.199999999999999" x14ac:dyDescent="0.2">
      <c r="A43" s="278" t="s">
        <v>522</v>
      </c>
      <c r="B43" s="358" t="s">
        <v>157</v>
      </c>
      <c r="C43" s="362" t="s">
        <v>1278</v>
      </c>
      <c r="D43" s="359" t="s">
        <v>132</v>
      </c>
      <c r="E43" s="194">
        <v>9500</v>
      </c>
      <c r="F43" s="278"/>
      <c r="G43" s="279">
        <f t="shared" si="0"/>
        <v>0</v>
      </c>
      <c r="H43" s="14">
        <v>12600</v>
      </c>
      <c r="I43" s="280">
        <f t="shared" si="1"/>
        <v>3100</v>
      </c>
    </row>
    <row r="44" spans="1:14" s="68" customFormat="1" ht="10.199999999999999" x14ac:dyDescent="0.2">
      <c r="A44" s="278" t="s">
        <v>522</v>
      </c>
      <c r="B44" s="358" t="s">
        <v>158</v>
      </c>
      <c r="C44" s="362" t="s">
        <v>1293</v>
      </c>
      <c r="D44" s="359" t="s">
        <v>105</v>
      </c>
      <c r="E44" s="194">
        <v>2100</v>
      </c>
      <c r="F44" s="278"/>
      <c r="G44" s="279">
        <f t="shared" si="0"/>
        <v>0</v>
      </c>
      <c r="J44" s="283"/>
      <c r="K44" s="283"/>
      <c r="L44" s="283"/>
      <c r="M44" s="64"/>
      <c r="N44" s="63"/>
    </row>
    <row r="45" spans="1:14" s="68" customFormat="1" ht="10.199999999999999" x14ac:dyDescent="0.2">
      <c r="A45" s="278" t="s">
        <v>522</v>
      </c>
      <c r="B45" s="358" t="s">
        <v>159</v>
      </c>
      <c r="C45" s="362" t="s">
        <v>1294</v>
      </c>
      <c r="D45" s="359" t="s">
        <v>105</v>
      </c>
      <c r="E45" s="194">
        <v>1300</v>
      </c>
      <c r="F45" s="278"/>
      <c r="G45" s="279">
        <f t="shared" si="0"/>
        <v>0</v>
      </c>
      <c r="J45" s="283"/>
      <c r="K45" s="283"/>
      <c r="L45" s="283"/>
      <c r="M45" s="64"/>
      <c r="N45" s="63"/>
    </row>
    <row r="46" spans="1:14" s="68" customFormat="1" ht="10.199999999999999" x14ac:dyDescent="0.2">
      <c r="A46" s="278" t="s">
        <v>522</v>
      </c>
      <c r="B46" s="358" t="s">
        <v>160</v>
      </c>
      <c r="C46" s="362" t="s">
        <v>1295</v>
      </c>
      <c r="D46" s="359" t="s">
        <v>105</v>
      </c>
      <c r="E46" s="194">
        <v>2100</v>
      </c>
      <c r="F46" s="278"/>
      <c r="G46" s="279">
        <f t="shared" si="0"/>
        <v>0</v>
      </c>
      <c r="H46" s="14">
        <v>700000</v>
      </c>
      <c r="I46" s="280">
        <f>+H46-E46</f>
        <v>697900</v>
      </c>
    </row>
    <row r="47" spans="1:14" s="68" customFormat="1" ht="10.199999999999999" x14ac:dyDescent="0.2">
      <c r="A47" s="278" t="s">
        <v>522</v>
      </c>
      <c r="B47" s="358" t="s">
        <v>161</v>
      </c>
      <c r="C47" s="362" t="s">
        <v>1296</v>
      </c>
      <c r="D47" s="359" t="s">
        <v>105</v>
      </c>
      <c r="E47" s="194">
        <v>2100</v>
      </c>
      <c r="F47" s="278"/>
      <c r="G47" s="279">
        <f t="shared" si="0"/>
        <v>0</v>
      </c>
      <c r="H47" s="14">
        <v>700000</v>
      </c>
      <c r="I47" s="280">
        <f>+H47-E47</f>
        <v>697900</v>
      </c>
    </row>
    <row r="48" spans="1:14" s="68" customFormat="1" ht="12" customHeight="1" x14ac:dyDescent="0.2">
      <c r="A48" s="278" t="s">
        <v>522</v>
      </c>
      <c r="B48" s="358" t="s">
        <v>162</v>
      </c>
      <c r="C48" s="362" t="s">
        <v>1279</v>
      </c>
      <c r="D48" s="359" t="s">
        <v>108</v>
      </c>
      <c r="E48" s="194">
        <v>20000</v>
      </c>
      <c r="F48" s="278"/>
      <c r="G48" s="279">
        <f t="shared" ref="G48" si="2">+F48*E48</f>
        <v>0</v>
      </c>
      <c r="H48" s="14">
        <v>500000</v>
      </c>
      <c r="I48" s="280">
        <f>+H48-E48</f>
        <v>480000</v>
      </c>
    </row>
    <row r="49" spans="1:9" s="68" customFormat="1" ht="12" customHeight="1" x14ac:dyDescent="0.2">
      <c r="A49" s="278" t="s">
        <v>522</v>
      </c>
      <c r="B49" s="358" t="s">
        <v>1232</v>
      </c>
      <c r="C49" s="362" t="s">
        <v>1297</v>
      </c>
      <c r="D49" s="359" t="s">
        <v>105</v>
      </c>
      <c r="E49" s="194">
        <v>7500</v>
      </c>
      <c r="F49" s="278"/>
      <c r="G49" s="279">
        <f t="shared" si="0"/>
        <v>0</v>
      </c>
      <c r="H49" s="14">
        <v>500000</v>
      </c>
      <c r="I49" s="280">
        <f>+H49-E49</f>
        <v>492500</v>
      </c>
    </row>
    <row r="50" spans="1:9" ht="12" customHeight="1" x14ac:dyDescent="0.3">
      <c r="A50" s="278" t="s">
        <v>522</v>
      </c>
      <c r="B50" s="358" t="s">
        <v>1410</v>
      </c>
      <c r="C50" s="362" t="s">
        <v>1408</v>
      </c>
      <c r="D50" s="359" t="s">
        <v>105</v>
      </c>
      <c r="E50" s="194">
        <v>380000</v>
      </c>
      <c r="G50" s="28">
        <f>SUM(G16:G49)</f>
        <v>0</v>
      </c>
    </row>
    <row r="51" spans="1:9" ht="12" customHeight="1" x14ac:dyDescent="0.3">
      <c r="A51" s="278" t="s">
        <v>522</v>
      </c>
      <c r="B51" s="358" t="s">
        <v>1411</v>
      </c>
      <c r="C51" s="362" t="s">
        <v>1409</v>
      </c>
      <c r="D51" s="359" t="s">
        <v>105</v>
      </c>
      <c r="E51" s="194">
        <v>380000</v>
      </c>
    </row>
  </sheetData>
  <autoFilter ref="A15:G53" xr:uid="{00000000-0009-0000-0000-00000D000000}">
    <sortState xmlns:xlrd2="http://schemas.microsoft.com/office/spreadsheetml/2017/richdata2" ref="A16:G53">
      <sortCondition ref="C15:C53"/>
    </sortState>
  </autoFilter>
  <sortState xmlns:xlrd2="http://schemas.microsoft.com/office/spreadsheetml/2017/richdata2" ref="A16:G43">
    <sortCondition ref="C16:C43"/>
  </sortState>
  <mergeCells count="11">
    <mergeCell ref="A2:A6"/>
    <mergeCell ref="C1:G1"/>
    <mergeCell ref="C12:G12"/>
    <mergeCell ref="C13:G13"/>
    <mergeCell ref="C10:G10"/>
    <mergeCell ref="C11:G11"/>
    <mergeCell ref="D7:E7"/>
    <mergeCell ref="D2:E2"/>
    <mergeCell ref="D3:E3"/>
    <mergeCell ref="D4:E4"/>
    <mergeCell ref="D5:E5"/>
  </mergeCells>
  <phoneticPr fontId="25" type="noConversion"/>
  <pageMargins left="0.70866141732283472" right="0.70866141732283472" top="1.6141732283464567" bottom="1.5354330708661419" header="0.51181102362204722" footer="0.82677165354330717"/>
  <pageSetup scale="64" orientation="portrait" r:id="rId1"/>
  <headerFooter>
    <oddHeader>&amp;L&amp;G&amp;C&amp;G&amp;R&amp;G</oddHeader>
    <oddFooter>&amp;L&amp;G&amp;R&amp;G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0"/>
  <sheetViews>
    <sheetView showGridLines="0" view="pageBreakPreview" zoomScale="120" zoomScaleNormal="100" zoomScaleSheetLayoutView="120" workbookViewId="0">
      <selection activeCell="E21" sqref="E21"/>
    </sheetView>
  </sheetViews>
  <sheetFormatPr baseColWidth="10" defaultRowHeight="14.4" x14ac:dyDescent="0.3"/>
  <cols>
    <col min="1" max="1" width="16.5546875" customWidth="1"/>
    <col min="2" max="2" width="9.44140625" customWidth="1"/>
    <col min="3" max="3" width="33.6640625" customWidth="1"/>
    <col min="4" max="4" width="13.5546875" customWidth="1"/>
    <col min="5" max="5" width="15.5546875" customWidth="1"/>
    <col min="6" max="6" width="11.109375" hidden="1" customWidth="1"/>
    <col min="7" max="7" width="13.6640625" hidden="1" customWidth="1"/>
    <col min="8" max="8" width="21.44140625" hidden="1" customWidth="1"/>
    <col min="9" max="9" width="14" style="5" hidden="1" customWidth="1"/>
    <col min="10" max="11" width="0" hidden="1" customWidth="1"/>
    <col min="12" max="12" width="1.6640625" customWidth="1"/>
  </cols>
  <sheetData>
    <row r="1" spans="1:9" ht="34.5" customHeight="1" x14ac:dyDescent="0.3">
      <c r="A1" s="9"/>
      <c r="B1" s="9"/>
      <c r="C1" s="692"/>
      <c r="D1" s="692"/>
      <c r="E1" s="692"/>
      <c r="F1" s="692"/>
      <c r="G1" s="692"/>
    </row>
    <row r="2" spans="1:9" ht="12.75" customHeight="1" x14ac:dyDescent="0.3">
      <c r="A2" s="902"/>
      <c r="D2" s="602" t="s">
        <v>60</v>
      </c>
      <c r="E2" s="602"/>
      <c r="F2" s="26"/>
    </row>
    <row r="3" spans="1:9" ht="12.75" customHeight="1" x14ac:dyDescent="0.3">
      <c r="A3" s="902"/>
      <c r="D3" s="602" t="s">
        <v>61</v>
      </c>
      <c r="E3" s="602"/>
      <c r="F3" s="19"/>
    </row>
    <row r="4" spans="1:9" ht="12.75" customHeight="1" x14ac:dyDescent="0.3">
      <c r="A4" s="902"/>
      <c r="D4" s="602" t="s">
        <v>1061</v>
      </c>
      <c r="E4" s="602"/>
      <c r="F4" s="19"/>
    </row>
    <row r="5" spans="1:9" ht="12.75" customHeight="1" x14ac:dyDescent="0.3">
      <c r="A5" s="902"/>
      <c r="C5" s="45" t="s">
        <v>281</v>
      </c>
      <c r="D5" s="602" t="s">
        <v>1062</v>
      </c>
      <c r="E5" s="602"/>
      <c r="F5" s="19"/>
    </row>
    <row r="6" spans="1:9" ht="10.5" customHeight="1" x14ac:dyDescent="0.3">
      <c r="A6" s="934"/>
      <c r="B6" s="1"/>
      <c r="C6" s="45" t="s">
        <v>280</v>
      </c>
    </row>
    <row r="7" spans="1:9" x14ac:dyDescent="0.3">
      <c r="A7" s="11" t="s">
        <v>21</v>
      </c>
      <c r="B7" s="11" t="str">
        <f>+D4</f>
        <v>DISTRITO DE TURBO</v>
      </c>
      <c r="C7" s="11" t="s">
        <v>22</v>
      </c>
      <c r="D7" s="807" t="str">
        <f>+D3</f>
        <v>DEPARTAMENTO DE ANTIOQUIA</v>
      </c>
      <c r="E7" s="809"/>
      <c r="G7" s="37"/>
    </row>
    <row r="8" spans="1:9" ht="9" customHeight="1" x14ac:dyDescent="0.3">
      <c r="A8" s="2"/>
      <c r="B8" s="2"/>
      <c r="C8" s="2"/>
      <c r="D8" s="3"/>
      <c r="E8" s="3"/>
      <c r="F8" s="3"/>
      <c r="G8" s="3"/>
    </row>
    <row r="9" spans="1:9" ht="12" customHeight="1" x14ac:dyDescent="0.3">
      <c r="A9" s="8" t="s">
        <v>20</v>
      </c>
      <c r="B9" s="11" t="s">
        <v>72</v>
      </c>
      <c r="C9" s="11" t="s">
        <v>16</v>
      </c>
      <c r="D9" s="20" t="s">
        <v>10</v>
      </c>
      <c r="E9" s="22">
        <f>'AJUSTE PRESUPUESTO'!H9</f>
        <v>45152</v>
      </c>
      <c r="F9" s="40"/>
      <c r="G9" s="36"/>
    </row>
    <row r="10" spans="1:9" ht="10.199999999999999" customHeight="1" x14ac:dyDescent="0.3">
      <c r="A10" s="8" t="s">
        <v>8</v>
      </c>
      <c r="B10" s="10" t="s">
        <v>64</v>
      </c>
      <c r="C10" s="655" t="s">
        <v>1061</v>
      </c>
      <c r="D10" s="655"/>
      <c r="E10" s="655"/>
      <c r="F10" s="655"/>
      <c r="G10" s="655"/>
    </row>
    <row r="11" spans="1:9" ht="19.95" customHeight="1" x14ac:dyDescent="0.3">
      <c r="A11" s="8" t="s">
        <v>7</v>
      </c>
      <c r="B11" s="10" t="s">
        <v>63</v>
      </c>
      <c r="C11" s="655" t="s">
        <v>1117</v>
      </c>
      <c r="D11" s="655"/>
      <c r="E11" s="655"/>
      <c r="F11" s="655"/>
      <c r="G11" s="655"/>
    </row>
    <row r="12" spans="1:9" ht="9" customHeight="1" x14ac:dyDescent="0.3">
      <c r="A12" s="8" t="s">
        <v>9</v>
      </c>
      <c r="B12" s="10" t="s">
        <v>62</v>
      </c>
      <c r="C12" s="655" t="s">
        <v>1035</v>
      </c>
      <c r="D12" s="655"/>
      <c r="E12" s="655"/>
      <c r="F12" s="655"/>
      <c r="G12" s="655"/>
    </row>
    <row r="13" spans="1:9" ht="9" customHeight="1" x14ac:dyDescent="0.3">
      <c r="A13" s="8" t="s">
        <v>66</v>
      </c>
      <c r="B13" s="10" t="s">
        <v>65</v>
      </c>
      <c r="C13" s="655" t="s">
        <v>67</v>
      </c>
      <c r="D13" s="655"/>
      <c r="E13" s="655"/>
      <c r="F13" s="655"/>
      <c r="G13" s="655"/>
    </row>
    <row r="15" spans="1:9" s="5" customFormat="1" ht="28.8" x14ac:dyDescent="0.3">
      <c r="A15" s="12" t="s">
        <v>72</v>
      </c>
      <c r="B15" s="12" t="s">
        <v>75</v>
      </c>
      <c r="C15" s="365" t="s">
        <v>35</v>
      </c>
      <c r="D15" s="12" t="s">
        <v>12</v>
      </c>
      <c r="E15" s="13" t="s">
        <v>120</v>
      </c>
      <c r="F15" s="12" t="s">
        <v>121</v>
      </c>
      <c r="G15" s="12" t="s">
        <v>38</v>
      </c>
    </row>
    <row r="16" spans="1:9" s="23" customFormat="1" ht="13.8" x14ac:dyDescent="0.3">
      <c r="A16" s="297" t="s">
        <v>523</v>
      </c>
      <c r="B16" s="363" t="s">
        <v>41</v>
      </c>
      <c r="C16" s="367" t="s">
        <v>1299</v>
      </c>
      <c r="D16" s="364" t="s">
        <v>123</v>
      </c>
      <c r="E16" s="298">
        <v>8321</v>
      </c>
      <c r="F16" s="297"/>
      <c r="G16" s="299">
        <f>+F16*E16</f>
        <v>0</v>
      </c>
      <c r="H16" s="298">
        <v>3480</v>
      </c>
      <c r="I16" s="300">
        <f t="shared" ref="I16:I35" si="0">+H16-E16</f>
        <v>-4841</v>
      </c>
    </row>
    <row r="17" spans="1:9" s="23" customFormat="1" ht="13.8" x14ac:dyDescent="0.3">
      <c r="A17" s="297" t="s">
        <v>523</v>
      </c>
      <c r="B17" s="363" t="s">
        <v>134</v>
      </c>
      <c r="C17" s="367" t="s">
        <v>1300</v>
      </c>
      <c r="D17" s="364" t="s">
        <v>123</v>
      </c>
      <c r="E17" s="298">
        <v>6913</v>
      </c>
      <c r="F17" s="297"/>
      <c r="G17" s="299">
        <f t="shared" ref="G17:G38" si="1">+F17*E17</f>
        <v>0</v>
      </c>
      <c r="H17" s="298">
        <v>2510</v>
      </c>
      <c r="I17" s="300">
        <f t="shared" si="0"/>
        <v>-4403</v>
      </c>
    </row>
    <row r="18" spans="1:9" s="23" customFormat="1" ht="13.8" x14ac:dyDescent="0.3">
      <c r="A18" s="297" t="s">
        <v>523</v>
      </c>
      <c r="B18" s="363" t="s">
        <v>135</v>
      </c>
      <c r="C18" s="367" t="s">
        <v>1301</v>
      </c>
      <c r="D18" s="364" t="s">
        <v>124</v>
      </c>
      <c r="E18" s="298">
        <v>25000</v>
      </c>
      <c r="F18" s="297"/>
      <c r="G18" s="299">
        <f t="shared" si="1"/>
        <v>0</v>
      </c>
      <c r="H18" s="298">
        <v>18560</v>
      </c>
      <c r="I18" s="300">
        <f t="shared" si="0"/>
        <v>-6440</v>
      </c>
    </row>
    <row r="19" spans="1:9" s="23" customFormat="1" ht="13.8" x14ac:dyDescent="0.3">
      <c r="A19" s="297" t="s">
        <v>523</v>
      </c>
      <c r="B19" s="363" t="s">
        <v>136</v>
      </c>
      <c r="C19" s="367" t="s">
        <v>1302</v>
      </c>
      <c r="D19" s="364" t="s">
        <v>124</v>
      </c>
      <c r="E19" s="298">
        <v>40460</v>
      </c>
      <c r="F19" s="297"/>
      <c r="G19" s="299">
        <f t="shared" si="1"/>
        <v>0</v>
      </c>
      <c r="H19" s="298">
        <v>22850</v>
      </c>
      <c r="I19" s="300">
        <f t="shared" si="0"/>
        <v>-17610</v>
      </c>
    </row>
    <row r="20" spans="1:9" s="23" customFormat="1" ht="13.8" x14ac:dyDescent="0.3">
      <c r="A20" s="297" t="s">
        <v>523</v>
      </c>
      <c r="B20" s="363" t="s">
        <v>137</v>
      </c>
      <c r="C20" s="367" t="s">
        <v>1303</v>
      </c>
      <c r="D20" s="364" t="s">
        <v>125</v>
      </c>
      <c r="E20" s="298">
        <v>32700</v>
      </c>
      <c r="F20" s="297"/>
      <c r="G20" s="299">
        <f t="shared" si="1"/>
        <v>0</v>
      </c>
      <c r="H20" s="298">
        <v>26500</v>
      </c>
      <c r="I20" s="300">
        <f t="shared" si="0"/>
        <v>-6200</v>
      </c>
    </row>
    <row r="21" spans="1:9" s="23" customFormat="1" ht="13.8" x14ac:dyDescent="0.3">
      <c r="A21" s="297" t="s">
        <v>523</v>
      </c>
      <c r="B21" s="363" t="s">
        <v>138</v>
      </c>
      <c r="C21" s="367" t="s">
        <v>1446</v>
      </c>
      <c r="D21" s="364" t="s">
        <v>124</v>
      </c>
      <c r="E21" s="298">
        <f>+'APU1'!I1195</f>
        <v>439313</v>
      </c>
      <c r="F21" s="297"/>
      <c r="G21" s="299">
        <f t="shared" si="1"/>
        <v>0</v>
      </c>
      <c r="H21" s="298">
        <v>2508.5</v>
      </c>
      <c r="I21" s="300">
        <f t="shared" si="0"/>
        <v>-436804.5</v>
      </c>
    </row>
    <row r="22" spans="1:9" s="23" customFormat="1" ht="13.8" x14ac:dyDescent="0.3">
      <c r="A22" s="297" t="s">
        <v>523</v>
      </c>
      <c r="B22" s="363" t="s">
        <v>139</v>
      </c>
      <c r="C22" s="367" t="s">
        <v>1304</v>
      </c>
      <c r="D22" s="364" t="s">
        <v>124</v>
      </c>
      <c r="E22" s="298">
        <f>+'APU1'!I1157</f>
        <v>498450</v>
      </c>
      <c r="F22" s="301"/>
      <c r="G22" s="299">
        <f t="shared" si="1"/>
        <v>0</v>
      </c>
      <c r="H22" s="298">
        <v>23000</v>
      </c>
      <c r="I22" s="300">
        <f t="shared" si="0"/>
        <v>-475450</v>
      </c>
    </row>
    <row r="23" spans="1:9" s="23" customFormat="1" ht="13.8" x14ac:dyDescent="0.3">
      <c r="A23" s="297" t="s">
        <v>523</v>
      </c>
      <c r="B23" s="363" t="s">
        <v>140</v>
      </c>
      <c r="C23" s="367" t="s">
        <v>1305</v>
      </c>
      <c r="D23" s="364" t="s">
        <v>124</v>
      </c>
      <c r="E23" s="298">
        <v>584766</v>
      </c>
      <c r="F23" s="297"/>
      <c r="G23" s="299">
        <f t="shared" si="1"/>
        <v>0</v>
      </c>
      <c r="H23" s="298">
        <v>21000</v>
      </c>
      <c r="I23" s="300">
        <f t="shared" si="0"/>
        <v>-563766</v>
      </c>
    </row>
    <row r="24" spans="1:9" s="23" customFormat="1" ht="13.8" x14ac:dyDescent="0.3">
      <c r="A24" s="297" t="s">
        <v>523</v>
      </c>
      <c r="B24" s="363" t="s">
        <v>141</v>
      </c>
      <c r="C24" s="367" t="s">
        <v>1306</v>
      </c>
      <c r="D24" s="364" t="s">
        <v>123</v>
      </c>
      <c r="E24" s="298">
        <v>6200</v>
      </c>
      <c r="F24" s="297"/>
      <c r="G24" s="299">
        <f t="shared" si="1"/>
        <v>0</v>
      </c>
      <c r="H24" s="298">
        <v>370000</v>
      </c>
      <c r="I24" s="300">
        <f t="shared" si="0"/>
        <v>363800</v>
      </c>
    </row>
    <row r="25" spans="1:9" s="23" customFormat="1" ht="13.8" x14ac:dyDescent="0.3">
      <c r="A25" s="297" t="s">
        <v>523</v>
      </c>
      <c r="B25" s="363" t="s">
        <v>524</v>
      </c>
      <c r="C25" s="367" t="s">
        <v>1307</v>
      </c>
      <c r="D25" s="364" t="s">
        <v>124</v>
      </c>
      <c r="E25" s="298">
        <v>29500</v>
      </c>
      <c r="F25" s="297"/>
      <c r="G25" s="299">
        <f t="shared" si="1"/>
        <v>0</v>
      </c>
      <c r="H25" s="298">
        <v>25000</v>
      </c>
      <c r="I25" s="300">
        <f t="shared" si="0"/>
        <v>-4500</v>
      </c>
    </row>
    <row r="26" spans="1:9" s="23" customFormat="1" ht="13.8" x14ac:dyDescent="0.3">
      <c r="A26" s="297" t="s">
        <v>523</v>
      </c>
      <c r="B26" s="363" t="s">
        <v>142</v>
      </c>
      <c r="C26" s="367" t="s">
        <v>1308</v>
      </c>
      <c r="D26" s="364" t="s">
        <v>124</v>
      </c>
      <c r="E26" s="298">
        <v>44000</v>
      </c>
      <c r="F26" s="297"/>
      <c r="G26" s="299">
        <f t="shared" si="1"/>
        <v>0</v>
      </c>
      <c r="H26" s="298">
        <v>29000</v>
      </c>
      <c r="I26" s="300">
        <f t="shared" si="0"/>
        <v>-15000</v>
      </c>
    </row>
    <row r="27" spans="1:9" s="23" customFormat="1" ht="13.8" x14ac:dyDescent="0.3">
      <c r="A27" s="297" t="s">
        <v>523</v>
      </c>
      <c r="B27" s="363" t="s">
        <v>40</v>
      </c>
      <c r="C27" s="367" t="s">
        <v>1309</v>
      </c>
      <c r="D27" s="364" t="s">
        <v>124</v>
      </c>
      <c r="E27" s="298">
        <v>22000</v>
      </c>
      <c r="F27" s="297"/>
      <c r="G27" s="299">
        <f t="shared" si="1"/>
        <v>0</v>
      </c>
      <c r="H27" s="298">
        <v>320000</v>
      </c>
      <c r="I27" s="300">
        <f t="shared" si="0"/>
        <v>298000</v>
      </c>
    </row>
    <row r="28" spans="1:9" s="23" customFormat="1" ht="13.8" x14ac:dyDescent="0.3">
      <c r="A28" s="297" t="s">
        <v>523</v>
      </c>
      <c r="B28" s="363" t="s">
        <v>143</v>
      </c>
      <c r="C28" s="367" t="s">
        <v>1310</v>
      </c>
      <c r="D28" s="364" t="s">
        <v>124</v>
      </c>
      <c r="E28" s="298">
        <f>+'APU1'!I1232</f>
        <v>403352</v>
      </c>
      <c r="F28" s="297"/>
      <c r="G28" s="299">
        <f t="shared" si="1"/>
        <v>0</v>
      </c>
      <c r="H28" s="298">
        <v>350000</v>
      </c>
      <c r="I28" s="300">
        <f t="shared" si="0"/>
        <v>-53352</v>
      </c>
    </row>
    <row r="29" spans="1:9" s="23" customFormat="1" ht="13.8" x14ac:dyDescent="0.3">
      <c r="A29" s="297" t="s">
        <v>523</v>
      </c>
      <c r="B29" s="363" t="s">
        <v>525</v>
      </c>
      <c r="C29" s="367" t="s">
        <v>1311</v>
      </c>
      <c r="D29" s="364" t="s">
        <v>124</v>
      </c>
      <c r="E29" s="298">
        <v>39000</v>
      </c>
      <c r="F29" s="297"/>
      <c r="G29" s="299">
        <f t="shared" si="1"/>
        <v>0</v>
      </c>
      <c r="H29" s="298">
        <f>954857*1.16/6</f>
        <v>184605.68666666665</v>
      </c>
      <c r="I29" s="300">
        <f t="shared" si="0"/>
        <v>145605.68666666665</v>
      </c>
    </row>
    <row r="30" spans="1:9" s="23" customFormat="1" ht="13.8" x14ac:dyDescent="0.3">
      <c r="A30" s="297" t="s">
        <v>523</v>
      </c>
      <c r="B30" s="363" t="s">
        <v>144</v>
      </c>
      <c r="C30" s="367" t="s">
        <v>1312</v>
      </c>
      <c r="D30" s="364" t="s">
        <v>124</v>
      </c>
      <c r="E30" s="298">
        <v>42800</v>
      </c>
      <c r="F30" s="297"/>
      <c r="G30" s="299">
        <f t="shared" si="1"/>
        <v>0</v>
      </c>
      <c r="H30" s="298">
        <f>1266983*1.16/6</f>
        <v>244950.04666666663</v>
      </c>
      <c r="I30" s="300">
        <f t="shared" si="0"/>
        <v>202150.04666666663</v>
      </c>
    </row>
    <row r="31" spans="1:9" s="23" customFormat="1" ht="13.8" x14ac:dyDescent="0.3">
      <c r="A31" s="297" t="s">
        <v>523</v>
      </c>
      <c r="B31" s="363" t="s">
        <v>145</v>
      </c>
      <c r="C31" s="367" t="s">
        <v>1317</v>
      </c>
      <c r="D31" s="364" t="s">
        <v>129</v>
      </c>
      <c r="E31" s="298">
        <v>380000</v>
      </c>
      <c r="F31" s="297"/>
      <c r="G31" s="299">
        <f t="shared" si="1"/>
        <v>0</v>
      </c>
      <c r="H31" s="298">
        <f>1586573*1.16/6</f>
        <v>306737.44666666666</v>
      </c>
      <c r="I31" s="300">
        <f t="shared" si="0"/>
        <v>-73262.553333333344</v>
      </c>
    </row>
    <row r="32" spans="1:9" s="23" customFormat="1" ht="13.8" x14ac:dyDescent="0.3">
      <c r="A32" s="297" t="s">
        <v>523</v>
      </c>
      <c r="B32" s="363" t="s">
        <v>146</v>
      </c>
      <c r="C32" s="367" t="s">
        <v>1318</v>
      </c>
      <c r="D32" s="364" t="s">
        <v>129</v>
      </c>
      <c r="E32" s="298">
        <v>420000</v>
      </c>
      <c r="F32" s="297"/>
      <c r="G32" s="299">
        <f t="shared" si="1"/>
        <v>0</v>
      </c>
      <c r="H32" s="298">
        <f>2386497*1.16/6</f>
        <v>461389.42</v>
      </c>
      <c r="I32" s="300">
        <f t="shared" si="0"/>
        <v>41389.419999999984</v>
      </c>
    </row>
    <row r="33" spans="1:14" s="23" customFormat="1" ht="13.8" x14ac:dyDescent="0.3">
      <c r="A33" s="297" t="s">
        <v>523</v>
      </c>
      <c r="B33" s="363" t="s">
        <v>526</v>
      </c>
      <c r="C33" s="367" t="s">
        <v>1313</v>
      </c>
      <c r="D33" s="364" t="s">
        <v>129</v>
      </c>
      <c r="E33" s="298">
        <f>613579/6</f>
        <v>102263.16666666667</v>
      </c>
      <c r="F33" s="297"/>
      <c r="G33" s="299">
        <f t="shared" si="1"/>
        <v>0</v>
      </c>
      <c r="H33" s="298">
        <f>197933*1.16/6</f>
        <v>38267.046666666662</v>
      </c>
      <c r="I33" s="300">
        <f t="shared" si="0"/>
        <v>-63996.12000000001</v>
      </c>
    </row>
    <row r="34" spans="1:14" s="23" customFormat="1" ht="13.8" x14ac:dyDescent="0.3">
      <c r="A34" s="297" t="s">
        <v>523</v>
      </c>
      <c r="B34" s="363" t="s">
        <v>148</v>
      </c>
      <c r="C34" s="367" t="s">
        <v>1314</v>
      </c>
      <c r="D34" s="364" t="s">
        <v>129</v>
      </c>
      <c r="E34" s="298">
        <f>1124685/6</f>
        <v>187447.5</v>
      </c>
      <c r="F34" s="297"/>
      <c r="G34" s="299">
        <f t="shared" si="1"/>
        <v>0</v>
      </c>
      <c r="H34" s="298">
        <f>394808*1.16/6</f>
        <v>76329.546666666662</v>
      </c>
      <c r="I34" s="300">
        <f t="shared" si="0"/>
        <v>-111117.95333333334</v>
      </c>
    </row>
    <row r="35" spans="1:14" s="23" customFormat="1" ht="13.8" x14ac:dyDescent="0.3">
      <c r="A35" s="297" t="s">
        <v>523</v>
      </c>
      <c r="B35" s="363" t="s">
        <v>39</v>
      </c>
      <c r="C35" s="367" t="s">
        <v>1315</v>
      </c>
      <c r="D35" s="364" t="s">
        <v>129</v>
      </c>
      <c r="E35" s="298">
        <f>1452531/6</f>
        <v>242088.5</v>
      </c>
      <c r="F35" s="297"/>
      <c r="G35" s="299">
        <f t="shared" si="1"/>
        <v>0</v>
      </c>
      <c r="H35" s="298">
        <v>410000</v>
      </c>
      <c r="I35" s="300">
        <f t="shared" si="0"/>
        <v>167911.5</v>
      </c>
    </row>
    <row r="36" spans="1:14" s="23" customFormat="1" ht="13.8" x14ac:dyDescent="0.3">
      <c r="A36" s="297" t="s">
        <v>523</v>
      </c>
      <c r="B36" s="363" t="s">
        <v>149</v>
      </c>
      <c r="C36" s="367" t="s">
        <v>1316</v>
      </c>
      <c r="D36" s="364" t="s">
        <v>129</v>
      </c>
      <c r="E36" s="298">
        <f>2913000/6.5</f>
        <v>448153.84615384613</v>
      </c>
      <c r="F36" s="297"/>
      <c r="G36" s="299">
        <f t="shared" si="1"/>
        <v>0</v>
      </c>
      <c r="H36" s="298">
        <v>310000</v>
      </c>
      <c r="I36" s="300">
        <f>+H36-E36</f>
        <v>-138153.84615384613</v>
      </c>
    </row>
    <row r="37" spans="1:14" hidden="1" x14ac:dyDescent="0.3">
      <c r="A37" s="16" t="s">
        <v>523</v>
      </c>
      <c r="B37" s="16" t="s">
        <v>527</v>
      </c>
      <c r="C37" s="366" t="s">
        <v>440</v>
      </c>
      <c r="D37" s="21" t="s">
        <v>129</v>
      </c>
      <c r="E37" s="14">
        <v>641538</v>
      </c>
      <c r="F37" s="16"/>
      <c r="G37" s="174">
        <f t="shared" si="1"/>
        <v>0</v>
      </c>
      <c r="I37"/>
      <c r="J37" s="66"/>
      <c r="K37" s="66"/>
      <c r="L37" s="66"/>
      <c r="M37" s="64"/>
      <c r="N37" s="63"/>
    </row>
    <row r="38" spans="1:14" hidden="1" x14ac:dyDescent="0.3">
      <c r="A38" s="16" t="s">
        <v>523</v>
      </c>
      <c r="B38" s="16" t="s">
        <v>151</v>
      </c>
      <c r="C38" s="4" t="s">
        <v>130</v>
      </c>
      <c r="D38" s="21" t="s">
        <v>129</v>
      </c>
      <c r="E38" s="14">
        <f>270314*1.16/6</f>
        <v>52260.706666666665</v>
      </c>
      <c r="F38" s="16"/>
      <c r="G38" s="174">
        <f t="shared" si="1"/>
        <v>0</v>
      </c>
      <c r="J38" s="66"/>
      <c r="K38" s="66"/>
      <c r="L38" s="66"/>
      <c r="M38" s="64"/>
      <c r="N38" s="63"/>
    </row>
    <row r="39" spans="1:14" ht="16.2" customHeight="1" x14ac:dyDescent="0.3">
      <c r="G39" s="28">
        <f>SUM(G16:G38)</f>
        <v>0</v>
      </c>
    </row>
    <row r="40" spans="1:14" x14ac:dyDescent="0.3">
      <c r="A40" s="26"/>
    </row>
  </sheetData>
  <autoFilter ref="A15:G42" xr:uid="{00000000-0009-0000-0000-00000F000000}">
    <sortState xmlns:xlrd2="http://schemas.microsoft.com/office/spreadsheetml/2017/richdata2" ref="A16:G42">
      <sortCondition ref="C15:C42"/>
    </sortState>
  </autoFilter>
  <mergeCells count="11">
    <mergeCell ref="C1:G1"/>
    <mergeCell ref="A2:A6"/>
    <mergeCell ref="D2:E2"/>
    <mergeCell ref="D3:E3"/>
    <mergeCell ref="D4:E4"/>
    <mergeCell ref="D5:E5"/>
    <mergeCell ref="D7:E7"/>
    <mergeCell ref="C10:G10"/>
    <mergeCell ref="C11:G11"/>
    <mergeCell ref="C12:G12"/>
    <mergeCell ref="C13:G13"/>
  </mergeCells>
  <phoneticPr fontId="25" type="noConversion"/>
  <pageMargins left="0.70866141732283472" right="0.70866141732283472" top="1.6141732283464567" bottom="1.5354330708661419" header="0.51181102362204722" footer="0.82677165354330717"/>
  <pageSetup scale="78" orientation="portrait" r:id="rId1"/>
  <headerFooter>
    <oddHeader>&amp;L&amp;G&amp;C&amp;G&amp;R&amp;G</oddHeader>
    <oddFooter>&amp;L&amp;G&amp;R&amp;G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4"/>
  <sheetViews>
    <sheetView showGridLines="0" view="pageBreakPreview" zoomScale="85" zoomScaleNormal="100" zoomScaleSheetLayoutView="85" workbookViewId="0">
      <selection activeCell="C10" sqref="C10:G10"/>
    </sheetView>
  </sheetViews>
  <sheetFormatPr baseColWidth="10" defaultRowHeight="14.4" x14ac:dyDescent="0.3"/>
  <cols>
    <col min="1" max="1" width="15.44140625" customWidth="1"/>
    <col min="2" max="2" width="9.109375" customWidth="1"/>
    <col min="3" max="3" width="39.44140625" customWidth="1"/>
    <col min="4" max="4" width="12.33203125" customWidth="1"/>
    <col min="5" max="5" width="17" customWidth="1"/>
    <col min="6" max="6" width="13.88671875" hidden="1" customWidth="1"/>
    <col min="7" max="7" width="14.6640625" hidden="1" customWidth="1"/>
    <col min="8" max="8" width="6" hidden="1" customWidth="1"/>
    <col min="9" max="9" width="0" hidden="1" customWidth="1"/>
    <col min="10" max="10" width="12.33203125" hidden="1" customWidth="1"/>
    <col min="11" max="11" width="0" hidden="1" customWidth="1"/>
  </cols>
  <sheetData>
    <row r="1" spans="1:10" ht="41.25" customHeight="1" x14ac:dyDescent="0.3">
      <c r="A1" s="9"/>
      <c r="B1" s="9"/>
      <c r="C1" s="692"/>
      <c r="D1" s="692"/>
      <c r="E1" s="692"/>
      <c r="F1" s="692"/>
      <c r="G1" s="692"/>
    </row>
    <row r="2" spans="1:10" ht="12.75" customHeight="1" x14ac:dyDescent="0.3">
      <c r="A2" s="902"/>
      <c r="B2" s="902"/>
      <c r="D2" s="939" t="s">
        <v>60</v>
      </c>
      <c r="E2" s="939"/>
      <c r="F2" s="939"/>
      <c r="G2" s="939"/>
    </row>
    <row r="3" spans="1:10" ht="12.75" customHeight="1" x14ac:dyDescent="0.3">
      <c r="A3" s="902"/>
      <c r="B3" s="902"/>
      <c r="D3" s="939" t="s">
        <v>61</v>
      </c>
      <c r="E3" s="939"/>
      <c r="F3" s="939"/>
      <c r="G3" s="939"/>
    </row>
    <row r="4" spans="1:10" ht="12.75" customHeight="1" x14ac:dyDescent="0.3">
      <c r="A4" s="902"/>
      <c r="B4" s="902"/>
      <c r="C4" s="45" t="s">
        <v>281</v>
      </c>
      <c r="D4" s="939" t="s">
        <v>1061</v>
      </c>
      <c r="E4" s="939"/>
      <c r="F4" s="939"/>
      <c r="G4" s="939"/>
    </row>
    <row r="5" spans="1:10" ht="9.6" customHeight="1" x14ac:dyDescent="0.3">
      <c r="A5" s="902"/>
      <c r="B5" s="902"/>
      <c r="C5" s="45" t="s">
        <v>280</v>
      </c>
      <c r="D5" s="937" t="s">
        <v>1062</v>
      </c>
      <c r="E5" s="937"/>
      <c r="F5" s="276"/>
      <c r="G5" s="276"/>
    </row>
    <row r="6" spans="1:10" ht="17.25" customHeight="1" x14ac:dyDescent="0.3">
      <c r="B6" s="1"/>
      <c r="D6" s="290"/>
      <c r="E6" s="290"/>
      <c r="F6" s="290"/>
      <c r="G6" s="290"/>
    </row>
    <row r="7" spans="1:10" x14ac:dyDescent="0.3">
      <c r="A7" s="8" t="s">
        <v>21</v>
      </c>
      <c r="B7" s="823" t="str">
        <f>+D4</f>
        <v>DISTRITO DE TURBO</v>
      </c>
      <c r="C7" s="823"/>
      <c r="D7" s="8" t="s">
        <v>390</v>
      </c>
      <c r="E7" s="11" t="s">
        <v>389</v>
      </c>
      <c r="F7" s="807" t="str">
        <f>+D3</f>
        <v>DEPARTAMENTO DE ANTIOQUIA</v>
      </c>
      <c r="G7" s="809"/>
    </row>
    <row r="8" spans="1:10" x14ac:dyDescent="0.3">
      <c r="A8" s="2"/>
      <c r="B8" s="2"/>
      <c r="C8" s="2"/>
      <c r="D8" s="3"/>
      <c r="E8" s="3"/>
      <c r="F8" s="3"/>
      <c r="G8" s="3"/>
    </row>
    <row r="9" spans="1:10" ht="11.25" customHeight="1" x14ac:dyDescent="0.3">
      <c r="A9" s="8" t="s">
        <v>20</v>
      </c>
      <c r="B9" s="11" t="s">
        <v>72</v>
      </c>
      <c r="C9" s="11" t="s">
        <v>73</v>
      </c>
      <c r="D9" s="8" t="s">
        <v>10</v>
      </c>
      <c r="E9" s="35">
        <f>'AJUSTE PRESUPUESTO'!H9</f>
        <v>45152</v>
      </c>
      <c r="F9" s="654" t="e">
        <f>VLOOKUP(E9,#REF!,2,FALSE)</f>
        <v>#REF!</v>
      </c>
      <c r="G9" s="654"/>
    </row>
    <row r="10" spans="1:10" ht="11.25" customHeight="1" x14ac:dyDescent="0.3">
      <c r="A10" s="8" t="s">
        <v>8</v>
      </c>
      <c r="B10" s="10" t="s">
        <v>64</v>
      </c>
      <c r="C10" s="655" t="s">
        <v>1061</v>
      </c>
      <c r="D10" s="655"/>
      <c r="E10" s="655"/>
      <c r="F10" s="655"/>
      <c r="G10" s="655"/>
    </row>
    <row r="11" spans="1:10" ht="19.95" customHeight="1" x14ac:dyDescent="0.3">
      <c r="A11" s="8" t="s">
        <v>7</v>
      </c>
      <c r="B11" s="10" t="s">
        <v>63</v>
      </c>
      <c r="C11" s="655" t="s">
        <v>1117</v>
      </c>
      <c r="D11" s="655"/>
      <c r="E11" s="655"/>
      <c r="F11" s="655"/>
      <c r="G11" s="655"/>
    </row>
    <row r="12" spans="1:10" ht="13.2" customHeight="1" x14ac:dyDescent="0.3">
      <c r="A12" s="8" t="s">
        <v>9</v>
      </c>
      <c r="B12" s="10" t="s">
        <v>62</v>
      </c>
      <c r="C12" s="655" t="s">
        <v>1035</v>
      </c>
      <c r="D12" s="655"/>
      <c r="E12" s="655"/>
      <c r="F12" s="655"/>
      <c r="G12" s="655"/>
    </row>
    <row r="13" spans="1:10" ht="12" customHeight="1" x14ac:dyDescent="0.3">
      <c r="A13" s="8" t="s">
        <v>66</v>
      </c>
      <c r="B13" s="10" t="s">
        <v>65</v>
      </c>
      <c r="C13" s="655" t="s">
        <v>67</v>
      </c>
      <c r="D13" s="655"/>
      <c r="E13" s="655"/>
      <c r="F13" s="655"/>
      <c r="G13" s="655"/>
    </row>
    <row r="14" spans="1:10" ht="11.25" customHeight="1" x14ac:dyDescent="0.3"/>
    <row r="15" spans="1:10" s="88" customFormat="1" ht="28.2" customHeight="1" x14ac:dyDescent="0.3">
      <c r="A15" s="13" t="s">
        <v>72</v>
      </c>
      <c r="B15" s="13" t="s">
        <v>75</v>
      </c>
      <c r="C15" s="369" t="s">
        <v>35</v>
      </c>
      <c r="D15" s="13" t="s">
        <v>12</v>
      </c>
      <c r="E15" s="13" t="s">
        <v>120</v>
      </c>
      <c r="F15" s="13" t="s">
        <v>121</v>
      </c>
      <c r="G15" s="13" t="s">
        <v>38</v>
      </c>
      <c r="I15" s="13" t="s">
        <v>121</v>
      </c>
      <c r="J15" s="13" t="s">
        <v>38</v>
      </c>
    </row>
    <row r="16" spans="1:10" s="211" customFormat="1" ht="12" customHeight="1" x14ac:dyDescent="0.3">
      <c r="A16" s="207" t="s">
        <v>1</v>
      </c>
      <c r="B16" s="368" t="s">
        <v>74</v>
      </c>
      <c r="C16" s="370" t="s">
        <v>1338</v>
      </c>
      <c r="D16" s="208" t="s">
        <v>104</v>
      </c>
      <c r="E16" s="209">
        <v>80000</v>
      </c>
      <c r="F16" s="197"/>
      <c r="G16" s="198">
        <f t="shared" ref="G16:G50" si="0">+F16*E16</f>
        <v>0</v>
      </c>
      <c r="I16" s="212">
        <f>+F16*17</f>
        <v>0</v>
      </c>
      <c r="J16" s="213">
        <f>+I16*E16</f>
        <v>0</v>
      </c>
    </row>
    <row r="17" spans="1:10" s="211" customFormat="1" ht="12" customHeight="1" x14ac:dyDescent="0.3">
      <c r="A17" s="207" t="s">
        <v>1</v>
      </c>
      <c r="B17" s="368" t="s">
        <v>76</v>
      </c>
      <c r="C17" s="371" t="s">
        <v>1339</v>
      </c>
      <c r="D17" s="214" t="s">
        <v>103</v>
      </c>
      <c r="E17" s="209">
        <v>5000</v>
      </c>
      <c r="F17" s="41"/>
      <c r="G17" s="210">
        <f t="shared" si="0"/>
        <v>0</v>
      </c>
      <c r="I17" s="212"/>
      <c r="J17" s="213"/>
    </row>
    <row r="18" spans="1:10" s="211" customFormat="1" ht="12" customHeight="1" x14ac:dyDescent="0.3">
      <c r="A18" s="207" t="s">
        <v>1</v>
      </c>
      <c r="B18" s="368" t="s">
        <v>77</v>
      </c>
      <c r="C18" s="371" t="s">
        <v>1340</v>
      </c>
      <c r="D18" s="208" t="s">
        <v>103</v>
      </c>
      <c r="E18" s="209">
        <v>120000</v>
      </c>
      <c r="F18" s="197"/>
      <c r="G18" s="198">
        <f t="shared" si="0"/>
        <v>0</v>
      </c>
      <c r="I18" s="212">
        <f>+F18*17</f>
        <v>0</v>
      </c>
      <c r="J18" s="213">
        <f>+I18*E18</f>
        <v>0</v>
      </c>
    </row>
    <row r="19" spans="1:10" s="211" customFormat="1" ht="12" customHeight="1" x14ac:dyDescent="0.3">
      <c r="A19" s="207" t="s">
        <v>1</v>
      </c>
      <c r="B19" s="368" t="s">
        <v>1443</v>
      </c>
      <c r="C19" s="371" t="s">
        <v>1341</v>
      </c>
      <c r="D19" s="208" t="s">
        <v>103</v>
      </c>
      <c r="E19" s="209">
        <v>6875</v>
      </c>
      <c r="F19" s="41"/>
      <c r="G19" s="210">
        <f t="shared" si="0"/>
        <v>0</v>
      </c>
      <c r="I19" s="212">
        <f t="shared" ref="I19:I50" si="1">+F19*17</f>
        <v>0</v>
      </c>
      <c r="J19" s="213">
        <f t="shared" ref="J19:J50" si="2">+I19*E19</f>
        <v>0</v>
      </c>
    </row>
    <row r="20" spans="1:10" s="211" customFormat="1" ht="12" customHeight="1" x14ac:dyDescent="0.3">
      <c r="A20" s="207" t="s">
        <v>1</v>
      </c>
      <c r="B20" s="368" t="s">
        <v>78</v>
      </c>
      <c r="C20" s="371" t="s">
        <v>1342</v>
      </c>
      <c r="D20" s="214" t="s">
        <v>103</v>
      </c>
      <c r="E20" s="209">
        <v>7500</v>
      </c>
      <c r="F20" s="41"/>
      <c r="G20" s="210">
        <f t="shared" si="0"/>
        <v>0</v>
      </c>
      <c r="I20" s="212"/>
      <c r="J20" s="213"/>
    </row>
    <row r="21" spans="1:10" s="211" customFormat="1" ht="12" customHeight="1" x14ac:dyDescent="0.3">
      <c r="A21" s="207" t="s">
        <v>1</v>
      </c>
      <c r="B21" s="368" t="s">
        <v>31</v>
      </c>
      <c r="C21" s="371" t="s">
        <v>1343</v>
      </c>
      <c r="D21" s="208" t="s">
        <v>104</v>
      </c>
      <c r="E21" s="209">
        <v>25000</v>
      </c>
      <c r="F21" s="41"/>
      <c r="G21" s="210">
        <f t="shared" si="0"/>
        <v>0</v>
      </c>
      <c r="I21" s="216">
        <f t="shared" si="1"/>
        <v>0</v>
      </c>
      <c r="J21" s="213">
        <f t="shared" si="2"/>
        <v>0</v>
      </c>
    </row>
    <row r="22" spans="1:10" s="211" customFormat="1" ht="11.4" customHeight="1" x14ac:dyDescent="0.3">
      <c r="A22" s="207" t="s">
        <v>1</v>
      </c>
      <c r="B22" s="368" t="s">
        <v>79</v>
      </c>
      <c r="C22" s="371" t="s">
        <v>1344</v>
      </c>
      <c r="D22" s="208" t="s">
        <v>104</v>
      </c>
      <c r="E22" s="209">
        <v>1500</v>
      </c>
      <c r="F22" s="41"/>
      <c r="G22" s="210">
        <f t="shared" si="0"/>
        <v>0</v>
      </c>
      <c r="I22" s="212">
        <f t="shared" si="1"/>
        <v>0</v>
      </c>
      <c r="J22" s="213">
        <f t="shared" si="2"/>
        <v>0</v>
      </c>
    </row>
    <row r="23" spans="1:10" s="211" customFormat="1" ht="12" customHeight="1" x14ac:dyDescent="0.3">
      <c r="A23" s="207" t="s">
        <v>1</v>
      </c>
      <c r="B23" s="368" t="s">
        <v>80</v>
      </c>
      <c r="C23" s="371" t="s">
        <v>1345</v>
      </c>
      <c r="D23" s="208" t="s">
        <v>103</v>
      </c>
      <c r="E23" s="209">
        <v>6500</v>
      </c>
      <c r="F23" s="41"/>
      <c r="G23" s="210">
        <f t="shared" si="0"/>
        <v>0</v>
      </c>
      <c r="I23" s="212"/>
      <c r="J23" s="213"/>
    </row>
    <row r="24" spans="1:10" s="211" customFormat="1" ht="13.95" customHeight="1" x14ac:dyDescent="0.3">
      <c r="A24" s="207" t="s">
        <v>1</v>
      </c>
      <c r="B24" s="368" t="s">
        <v>81</v>
      </c>
      <c r="C24" s="371" t="s">
        <v>1346</v>
      </c>
      <c r="D24" s="208" t="s">
        <v>103</v>
      </c>
      <c r="E24" s="209">
        <v>65000</v>
      </c>
      <c r="F24" s="41"/>
      <c r="G24" s="210">
        <f t="shared" si="0"/>
        <v>0</v>
      </c>
      <c r="I24" s="212">
        <f t="shared" si="1"/>
        <v>0</v>
      </c>
      <c r="J24" s="213">
        <f t="shared" si="2"/>
        <v>0</v>
      </c>
    </row>
    <row r="25" spans="1:10" s="211" customFormat="1" ht="12" customHeight="1" x14ac:dyDescent="0.3">
      <c r="A25" s="207" t="s">
        <v>1</v>
      </c>
      <c r="B25" s="368" t="s">
        <v>82</v>
      </c>
      <c r="C25" s="371" t="s">
        <v>1347</v>
      </c>
      <c r="D25" s="208" t="s">
        <v>103</v>
      </c>
      <c r="E25" s="209">
        <v>20000</v>
      </c>
      <c r="F25" s="197"/>
      <c r="G25" s="198">
        <f t="shared" si="0"/>
        <v>0</v>
      </c>
      <c r="I25" s="212">
        <f>5*6*4.29*9</f>
        <v>1158.3</v>
      </c>
      <c r="J25" s="213">
        <f>+I25*E25</f>
        <v>23166000</v>
      </c>
    </row>
    <row r="26" spans="1:10" s="211" customFormat="1" ht="12" customHeight="1" x14ac:dyDescent="0.3">
      <c r="A26" s="207" t="s">
        <v>1</v>
      </c>
      <c r="B26" s="368" t="s">
        <v>83</v>
      </c>
      <c r="C26" s="371" t="s">
        <v>1319</v>
      </c>
      <c r="D26" s="208" t="s">
        <v>103</v>
      </c>
      <c r="E26" s="209">
        <v>5000</v>
      </c>
      <c r="F26" s="41"/>
      <c r="G26" s="210">
        <f t="shared" si="0"/>
        <v>0</v>
      </c>
      <c r="I26" s="212"/>
      <c r="J26" s="213"/>
    </row>
    <row r="27" spans="1:10" s="211" customFormat="1" ht="12" customHeight="1" x14ac:dyDescent="0.3">
      <c r="A27" s="207" t="s">
        <v>1</v>
      </c>
      <c r="B27" s="368" t="s">
        <v>84</v>
      </c>
      <c r="C27" s="371" t="s">
        <v>1320</v>
      </c>
      <c r="D27" s="208" t="s">
        <v>108</v>
      </c>
      <c r="E27" s="209">
        <v>1000</v>
      </c>
      <c r="F27" s="41"/>
      <c r="G27" s="210">
        <f t="shared" si="0"/>
        <v>0</v>
      </c>
      <c r="I27" s="212">
        <f t="shared" si="1"/>
        <v>0</v>
      </c>
      <c r="J27" s="213">
        <f t="shared" si="2"/>
        <v>0</v>
      </c>
    </row>
    <row r="28" spans="1:10" s="211" customFormat="1" ht="12" customHeight="1" x14ac:dyDescent="0.3">
      <c r="A28" s="207" t="s">
        <v>1</v>
      </c>
      <c r="B28" s="368" t="s">
        <v>85</v>
      </c>
      <c r="C28" s="371" t="s">
        <v>1321</v>
      </c>
      <c r="D28" s="208" t="s">
        <v>105</v>
      </c>
      <c r="E28" s="209">
        <v>2150</v>
      </c>
      <c r="F28" s="41"/>
      <c r="G28" s="210">
        <f t="shared" si="0"/>
        <v>0</v>
      </c>
      <c r="I28" s="212">
        <f t="shared" si="1"/>
        <v>0</v>
      </c>
      <c r="J28" s="213">
        <f t="shared" si="2"/>
        <v>0</v>
      </c>
    </row>
    <row r="29" spans="1:10" s="211" customFormat="1" ht="12" customHeight="1" x14ac:dyDescent="0.3">
      <c r="A29" s="207" t="s">
        <v>1</v>
      </c>
      <c r="B29" s="368" t="s">
        <v>86</v>
      </c>
      <c r="C29" s="371" t="s">
        <v>1322</v>
      </c>
      <c r="D29" s="208" t="s">
        <v>105</v>
      </c>
      <c r="E29" s="209">
        <v>7500</v>
      </c>
      <c r="F29" s="41"/>
      <c r="G29" s="210">
        <f t="shared" si="0"/>
        <v>0</v>
      </c>
      <c r="I29" s="212">
        <f t="shared" si="1"/>
        <v>0</v>
      </c>
      <c r="J29" s="213">
        <f t="shared" si="2"/>
        <v>0</v>
      </c>
    </row>
    <row r="30" spans="1:10" s="211" customFormat="1" ht="12" customHeight="1" x14ac:dyDescent="0.3">
      <c r="A30" s="207" t="s">
        <v>1</v>
      </c>
      <c r="B30" s="368" t="s">
        <v>87</v>
      </c>
      <c r="C30" s="371" t="s">
        <v>1333</v>
      </c>
      <c r="D30" s="208" t="s">
        <v>106</v>
      </c>
      <c r="E30" s="209">
        <v>1100</v>
      </c>
      <c r="F30" s="41"/>
      <c r="G30" s="210">
        <f t="shared" si="0"/>
        <v>0</v>
      </c>
      <c r="I30" s="212">
        <f t="shared" si="1"/>
        <v>0</v>
      </c>
      <c r="J30" s="213">
        <f t="shared" si="2"/>
        <v>0</v>
      </c>
    </row>
    <row r="31" spans="1:10" s="211" customFormat="1" ht="12" customHeight="1" x14ac:dyDescent="0.3">
      <c r="A31" s="207" t="s">
        <v>1</v>
      </c>
      <c r="B31" s="368" t="s">
        <v>88</v>
      </c>
      <c r="C31" s="371" t="s">
        <v>1390</v>
      </c>
      <c r="D31" s="208" t="s">
        <v>103</v>
      </c>
      <c r="E31" s="209">
        <v>7500</v>
      </c>
      <c r="F31" s="41"/>
      <c r="G31" s="210">
        <f t="shared" ref="G31" si="3">+F31*E31</f>
        <v>0</v>
      </c>
      <c r="I31" s="212">
        <f t="shared" ref="I31" si="4">+F31*17</f>
        <v>0</v>
      </c>
      <c r="J31" s="213">
        <f t="shared" ref="J31" si="5">+I31*E31</f>
        <v>0</v>
      </c>
    </row>
    <row r="32" spans="1:10" s="211" customFormat="1" ht="12" customHeight="1" x14ac:dyDescent="0.3">
      <c r="A32" s="207" t="s">
        <v>1</v>
      </c>
      <c r="B32" s="368" t="s">
        <v>91</v>
      </c>
      <c r="C32" s="371" t="s">
        <v>1323</v>
      </c>
      <c r="D32" s="208" t="s">
        <v>103</v>
      </c>
      <c r="E32" s="209">
        <v>155000</v>
      </c>
      <c r="F32" s="41"/>
      <c r="G32" s="210">
        <f t="shared" si="0"/>
        <v>0</v>
      </c>
      <c r="I32" s="212">
        <f t="shared" si="1"/>
        <v>0</v>
      </c>
      <c r="J32" s="213">
        <f t="shared" si="2"/>
        <v>0</v>
      </c>
    </row>
    <row r="33" spans="1:10" s="211" customFormat="1" ht="12" customHeight="1" x14ac:dyDescent="0.3">
      <c r="A33" s="207" t="s">
        <v>1</v>
      </c>
      <c r="B33" s="368" t="s">
        <v>92</v>
      </c>
      <c r="C33" s="371" t="s">
        <v>1334</v>
      </c>
      <c r="D33" s="208" t="s">
        <v>105</v>
      </c>
      <c r="E33" s="209">
        <v>10000</v>
      </c>
      <c r="F33" s="41"/>
      <c r="G33" s="210">
        <f t="shared" si="0"/>
        <v>0</v>
      </c>
      <c r="I33" s="212">
        <f t="shared" si="1"/>
        <v>0</v>
      </c>
      <c r="J33" s="213">
        <f t="shared" si="2"/>
        <v>0</v>
      </c>
    </row>
    <row r="34" spans="1:10" s="211" customFormat="1" ht="12" customHeight="1" x14ac:dyDescent="0.3">
      <c r="A34" s="207" t="s">
        <v>1</v>
      </c>
      <c r="B34" s="368" t="s">
        <v>93</v>
      </c>
      <c r="C34" s="371" t="s">
        <v>1324</v>
      </c>
      <c r="D34" s="208" t="s">
        <v>103</v>
      </c>
      <c r="E34" s="209">
        <v>2500</v>
      </c>
      <c r="F34" s="41"/>
      <c r="G34" s="210">
        <f t="shared" si="0"/>
        <v>0</v>
      </c>
      <c r="I34" s="212">
        <f t="shared" si="1"/>
        <v>0</v>
      </c>
      <c r="J34" s="213">
        <f t="shared" si="2"/>
        <v>0</v>
      </c>
    </row>
    <row r="35" spans="1:10" s="211" customFormat="1" ht="12" customHeight="1" x14ac:dyDescent="0.3">
      <c r="A35" s="207" t="s">
        <v>1</v>
      </c>
      <c r="B35" s="368" t="s">
        <v>95</v>
      </c>
      <c r="C35" s="371" t="s">
        <v>1337</v>
      </c>
      <c r="D35" s="214" t="s">
        <v>103</v>
      </c>
      <c r="E35" s="209">
        <v>80000</v>
      </c>
      <c r="F35" s="197"/>
      <c r="G35" s="198">
        <f t="shared" si="0"/>
        <v>0</v>
      </c>
      <c r="I35" s="212">
        <f t="shared" si="1"/>
        <v>0</v>
      </c>
      <c r="J35" s="213">
        <f t="shared" si="2"/>
        <v>0</v>
      </c>
    </row>
    <row r="36" spans="1:10" s="211" customFormat="1" ht="12" customHeight="1" x14ac:dyDescent="0.3">
      <c r="A36" s="207" t="s">
        <v>1</v>
      </c>
      <c r="B36" s="368" t="s">
        <v>95</v>
      </c>
      <c r="C36" s="371" t="s">
        <v>1325</v>
      </c>
      <c r="D36" s="214" t="s">
        <v>103</v>
      </c>
      <c r="E36" s="209">
        <v>122000</v>
      </c>
      <c r="F36" s="41"/>
      <c r="G36" s="210">
        <f t="shared" si="0"/>
        <v>0</v>
      </c>
      <c r="I36" s="212">
        <f t="shared" si="1"/>
        <v>0</v>
      </c>
      <c r="J36" s="213">
        <f t="shared" si="2"/>
        <v>0</v>
      </c>
    </row>
    <row r="37" spans="1:10" s="211" customFormat="1" ht="12" customHeight="1" x14ac:dyDescent="0.3">
      <c r="A37" s="207" t="s">
        <v>1</v>
      </c>
      <c r="B37" s="368" t="s">
        <v>96</v>
      </c>
      <c r="C37" s="371" t="s">
        <v>1326</v>
      </c>
      <c r="D37" s="214" t="s">
        <v>104</v>
      </c>
      <c r="E37" s="209">
        <v>6875</v>
      </c>
      <c r="F37" s="41"/>
      <c r="G37" s="210">
        <f t="shared" si="0"/>
        <v>0</v>
      </c>
      <c r="I37" s="212">
        <f t="shared" si="1"/>
        <v>0</v>
      </c>
      <c r="J37" s="213">
        <f t="shared" si="2"/>
        <v>0</v>
      </c>
    </row>
    <row r="38" spans="1:10" s="211" customFormat="1" ht="12" customHeight="1" x14ac:dyDescent="0.3">
      <c r="A38" s="207" t="s">
        <v>1</v>
      </c>
      <c r="B38" s="368" t="s">
        <v>97</v>
      </c>
      <c r="C38" s="371" t="s">
        <v>1327</v>
      </c>
      <c r="D38" s="214" t="s">
        <v>104</v>
      </c>
      <c r="E38" s="209">
        <v>1000</v>
      </c>
      <c r="F38" s="41"/>
      <c r="G38" s="210">
        <f t="shared" si="0"/>
        <v>0</v>
      </c>
      <c r="I38" s="212">
        <f t="shared" si="1"/>
        <v>0</v>
      </c>
      <c r="J38" s="213">
        <f t="shared" si="2"/>
        <v>0</v>
      </c>
    </row>
    <row r="39" spans="1:10" s="211" customFormat="1" ht="12" customHeight="1" x14ac:dyDescent="0.3">
      <c r="A39" s="207" t="s">
        <v>1</v>
      </c>
      <c r="B39" s="368" t="s">
        <v>98</v>
      </c>
      <c r="C39" s="371" t="s">
        <v>1328</v>
      </c>
      <c r="D39" s="214" t="s">
        <v>103</v>
      </c>
      <c r="E39" s="209">
        <v>4375</v>
      </c>
      <c r="F39" s="41"/>
      <c r="G39" s="210">
        <f t="shared" si="0"/>
        <v>0</v>
      </c>
      <c r="I39" s="212">
        <f t="shared" si="1"/>
        <v>0</v>
      </c>
      <c r="J39" s="213">
        <f t="shared" si="2"/>
        <v>0</v>
      </c>
    </row>
    <row r="40" spans="1:10" s="211" customFormat="1" ht="12" customHeight="1" x14ac:dyDescent="0.3">
      <c r="A40" s="207" t="s">
        <v>1</v>
      </c>
      <c r="B40" s="368" t="s">
        <v>99</v>
      </c>
      <c r="C40" s="371" t="s">
        <v>1335</v>
      </c>
      <c r="D40" s="214" t="s">
        <v>103</v>
      </c>
      <c r="E40" s="209">
        <v>120000</v>
      </c>
      <c r="F40" s="41"/>
      <c r="G40" s="210">
        <f t="shared" si="0"/>
        <v>0</v>
      </c>
      <c r="I40" s="212">
        <f t="shared" si="1"/>
        <v>0</v>
      </c>
      <c r="J40" s="213">
        <f t="shared" si="2"/>
        <v>0</v>
      </c>
    </row>
    <row r="41" spans="1:10" s="211" customFormat="1" ht="12" customHeight="1" x14ac:dyDescent="0.3">
      <c r="A41" s="207" t="s">
        <v>1</v>
      </c>
      <c r="B41" s="368" t="s">
        <v>100</v>
      </c>
      <c r="C41" s="371" t="s">
        <v>1336</v>
      </c>
      <c r="D41" s="214" t="s">
        <v>103</v>
      </c>
      <c r="E41" s="209">
        <v>23000</v>
      </c>
      <c r="F41" s="41"/>
      <c r="G41" s="210">
        <f t="shared" si="0"/>
        <v>0</v>
      </c>
      <c r="I41" s="212">
        <f t="shared" si="1"/>
        <v>0</v>
      </c>
      <c r="J41" s="213">
        <f t="shared" si="2"/>
        <v>0</v>
      </c>
    </row>
    <row r="42" spans="1:10" s="211" customFormat="1" ht="12" customHeight="1" x14ac:dyDescent="0.3">
      <c r="A42" s="207" t="s">
        <v>1</v>
      </c>
      <c r="B42" s="368" t="s">
        <v>101</v>
      </c>
      <c r="C42" s="371" t="s">
        <v>1329</v>
      </c>
      <c r="D42" s="214" t="s">
        <v>103</v>
      </c>
      <c r="E42" s="209">
        <v>5800</v>
      </c>
      <c r="F42" s="41"/>
      <c r="G42" s="210">
        <f t="shared" si="0"/>
        <v>0</v>
      </c>
      <c r="I42" s="212">
        <f t="shared" si="1"/>
        <v>0</v>
      </c>
      <c r="J42" s="213">
        <f t="shared" si="2"/>
        <v>0</v>
      </c>
    </row>
    <row r="43" spans="1:10" s="6" customFormat="1" ht="12" customHeight="1" x14ac:dyDescent="0.3">
      <c r="A43" s="207" t="s">
        <v>1</v>
      </c>
      <c r="B43" s="368" t="s">
        <v>102</v>
      </c>
      <c r="C43" s="371" t="s">
        <v>1330</v>
      </c>
      <c r="D43" s="214" t="s">
        <v>103</v>
      </c>
      <c r="E43" s="209">
        <v>7400</v>
      </c>
      <c r="F43" s="197"/>
      <c r="G43" s="198">
        <f t="shared" si="0"/>
        <v>0</v>
      </c>
      <c r="I43" s="5">
        <f t="shared" si="1"/>
        <v>0</v>
      </c>
      <c r="J43" s="84">
        <f t="shared" si="2"/>
        <v>0</v>
      </c>
    </row>
    <row r="44" spans="1:10" s="6" customFormat="1" ht="12" hidden="1" customHeight="1" x14ac:dyDescent="0.3">
      <c r="A44" s="207" t="s">
        <v>1</v>
      </c>
      <c r="B44" s="368" t="s">
        <v>427</v>
      </c>
      <c r="C44" s="371" t="s">
        <v>1331</v>
      </c>
      <c r="D44" s="214" t="s">
        <v>103</v>
      </c>
      <c r="E44" s="209">
        <v>350000</v>
      </c>
      <c r="F44" s="60"/>
      <c r="G44" s="87">
        <f t="shared" si="0"/>
        <v>0</v>
      </c>
      <c r="I44" s="5">
        <f t="shared" si="1"/>
        <v>0</v>
      </c>
      <c r="J44" s="84">
        <f t="shared" si="2"/>
        <v>0</v>
      </c>
    </row>
    <row r="45" spans="1:10" s="6" customFormat="1" ht="11.4" customHeight="1" x14ac:dyDescent="0.3">
      <c r="A45" s="207" t="s">
        <v>1</v>
      </c>
      <c r="B45" s="368" t="s">
        <v>431</v>
      </c>
      <c r="C45" s="371" t="s">
        <v>1389</v>
      </c>
      <c r="D45" s="214" t="s">
        <v>103</v>
      </c>
      <c r="E45" s="209">
        <v>7500</v>
      </c>
      <c r="F45" s="60"/>
      <c r="G45" s="87">
        <f t="shared" si="0"/>
        <v>0</v>
      </c>
      <c r="I45" s="5">
        <f t="shared" si="1"/>
        <v>0</v>
      </c>
      <c r="J45" s="84">
        <f t="shared" si="2"/>
        <v>0</v>
      </c>
    </row>
    <row r="46" spans="1:10" s="6" customFormat="1" ht="11.4" customHeight="1" x14ac:dyDescent="0.3">
      <c r="A46" s="207" t="s">
        <v>1</v>
      </c>
      <c r="B46" s="368" t="s">
        <v>432</v>
      </c>
      <c r="C46" s="371" t="s">
        <v>1332</v>
      </c>
      <c r="D46" s="214" t="s">
        <v>103</v>
      </c>
      <c r="E46" s="209">
        <v>127302</v>
      </c>
      <c r="F46" s="60"/>
      <c r="G46" s="87">
        <f t="shared" si="0"/>
        <v>0</v>
      </c>
      <c r="I46" s="5">
        <f t="shared" si="1"/>
        <v>0</v>
      </c>
      <c r="J46" s="84">
        <f t="shared" si="2"/>
        <v>0</v>
      </c>
    </row>
    <row r="47" spans="1:10" s="6" customFormat="1" ht="11.4" customHeight="1" x14ac:dyDescent="0.3">
      <c r="A47" s="207" t="s">
        <v>1</v>
      </c>
      <c r="B47" s="368" t="s">
        <v>1384</v>
      </c>
      <c r="C47" s="372" t="s">
        <v>1385</v>
      </c>
      <c r="D47" s="214" t="s">
        <v>103</v>
      </c>
      <c r="E47" s="209">
        <v>7500</v>
      </c>
      <c r="F47" s="60"/>
      <c r="G47" s="87">
        <f t="shared" ref="G47:G49" si="6">+F47*E47</f>
        <v>0</v>
      </c>
      <c r="I47" s="5">
        <f t="shared" ref="I47:I49" si="7">+F47*17</f>
        <v>0</v>
      </c>
      <c r="J47" s="84">
        <f t="shared" ref="J47:J49" si="8">+I47*E47</f>
        <v>0</v>
      </c>
    </row>
    <row r="48" spans="1:10" s="6" customFormat="1" ht="23.4" customHeight="1" x14ac:dyDescent="0.3">
      <c r="A48" s="207" t="s">
        <v>1</v>
      </c>
      <c r="B48" s="368" t="s">
        <v>435</v>
      </c>
      <c r="C48" s="372" t="s">
        <v>1388</v>
      </c>
      <c r="D48" s="214" t="s">
        <v>103</v>
      </c>
      <c r="E48" s="209">
        <v>90000</v>
      </c>
      <c r="F48" s="60"/>
      <c r="G48" s="87">
        <f t="shared" si="6"/>
        <v>0</v>
      </c>
      <c r="I48" s="5">
        <f t="shared" si="7"/>
        <v>0</v>
      </c>
      <c r="J48" s="84">
        <f t="shared" si="8"/>
        <v>0</v>
      </c>
    </row>
    <row r="49" spans="1:13" s="6" customFormat="1" ht="12" customHeight="1" x14ac:dyDescent="0.3">
      <c r="A49" s="207" t="s">
        <v>1</v>
      </c>
      <c r="B49" s="368" t="s">
        <v>1387</v>
      </c>
      <c r="C49" s="372" t="s">
        <v>1386</v>
      </c>
      <c r="D49" s="214" t="s">
        <v>103</v>
      </c>
      <c r="E49" s="209">
        <v>7500</v>
      </c>
      <c r="F49" s="60"/>
      <c r="G49" s="87">
        <f t="shared" si="6"/>
        <v>0</v>
      </c>
      <c r="I49" s="5">
        <f t="shared" si="7"/>
        <v>0</v>
      </c>
      <c r="J49" s="84">
        <f t="shared" si="8"/>
        <v>0</v>
      </c>
    </row>
    <row r="50" spans="1:13" s="6" customFormat="1" ht="23.4" customHeight="1" x14ac:dyDescent="0.3">
      <c r="A50" s="207"/>
      <c r="B50" s="368"/>
      <c r="C50" s="372"/>
      <c r="D50" s="214"/>
      <c r="E50" s="209"/>
      <c r="F50" s="60"/>
      <c r="G50" s="87">
        <f t="shared" si="0"/>
        <v>0</v>
      </c>
      <c r="I50" s="5">
        <f t="shared" si="1"/>
        <v>0</v>
      </c>
      <c r="J50" s="84">
        <f t="shared" si="2"/>
        <v>0</v>
      </c>
    </row>
    <row r="51" spans="1:13" x14ac:dyDescent="0.3">
      <c r="G51" s="28">
        <f>SUM(G16:G50)</f>
        <v>0</v>
      </c>
      <c r="H51" s="938"/>
      <c r="I51" s="938"/>
      <c r="J51" s="61">
        <f>SUM(J16:J50)</f>
        <v>23166000</v>
      </c>
      <c r="K51" s="62"/>
      <c r="L51" s="63"/>
      <c r="M51" s="63"/>
    </row>
    <row r="52" spans="1:13" ht="12.75" customHeight="1" x14ac:dyDescent="0.3">
      <c r="A52" s="26"/>
      <c r="G52" s="17"/>
      <c r="H52" s="938"/>
      <c r="I52" s="938"/>
      <c r="J52" s="61"/>
      <c r="K52" s="62"/>
      <c r="L52" s="63"/>
      <c r="M52" s="63"/>
    </row>
    <row r="53" spans="1:13" ht="12.75" customHeight="1" x14ac:dyDescent="0.3">
      <c r="G53" s="17"/>
      <c r="H53" s="938"/>
      <c r="I53" s="938"/>
      <c r="J53" s="61"/>
      <c r="K53" s="62"/>
      <c r="L53" s="63"/>
      <c r="M53" s="63"/>
    </row>
    <row r="54" spans="1:13" ht="12.75" customHeight="1" x14ac:dyDescent="0.3">
      <c r="G54" s="17"/>
      <c r="H54" s="938"/>
      <c r="I54" s="938"/>
      <c r="J54" s="61"/>
      <c r="K54" s="62"/>
      <c r="L54" s="63"/>
      <c r="M54" s="63"/>
    </row>
  </sheetData>
  <autoFilter ref="A15:G54" xr:uid="{00000000-0009-0000-0000-00000E000000}">
    <sortState xmlns:xlrd2="http://schemas.microsoft.com/office/spreadsheetml/2017/richdata2" ref="A16:G36">
      <sortCondition ref="B15"/>
    </sortState>
  </autoFilter>
  <sortState xmlns:xlrd2="http://schemas.microsoft.com/office/spreadsheetml/2017/richdata2" ref="A16:G67">
    <sortCondition ref="C16:C67"/>
  </sortState>
  <mergeCells count="17">
    <mergeCell ref="C1:G1"/>
    <mergeCell ref="C13:G13"/>
    <mergeCell ref="C12:G12"/>
    <mergeCell ref="B7:C7"/>
    <mergeCell ref="F7:G7"/>
    <mergeCell ref="C10:G10"/>
    <mergeCell ref="F9:G9"/>
    <mergeCell ref="C11:G11"/>
    <mergeCell ref="A2:B5"/>
    <mergeCell ref="D2:G2"/>
    <mergeCell ref="D3:G3"/>
    <mergeCell ref="D4:G4"/>
    <mergeCell ref="D5:E5"/>
    <mergeCell ref="H51:I51"/>
    <mergeCell ref="H52:I52"/>
    <mergeCell ref="H53:I53"/>
    <mergeCell ref="H54:I54"/>
  </mergeCells>
  <phoneticPr fontId="25" type="noConversion"/>
  <pageMargins left="0.98425196850393704" right="0.70866141732283472" top="1.1811023622047245" bottom="1.4566929133858268" header="0.23622047244094491" footer="0.70866141732283472"/>
  <pageSetup scale="79" orientation="portrait" r:id="rId1"/>
  <headerFooter>
    <oddHeader>&amp;L&amp;G&amp;C&amp;G&amp;R&amp;G</oddHeader>
    <oddFooter>&amp;L
&amp;G&amp;R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5202-5DC0-4D87-B81A-C2BA9508E7DB}">
  <sheetPr>
    <tabColor rgb="FFFFFF00"/>
  </sheetPr>
  <dimension ref="A1:O78"/>
  <sheetViews>
    <sheetView view="pageBreakPreview" topLeftCell="A39" zoomScaleNormal="100" zoomScaleSheetLayoutView="100" workbookViewId="0">
      <selection activeCell="H61" sqref="H61:I61"/>
    </sheetView>
  </sheetViews>
  <sheetFormatPr baseColWidth="10" defaultColWidth="11.44140625" defaultRowHeight="10.199999999999999" x14ac:dyDescent="0.2"/>
  <cols>
    <col min="1" max="1" width="5.88671875" style="68" customWidth="1"/>
    <col min="2" max="2" width="8.88671875" style="68" customWidth="1"/>
    <col min="3" max="3" width="15.109375" style="109" customWidth="1"/>
    <col min="4" max="4" width="14.109375" style="109" customWidth="1"/>
    <col min="5" max="5" width="7.5546875" style="68" customWidth="1"/>
    <col min="6" max="6" width="9" style="68" customWidth="1"/>
    <col min="7" max="7" width="14.109375" style="69" bestFit="1" customWidth="1"/>
    <col min="8" max="8" width="15.88671875" style="68" bestFit="1" customWidth="1"/>
    <col min="9" max="9" width="11" style="68" bestFit="1" customWidth="1"/>
    <col min="10" max="10" width="16.6640625" style="68" hidden="1" customWidth="1"/>
    <col min="11" max="12" width="0" style="68" hidden="1" customWidth="1"/>
    <col min="13" max="13" width="12.88671875" style="68" bestFit="1" customWidth="1"/>
    <col min="14" max="14" width="11.44140625" style="68"/>
    <col min="15" max="15" width="14.44140625" style="68" bestFit="1" customWidth="1"/>
    <col min="16" max="16384" width="11.44140625" style="68"/>
  </cols>
  <sheetData>
    <row r="1" spans="1:9" ht="38.25" customHeight="1" x14ac:dyDescent="0.2">
      <c r="A1" s="67"/>
      <c r="B1" s="67"/>
      <c r="C1" s="600"/>
      <c r="D1" s="600"/>
      <c r="E1" s="600"/>
      <c r="F1" s="600"/>
      <c r="G1" s="600"/>
      <c r="H1" s="600"/>
      <c r="I1" s="600"/>
    </row>
    <row r="2" spans="1:9" ht="12.75" customHeight="1" x14ac:dyDescent="0.2">
      <c r="A2" s="601"/>
      <c r="B2" s="601"/>
      <c r="E2" s="236"/>
      <c r="F2" s="236"/>
      <c r="G2" s="602" t="s">
        <v>60</v>
      </c>
      <c r="H2" s="602"/>
      <c r="I2" s="602"/>
    </row>
    <row r="3" spans="1:9" ht="12.75" customHeight="1" x14ac:dyDescent="0.2">
      <c r="A3" s="601"/>
      <c r="B3" s="601"/>
      <c r="E3" s="236"/>
      <c r="F3" s="600"/>
      <c r="G3" s="602" t="s">
        <v>61</v>
      </c>
      <c r="H3" s="602"/>
      <c r="I3" s="602"/>
    </row>
    <row r="4" spans="1:9" ht="12.75" customHeight="1" x14ac:dyDescent="0.2">
      <c r="A4" s="601"/>
      <c r="B4" s="601"/>
      <c r="E4" s="236"/>
      <c r="F4" s="600"/>
      <c r="G4" s="602" t="str">
        <f>VLOOKUP(F5,'[3]LOGOS SUB REGION'!$B$6:$C$22,2,FALSE)</f>
        <v>DISTRITO DE TURBO</v>
      </c>
      <c r="H4" s="602"/>
      <c r="I4" s="602"/>
    </row>
    <row r="5" spans="1:9" ht="12.75" customHeight="1" x14ac:dyDescent="0.2">
      <c r="A5" s="601"/>
      <c r="B5" s="601"/>
      <c r="E5" s="236"/>
      <c r="F5" s="45" t="s">
        <v>281</v>
      </c>
      <c r="G5" s="602" t="str">
        <f>VLOOKUP(F6,'[3]LOGOS SUB REGION'!$B$6:$C$22,2,FALSE)</f>
        <v>SECRETARIA DISTRITAL DE INFRAESTRUCTURA</v>
      </c>
      <c r="H5" s="602"/>
      <c r="I5" s="602"/>
    </row>
    <row r="6" spans="1:9" ht="10.5" customHeight="1" x14ac:dyDescent="0.2">
      <c r="B6" s="27"/>
      <c r="F6" s="45" t="s">
        <v>280</v>
      </c>
    </row>
    <row r="7" spans="1:9" x14ac:dyDescent="0.2">
      <c r="A7" s="604" t="s">
        <v>21</v>
      </c>
      <c r="B7" s="604"/>
      <c r="C7" s="605" t="str">
        <f>+G4</f>
        <v>DISTRITO DE TURBO</v>
      </c>
      <c r="D7" s="605"/>
      <c r="E7" s="604" t="s">
        <v>22</v>
      </c>
      <c r="F7" s="604"/>
      <c r="G7" s="604"/>
      <c r="H7" s="606" t="str">
        <f>+G3</f>
        <v>DEPARTAMENTO DE ANTIOQUIA</v>
      </c>
      <c r="I7" s="606"/>
    </row>
    <row r="8" spans="1:9" x14ac:dyDescent="0.2">
      <c r="A8" s="2"/>
      <c r="B8" s="2"/>
      <c r="C8" s="228"/>
      <c r="D8" s="228"/>
      <c r="E8" s="3"/>
      <c r="F8" s="3"/>
      <c r="G8" s="65"/>
      <c r="H8" s="3"/>
      <c r="I8" s="3"/>
    </row>
    <row r="9" spans="1:9" ht="14.25" customHeight="1" x14ac:dyDescent="0.2">
      <c r="A9" s="607" t="s">
        <v>20</v>
      </c>
      <c r="B9" s="608"/>
      <c r="C9" s="609" t="s">
        <v>116</v>
      </c>
      <c r="D9" s="609"/>
      <c r="E9" s="610" t="s">
        <v>10</v>
      </c>
      <c r="F9" s="610"/>
      <c r="G9" s="610"/>
      <c r="H9" s="654">
        <f>VLOOKUP(E9,[3]INICIO!$E$10:$H$22,2,FALSE)</f>
        <v>44389</v>
      </c>
      <c r="I9" s="654"/>
    </row>
    <row r="10" spans="1:9" ht="11.4" customHeight="1" x14ac:dyDescent="0.2">
      <c r="A10" s="607" t="s">
        <v>8</v>
      </c>
      <c r="B10" s="608"/>
      <c r="C10" s="241" t="s">
        <v>62</v>
      </c>
      <c r="D10" s="655" t="str">
        <f>VLOOKUP([3]APU!C10,[3]INICIO!$E$10:$H$16,2,FALSE)</f>
        <v>DISTRITO DE TURBO</v>
      </c>
      <c r="E10" s="655"/>
      <c r="F10" s="655"/>
      <c r="G10" s="655"/>
      <c r="H10" s="655"/>
      <c r="I10" s="655"/>
    </row>
    <row r="11" spans="1:9" ht="19.95" customHeight="1" x14ac:dyDescent="0.2">
      <c r="A11" s="607" t="s">
        <v>7</v>
      </c>
      <c r="B11" s="608"/>
      <c r="C11" s="241" t="s">
        <v>63</v>
      </c>
      <c r="D11" s="655" t="str">
        <f>VLOOKUP([3]APU!C11,[3]INICIO!$E$10:$H$16,2,FALSE)</f>
        <v>BARRIOS, CIUDADELA INDUSTRIAL, LAS DELICIAS, JUAN XXIII, EL BOSQUE</v>
      </c>
      <c r="E11" s="655"/>
      <c r="F11" s="655"/>
      <c r="G11" s="655"/>
      <c r="H11" s="655"/>
      <c r="I11" s="655"/>
    </row>
    <row r="12" spans="1:9" ht="11.4" customHeight="1" x14ac:dyDescent="0.2">
      <c r="A12" s="607" t="s">
        <v>9</v>
      </c>
      <c r="B12" s="608"/>
      <c r="C12" s="241" t="s">
        <v>62</v>
      </c>
      <c r="D12" s="655" t="str">
        <f>VLOOKUP([3]APU!C12,[3]INICIO!$E$10:$H$16,2,FALSE)</f>
        <v>PAVIMENTA TU BARRIO</v>
      </c>
      <c r="E12" s="655"/>
      <c r="F12" s="655"/>
      <c r="G12" s="655"/>
      <c r="H12" s="655"/>
      <c r="I12" s="655"/>
    </row>
    <row r="13" spans="1:9" ht="11.4" customHeight="1" x14ac:dyDescent="0.2">
      <c r="A13" s="607" t="s">
        <v>66</v>
      </c>
      <c r="B13" s="608"/>
      <c r="C13" s="241" t="s">
        <v>65</v>
      </c>
      <c r="D13" s="655" t="str">
        <f>VLOOKUP([3]APU!C13,[3]INICIO!$E$10:$H$16,2,FALSE)</f>
        <v>INVIAS, RAS 2000, NORMAS EPM</v>
      </c>
      <c r="E13" s="655"/>
      <c r="F13" s="655"/>
      <c r="G13" s="655"/>
      <c r="H13" s="655"/>
      <c r="I13" s="655"/>
    </row>
    <row r="14" spans="1:9" ht="7.2" customHeight="1" x14ac:dyDescent="0.2"/>
    <row r="15" spans="1:9" s="73" customFormat="1" ht="20.399999999999999" x14ac:dyDescent="0.3">
      <c r="A15" s="264" t="s">
        <v>11</v>
      </c>
      <c r="B15" s="261" t="s">
        <v>294</v>
      </c>
      <c r="C15" s="616" t="s">
        <v>35</v>
      </c>
      <c r="D15" s="616"/>
      <c r="E15" s="264" t="s">
        <v>12</v>
      </c>
      <c r="F15" s="264" t="s">
        <v>13</v>
      </c>
      <c r="G15" s="265" t="s">
        <v>119</v>
      </c>
      <c r="H15" s="264" t="s">
        <v>38</v>
      </c>
      <c r="I15" s="264" t="s">
        <v>118</v>
      </c>
    </row>
    <row r="16" spans="1:9" s="73" customFormat="1" ht="16.5" customHeight="1" x14ac:dyDescent="0.3">
      <c r="A16" s="617" t="s">
        <v>122</v>
      </c>
      <c r="B16" s="617"/>
      <c r="C16" s="617"/>
      <c r="D16" s="617"/>
      <c r="E16" s="617"/>
      <c r="F16" s="617"/>
      <c r="G16" s="617"/>
      <c r="H16" s="656">
        <f>SUM(H17:H18)</f>
        <v>118032740</v>
      </c>
      <c r="I16" s="657"/>
    </row>
    <row r="17" spans="1:11" s="44" customFormat="1" ht="13.5" customHeight="1" x14ac:dyDescent="0.3">
      <c r="A17" s="43" t="s">
        <v>25</v>
      </c>
      <c r="B17" s="21" t="s">
        <v>117</v>
      </c>
      <c r="C17" s="612" t="s">
        <v>992</v>
      </c>
      <c r="D17" s="612"/>
      <c r="E17" s="43" t="str">
        <f>VLOOKUP(B17,[3]APU!$B$16:$I$1858,4,FALSE)</f>
        <v>ML</v>
      </c>
      <c r="F17" s="43">
        <v>9956</v>
      </c>
      <c r="G17" s="495">
        <f>VLOOKUP(B17,[3]APU1!$B$16:$I$1222,8,FALSE)</f>
        <v>1393</v>
      </c>
      <c r="H17" s="592">
        <f>+G17*F17</f>
        <v>13868708</v>
      </c>
      <c r="I17" s="76"/>
    </row>
    <row r="18" spans="1:11" s="78" customFormat="1" ht="20.25" customHeight="1" x14ac:dyDescent="0.3">
      <c r="A18" s="43" t="s">
        <v>205</v>
      </c>
      <c r="B18" s="21" t="s">
        <v>206</v>
      </c>
      <c r="C18" s="612" t="s">
        <v>1582</v>
      </c>
      <c r="D18" s="612"/>
      <c r="E18" s="43" t="str">
        <f>VLOOKUP(B18,[3]APU!$B$16:$I$1858,4,FALSE)</f>
        <v>M2</v>
      </c>
      <c r="F18" s="43">
        <v>4794</v>
      </c>
      <c r="G18" s="495">
        <f>VLOOKUP(B18,[3]APU1!$B$16:$I$1222,8,FALSE)</f>
        <v>21728</v>
      </c>
      <c r="H18" s="592">
        <f>+G18*F18</f>
        <v>104164032</v>
      </c>
      <c r="I18" s="77"/>
    </row>
    <row r="19" spans="1:11" s="73" customFormat="1" ht="15" customHeight="1" x14ac:dyDescent="0.3">
      <c r="A19" s="617" t="s">
        <v>1083</v>
      </c>
      <c r="B19" s="617"/>
      <c r="C19" s="617"/>
      <c r="D19" s="617"/>
      <c r="E19" s="617"/>
      <c r="F19" s="617"/>
      <c r="G19" s="617"/>
      <c r="H19" s="656">
        <f>SUM(H20:H33)</f>
        <v>1320289305.24</v>
      </c>
      <c r="I19" s="657"/>
    </row>
    <row r="20" spans="1:11" ht="12" customHeight="1" x14ac:dyDescent="0.2">
      <c r="A20" s="43" t="s">
        <v>209</v>
      </c>
      <c r="B20" s="21" t="s">
        <v>210</v>
      </c>
      <c r="C20" s="612" t="s">
        <v>994</v>
      </c>
      <c r="D20" s="612"/>
      <c r="E20" s="43" t="str">
        <f>VLOOKUP(B20,[3]APU!$B$16:$I$1858,4,FALSE)</f>
        <v>M3</v>
      </c>
      <c r="F20" s="43">
        <v>5114</v>
      </c>
      <c r="G20" s="495">
        <f>VLOOKUP(B20,[3]APU1!$B$16:$I$1222,8,FALSE)</f>
        <v>26684</v>
      </c>
      <c r="H20" s="495">
        <f t="shared" ref="H20:H33" si="0">+G20*F20</f>
        <v>136461976</v>
      </c>
      <c r="I20" s="79"/>
    </row>
    <row r="21" spans="1:11" ht="18" customHeight="1" x14ac:dyDescent="0.2">
      <c r="A21" s="43" t="s">
        <v>211</v>
      </c>
      <c r="B21" s="21" t="s">
        <v>212</v>
      </c>
      <c r="C21" s="627" t="s">
        <v>392</v>
      </c>
      <c r="D21" s="628"/>
      <c r="E21" s="43" t="str">
        <f>VLOOKUP(B21,[3]APU!$B$16:$I$1858,4,FALSE)</f>
        <v>m3</v>
      </c>
      <c r="F21" s="43">
        <v>9434</v>
      </c>
      <c r="G21" s="495">
        <f>VLOOKUP(B21,[3]APU1!$B$16:$I$1222,8,FALSE)</f>
        <v>13151</v>
      </c>
      <c r="H21" s="495">
        <f t="shared" si="0"/>
        <v>124066534</v>
      </c>
      <c r="I21" s="77"/>
    </row>
    <row r="22" spans="1:11" ht="11.4" customHeight="1" x14ac:dyDescent="0.2">
      <c r="A22" s="43" t="s">
        <v>214</v>
      </c>
      <c r="B22" s="21" t="s">
        <v>222</v>
      </c>
      <c r="C22" s="627" t="s">
        <v>213</v>
      </c>
      <c r="D22" s="628"/>
      <c r="E22" s="43" t="str">
        <f>VLOOKUP(B22,[3]APU!$B$16:$I$1858,4,FALSE)</f>
        <v>UNIDAD</v>
      </c>
      <c r="F22" s="43">
        <v>31</v>
      </c>
      <c r="G22" s="495">
        <f>VLOOKUP(B22,[3]APU1!$B$16:$I$1222,8,FALSE)</f>
        <v>131960</v>
      </c>
      <c r="H22" s="495">
        <f t="shared" si="0"/>
        <v>4090760</v>
      </c>
      <c r="I22" s="77"/>
    </row>
    <row r="23" spans="1:11" ht="11.4" customHeight="1" x14ac:dyDescent="0.2">
      <c r="A23" s="43" t="s">
        <v>215</v>
      </c>
      <c r="B23" s="21" t="s">
        <v>223</v>
      </c>
      <c r="C23" s="627" t="s">
        <v>216</v>
      </c>
      <c r="D23" s="628"/>
      <c r="E23" s="43" t="str">
        <f>VLOOKUP(B23,[3]APU!$B$16:$I$1858,4,FALSE)</f>
        <v>UNIDAD</v>
      </c>
      <c r="F23" s="43">
        <v>146</v>
      </c>
      <c r="G23" s="495">
        <f>VLOOKUP(B23,[3]APU1!$B$16:$I$1222,8,FALSE)</f>
        <v>410779</v>
      </c>
      <c r="H23" s="495">
        <f t="shared" si="0"/>
        <v>59973734</v>
      </c>
      <c r="I23" s="77"/>
    </row>
    <row r="24" spans="1:11" ht="11.4" customHeight="1" x14ac:dyDescent="0.2">
      <c r="A24" s="43" t="s">
        <v>217</v>
      </c>
      <c r="B24" s="21" t="s">
        <v>226</v>
      </c>
      <c r="C24" s="627" t="s">
        <v>224</v>
      </c>
      <c r="D24" s="628"/>
      <c r="E24" s="43" t="str">
        <f>VLOOKUP(B24,[3]APU!$B$16:$I$1858,4,FALSE)</f>
        <v>UNIDAD</v>
      </c>
      <c r="F24" s="43">
        <v>185</v>
      </c>
      <c r="G24" s="495">
        <f>VLOOKUP(B24,[3]APU1!$B$16:$I$1222,8,FALSE)</f>
        <v>289064</v>
      </c>
      <c r="H24" s="495">
        <f t="shared" si="0"/>
        <v>53476840</v>
      </c>
      <c r="I24" s="77"/>
    </row>
    <row r="25" spans="1:11" ht="11.4" customHeight="1" x14ac:dyDescent="0.2">
      <c r="A25" s="43" t="s">
        <v>218</v>
      </c>
      <c r="B25" s="21" t="s">
        <v>293</v>
      </c>
      <c r="C25" s="627" t="s">
        <v>225</v>
      </c>
      <c r="D25" s="628"/>
      <c r="E25" s="43" t="str">
        <f>VLOOKUP(B25,[3]APU!$B$16:$I$1858,4,FALSE)</f>
        <v>UNIDAD</v>
      </c>
      <c r="F25" s="43">
        <v>185</v>
      </c>
      <c r="G25" s="495">
        <f>VLOOKUP(B25,[3]APU1!$B$16:$I$1222,8,FALSE)</f>
        <v>45584</v>
      </c>
      <c r="H25" s="495">
        <f t="shared" si="0"/>
        <v>8433040</v>
      </c>
      <c r="I25" s="77"/>
    </row>
    <row r="26" spans="1:11" ht="13.5" customHeight="1" x14ac:dyDescent="0.2">
      <c r="A26" s="43" t="s">
        <v>219</v>
      </c>
      <c r="B26" s="21" t="s">
        <v>282</v>
      </c>
      <c r="C26" s="627" t="s">
        <v>415</v>
      </c>
      <c r="D26" s="628"/>
      <c r="E26" s="43" t="str">
        <f>VLOOKUP(B26,[3]APU!$B$16:$I$1858,4,FALSE)</f>
        <v>ML</v>
      </c>
      <c r="F26" s="43">
        <v>1950</v>
      </c>
      <c r="G26" s="495">
        <f>VLOOKUP(B26,[3]APU1!$B$16:$I$1222,8,FALSE)</f>
        <v>33428</v>
      </c>
      <c r="H26" s="592">
        <f t="shared" si="0"/>
        <v>65184600</v>
      </c>
      <c r="I26" s="77"/>
    </row>
    <row r="27" spans="1:11" ht="18.600000000000001" customHeight="1" x14ac:dyDescent="0.2">
      <c r="A27" s="43" t="s">
        <v>220</v>
      </c>
      <c r="B27" s="21" t="s">
        <v>283</v>
      </c>
      <c r="C27" s="627" t="s">
        <v>866</v>
      </c>
      <c r="D27" s="628"/>
      <c r="E27" s="43" t="str">
        <f>VLOOKUP(B27,[3]APU!$B$16:$I$1858,4,FALSE)</f>
        <v>ML</v>
      </c>
      <c r="F27" s="43">
        <v>1428.02</v>
      </c>
      <c r="G27" s="495">
        <f>VLOOKUP(B27,[3]APU1!$B$16:$I$1222,8,FALSE)</f>
        <v>36467</v>
      </c>
      <c r="H27" s="592">
        <f t="shared" si="0"/>
        <v>52075605.339999996</v>
      </c>
      <c r="I27" s="77"/>
      <c r="K27" s="68">
        <f>18*2.54</f>
        <v>45.72</v>
      </c>
    </row>
    <row r="28" spans="1:11" ht="18.600000000000001" customHeight="1" x14ac:dyDescent="0.2">
      <c r="A28" s="43" t="s">
        <v>221</v>
      </c>
      <c r="B28" s="21" t="s">
        <v>995</v>
      </c>
      <c r="C28" s="627" t="s">
        <v>867</v>
      </c>
      <c r="D28" s="628"/>
      <c r="E28" s="43" t="str">
        <f>VLOOKUP(B28,[3]APU!$B$16:$I$1858,4,FALSE)</f>
        <v>ML</v>
      </c>
      <c r="F28" s="43">
        <v>1228.6500000000001</v>
      </c>
      <c r="G28" s="495">
        <f>VLOOKUP(B28,[3]APU1!$B$16:$I$1222,8,FALSE)</f>
        <v>39506</v>
      </c>
      <c r="H28" s="592">
        <f>+G28*F28</f>
        <v>48539046.900000006</v>
      </c>
      <c r="I28" s="77"/>
    </row>
    <row r="29" spans="1:11" ht="18.600000000000001" customHeight="1" x14ac:dyDescent="0.2">
      <c r="A29" s="43" t="s">
        <v>426</v>
      </c>
      <c r="B29" s="21" t="s">
        <v>285</v>
      </c>
      <c r="C29" s="627" t="s">
        <v>509</v>
      </c>
      <c r="D29" s="628"/>
      <c r="E29" s="43" t="str">
        <f>VLOOKUP(B29,[3]APU!$B$16:$I$1858,4,FALSE)</f>
        <v>ML</v>
      </c>
      <c r="F29" s="43">
        <v>560</v>
      </c>
      <c r="G29" s="495">
        <f>VLOOKUP(B29,[3]APU1!$B$16:$I$1222,8,FALSE)</f>
        <v>42545</v>
      </c>
      <c r="H29" s="592">
        <f>+G29*F29</f>
        <v>23825200</v>
      </c>
      <c r="I29" s="77"/>
    </row>
    <row r="30" spans="1:11" ht="12" customHeight="1" x14ac:dyDescent="0.2">
      <c r="A30" s="43" t="s">
        <v>412</v>
      </c>
      <c r="B30" s="21" t="s">
        <v>416</v>
      </c>
      <c r="C30" s="627" t="s">
        <v>417</v>
      </c>
      <c r="D30" s="628"/>
      <c r="E30" s="43" t="str">
        <f>VLOOKUP(B30,[3]APU!$B$16:$I$1858,4,FALSE)</f>
        <v>UNIDAD</v>
      </c>
      <c r="F30" s="43">
        <v>36</v>
      </c>
      <c r="G30" s="495">
        <f>VLOOKUP(B30,[3]APU1!$B$16:$I$1222,8,FALSE)</f>
        <v>869442</v>
      </c>
      <c r="H30" s="592">
        <f t="shared" si="0"/>
        <v>31299912</v>
      </c>
      <c r="I30" s="77"/>
    </row>
    <row r="31" spans="1:11" ht="18.600000000000001" customHeight="1" x14ac:dyDescent="0.2">
      <c r="A31" s="43" t="s">
        <v>413</v>
      </c>
      <c r="B31" s="21" t="s">
        <v>284</v>
      </c>
      <c r="C31" s="627" t="s">
        <v>418</v>
      </c>
      <c r="D31" s="628"/>
      <c r="E31" s="43" t="str">
        <f>VLOOKUP(B31,[3]APU!$B$16:$I$1858,4,FALSE)</f>
        <v>M3</v>
      </c>
      <c r="F31" s="43">
        <v>1936</v>
      </c>
      <c r="G31" s="495">
        <f>VLOOKUP(B31,[3]APU1!$B$16:$I$1222,8,FALSE)</f>
        <v>85220</v>
      </c>
      <c r="H31" s="592">
        <f t="shared" si="0"/>
        <v>164985920</v>
      </c>
      <c r="I31" s="77"/>
    </row>
    <row r="32" spans="1:11" ht="11.4" customHeight="1" x14ac:dyDescent="0.2">
      <c r="A32" s="43" t="s">
        <v>864</v>
      </c>
      <c r="B32" s="21" t="s">
        <v>429</v>
      </c>
      <c r="C32" s="627" t="s">
        <v>419</v>
      </c>
      <c r="D32" s="628"/>
      <c r="E32" s="43" t="str">
        <f>VLOOKUP(B32,[3]APU!$B$16:$I$1858,4,FALSE)</f>
        <v>M3</v>
      </c>
      <c r="F32" s="43">
        <v>1573</v>
      </c>
      <c r="G32" s="495">
        <f>VLOOKUP(B32,[3]APU1!$B$16:$I$1222,8,FALSE)</f>
        <v>51349</v>
      </c>
      <c r="H32" s="592">
        <f t="shared" si="0"/>
        <v>80771977</v>
      </c>
      <c r="I32" s="77"/>
    </row>
    <row r="33" spans="1:11" ht="11.4" customHeight="1" x14ac:dyDescent="0.2">
      <c r="A33" s="43" t="s">
        <v>865</v>
      </c>
      <c r="B33" s="21" t="s">
        <v>393</v>
      </c>
      <c r="C33" s="627" t="s">
        <v>414</v>
      </c>
      <c r="D33" s="628"/>
      <c r="E33" s="43" t="str">
        <f>VLOOKUP(B33,[3]APU!$B$16:$I$1858,4,FALSE)</f>
        <v>UNIDAD</v>
      </c>
      <c r="F33" s="43">
        <v>464</v>
      </c>
      <c r="G33" s="495">
        <f>VLOOKUP(B33,[3]APU1!$B$16:$I$1222,8,FALSE)</f>
        <v>1006690</v>
      </c>
      <c r="H33" s="592">
        <f t="shared" si="0"/>
        <v>467104160</v>
      </c>
      <c r="I33" s="77"/>
    </row>
    <row r="34" spans="1:11" ht="16.5" customHeight="1" x14ac:dyDescent="0.2">
      <c r="A34" s="617" t="s">
        <v>1084</v>
      </c>
      <c r="B34" s="617"/>
      <c r="C34" s="617"/>
      <c r="D34" s="617"/>
      <c r="E34" s="617"/>
      <c r="F34" s="617"/>
      <c r="G34" s="617"/>
      <c r="H34" s="656">
        <f>SUM(H35:H40)</f>
        <v>3403873156</v>
      </c>
      <c r="I34" s="657"/>
    </row>
    <row r="35" spans="1:11" ht="18.600000000000001" customHeight="1" x14ac:dyDescent="0.2">
      <c r="A35" s="43" t="s">
        <v>243</v>
      </c>
      <c r="B35" s="21" t="s">
        <v>245</v>
      </c>
      <c r="C35" s="627" t="s">
        <v>1583</v>
      </c>
      <c r="D35" s="628"/>
      <c r="E35" s="43" t="str">
        <f>VLOOKUP(B35,[3]APU!$B$16:$I$1858,4,FALSE)</f>
        <v>M3</v>
      </c>
      <c r="F35" s="43">
        <v>2433</v>
      </c>
      <c r="G35" s="495">
        <f>VLOOKUP(B35,[3]APU1!$B$16:$I$1222,8,FALSE)</f>
        <v>33832</v>
      </c>
      <c r="H35" s="592">
        <f t="shared" ref="H35:H40" si="1">+G35*F35</f>
        <v>82313256</v>
      </c>
      <c r="I35" s="79"/>
    </row>
    <row r="36" spans="1:11" ht="19.95" customHeight="1" x14ac:dyDescent="0.2">
      <c r="A36" s="43" t="s">
        <v>249</v>
      </c>
      <c r="B36" s="21" t="s">
        <v>246</v>
      </c>
      <c r="C36" s="627" t="s">
        <v>399</v>
      </c>
      <c r="D36" s="628"/>
      <c r="E36" s="43" t="str">
        <f>VLOOKUP(B36,[3]APU!$B$16:$I$1858,4,FALSE)</f>
        <v>M2</v>
      </c>
      <c r="F36" s="43">
        <v>16220</v>
      </c>
      <c r="G36" s="495">
        <f>VLOOKUP(B36,[3]APU1!$B$16:$I$1222,8,FALSE)</f>
        <v>9878</v>
      </c>
      <c r="H36" s="592">
        <f t="shared" si="1"/>
        <v>160221160</v>
      </c>
      <c r="I36" s="80"/>
    </row>
    <row r="37" spans="1:11" ht="30" customHeight="1" x14ac:dyDescent="0.2">
      <c r="A37" s="43" t="s">
        <v>253</v>
      </c>
      <c r="B37" s="21" t="s">
        <v>247</v>
      </c>
      <c r="C37" s="627" t="s">
        <v>1584</v>
      </c>
      <c r="D37" s="628"/>
      <c r="E37" s="43" t="str">
        <f>VLOOKUP(B37,[3]APU!$B$16:$I$1858,4,FALSE)</f>
        <v>M3</v>
      </c>
      <c r="F37" s="43">
        <v>2433</v>
      </c>
      <c r="G37" s="495">
        <f>VLOOKUP(B37,[3]APU1!$B$16:$I$1222,8,FALSE)</f>
        <v>115869</v>
      </c>
      <c r="H37" s="592">
        <f t="shared" si="1"/>
        <v>281909277</v>
      </c>
      <c r="I37" s="80"/>
    </row>
    <row r="38" spans="1:11" ht="30" customHeight="1" x14ac:dyDescent="0.2">
      <c r="A38" s="43" t="s">
        <v>254</v>
      </c>
      <c r="B38" s="21" t="s">
        <v>434</v>
      </c>
      <c r="C38" s="627" t="s">
        <v>1585</v>
      </c>
      <c r="D38" s="628"/>
      <c r="E38" s="43" t="str">
        <f>VLOOKUP(B38,[3]APU!$B$16:$I$1858,4,FALSE)</f>
        <v>M3</v>
      </c>
      <c r="F38" s="43">
        <v>7715</v>
      </c>
      <c r="G38" s="495">
        <f>VLOOKUP(B38,[3]APU1!$B$16:$I$1222,8,FALSE)</f>
        <v>93617</v>
      </c>
      <c r="H38" s="592">
        <f t="shared" si="1"/>
        <v>722255155</v>
      </c>
      <c r="I38" s="80"/>
    </row>
    <row r="39" spans="1:11" ht="19.95" customHeight="1" x14ac:dyDescent="0.2">
      <c r="A39" s="43" t="s">
        <v>255</v>
      </c>
      <c r="B39" s="21" t="s">
        <v>248</v>
      </c>
      <c r="C39" s="627" t="s">
        <v>1586</v>
      </c>
      <c r="D39" s="628"/>
      <c r="E39" s="43" t="str">
        <f>VLOOKUP(B39,[2]APU!$B$16:$I$2863,4,FALSE)</f>
        <v>M3</v>
      </c>
      <c r="F39" s="43">
        <v>10024</v>
      </c>
      <c r="G39" s="495">
        <f>VLOOKUP(B39,[3]APU1!$B$16:$I$1222,8,FALSE)</f>
        <v>209861</v>
      </c>
      <c r="H39" s="592">
        <f>+G39*F39</f>
        <v>2103646664</v>
      </c>
      <c r="I39" s="80"/>
      <c r="K39" s="68">
        <f>+F39/25</f>
        <v>400.96</v>
      </c>
    </row>
    <row r="40" spans="1:11" ht="20.399999999999999" customHeight="1" x14ac:dyDescent="0.2">
      <c r="A40" s="43" t="s">
        <v>256</v>
      </c>
      <c r="B40" s="21" t="s">
        <v>259</v>
      </c>
      <c r="C40" s="627" t="s">
        <v>1587</v>
      </c>
      <c r="D40" s="628"/>
      <c r="E40" s="43" t="str">
        <f>VLOOKUP(B40,[2]APU!$B$16:$I$2863,4,FALSE)</f>
        <v>KG</v>
      </c>
      <c r="F40" s="43">
        <v>15108</v>
      </c>
      <c r="G40" s="495">
        <f>VLOOKUP(B40,[3]APU1!$B$16:$I$1222,8,FALSE)</f>
        <v>3543</v>
      </c>
      <c r="H40" s="592">
        <f t="shared" si="1"/>
        <v>53527644</v>
      </c>
      <c r="I40" s="80"/>
    </row>
    <row r="41" spans="1:11" ht="13.5" customHeight="1" x14ac:dyDescent="0.2">
      <c r="A41" s="617" t="s">
        <v>265</v>
      </c>
      <c r="B41" s="617"/>
      <c r="C41" s="617"/>
      <c r="D41" s="617"/>
      <c r="E41" s="617"/>
      <c r="F41" s="617"/>
      <c r="G41" s="617"/>
      <c r="H41" s="656">
        <f>SUM(H42:H48)</f>
        <v>3167002768</v>
      </c>
      <c r="I41" s="657"/>
    </row>
    <row r="42" spans="1:11" ht="17.399999999999999" customHeight="1" x14ac:dyDescent="0.2">
      <c r="A42" s="43" t="s">
        <v>266</v>
      </c>
      <c r="B42" s="21" t="s">
        <v>273</v>
      </c>
      <c r="C42" s="627" t="s">
        <v>1588</v>
      </c>
      <c r="D42" s="628"/>
      <c r="E42" s="43" t="str">
        <f>VLOOKUP(B42,[3]APU!$B$16:$I$1858,4,FALSE)</f>
        <v>ML</v>
      </c>
      <c r="F42" s="43">
        <v>16647</v>
      </c>
      <c r="G42" s="495">
        <f>VLOOKUP(B42,[3]APU1!$B$16:$I$1222,8,FALSE)</f>
        <v>40151</v>
      </c>
      <c r="H42" s="592">
        <f t="shared" ref="H42:H47" si="2">+G42*F42</f>
        <v>668393697</v>
      </c>
      <c r="I42" s="79"/>
    </row>
    <row r="43" spans="1:11" ht="26.25" customHeight="1" x14ac:dyDescent="0.2">
      <c r="A43" s="43" t="s">
        <v>267</v>
      </c>
      <c r="B43" s="21" t="s">
        <v>387</v>
      </c>
      <c r="C43" s="627" t="s">
        <v>275</v>
      </c>
      <c r="D43" s="628"/>
      <c r="E43" s="43" t="str">
        <f>VLOOKUP(B43,[3]APU!$B$16:$I$1858,4,FALSE)</f>
        <v>M3</v>
      </c>
      <c r="F43" s="43">
        <v>4994</v>
      </c>
      <c r="G43" s="495">
        <f>VLOOKUP(B43,[3]APU1!$B$16:$I$1222,8,FALSE)</f>
        <v>70452</v>
      </c>
      <c r="H43" s="592">
        <f t="shared" si="2"/>
        <v>351837288</v>
      </c>
      <c r="I43" s="77"/>
    </row>
    <row r="44" spans="1:11" ht="28.2" customHeight="1" x14ac:dyDescent="0.2">
      <c r="A44" s="43" t="s">
        <v>268</v>
      </c>
      <c r="B44" s="21" t="s">
        <v>291</v>
      </c>
      <c r="C44" s="627" t="s">
        <v>1589</v>
      </c>
      <c r="D44" s="628"/>
      <c r="E44" s="43" t="str">
        <f>VLOOKUP(B44,[3]APU!$B$16:$I$1858,4,FALSE)</f>
        <v>M2</v>
      </c>
      <c r="F44" s="43">
        <v>16647</v>
      </c>
      <c r="G44" s="495">
        <f>VLOOKUP(B44,[3]APU1!$B$16:$I$1222,8,FALSE)</f>
        <v>100877</v>
      </c>
      <c r="H44" s="592">
        <f t="shared" si="2"/>
        <v>1679299419</v>
      </c>
      <c r="I44" s="77"/>
    </row>
    <row r="45" spans="1:11" ht="10.199999999999999" customHeight="1" x14ac:dyDescent="0.2">
      <c r="A45" s="43" t="s">
        <v>269</v>
      </c>
      <c r="B45" s="21" t="s">
        <v>274</v>
      </c>
      <c r="C45" s="627" t="s">
        <v>1590</v>
      </c>
      <c r="D45" s="628"/>
      <c r="E45" s="43" t="s">
        <v>26</v>
      </c>
      <c r="F45" s="43">
        <v>558</v>
      </c>
      <c r="G45" s="495">
        <f>VLOOKUP(B45,[3]APU1!$B$16:$I$1222,8,FALSE)</f>
        <v>28641</v>
      </c>
      <c r="H45" s="592">
        <f t="shared" si="2"/>
        <v>15981678</v>
      </c>
      <c r="I45" s="77"/>
    </row>
    <row r="46" spans="1:11" ht="27.75" customHeight="1" x14ac:dyDescent="0.2">
      <c r="A46" s="43" t="s">
        <v>270</v>
      </c>
      <c r="B46" s="21" t="s">
        <v>292</v>
      </c>
      <c r="C46" s="627" t="s">
        <v>264</v>
      </c>
      <c r="D46" s="628"/>
      <c r="E46" s="43" t="str">
        <f>VLOOKUP(B46,[3]APU!$B$16:$I$1858,4,FALSE)</f>
        <v>m2</v>
      </c>
      <c r="F46" s="43">
        <v>124</v>
      </c>
      <c r="G46" s="495">
        <f>VLOOKUP(B46,[3]APU1!$B$16:$I$1222,8,FALSE)</f>
        <v>101850</v>
      </c>
      <c r="H46" s="592">
        <f t="shared" si="2"/>
        <v>12629400</v>
      </c>
      <c r="I46" s="77"/>
    </row>
    <row r="47" spans="1:11" ht="18.75" customHeight="1" x14ac:dyDescent="0.2">
      <c r="A47" s="43" t="s">
        <v>271</v>
      </c>
      <c r="B47" s="21" t="s">
        <v>439</v>
      </c>
      <c r="C47" s="627" t="s">
        <v>1591</v>
      </c>
      <c r="D47" s="628"/>
      <c r="E47" s="43" t="str">
        <f>VLOOKUP(B47,[3]APU!$B$16:$I$1858,4,FALSE)</f>
        <v>M3</v>
      </c>
      <c r="F47" s="43">
        <v>499</v>
      </c>
      <c r="G47" s="495">
        <f>VLOOKUP(B47,[3]APU1!$B$16:$I$1222,8,FALSE)</f>
        <v>441474</v>
      </c>
      <c r="H47" s="592">
        <f t="shared" si="2"/>
        <v>220295526</v>
      </c>
      <c r="I47" s="77"/>
    </row>
    <row r="48" spans="1:11" ht="10.199999999999999" customHeight="1" x14ac:dyDescent="0.2">
      <c r="A48" s="43" t="s">
        <v>272</v>
      </c>
      <c r="B48" s="21" t="s">
        <v>443</v>
      </c>
      <c r="C48" s="627" t="s">
        <v>491</v>
      </c>
      <c r="D48" s="628"/>
      <c r="E48" s="43" t="str">
        <f>VLOOKUP(B48,[3]APU!$B$16:$I$1858,4,FALSE)</f>
        <v>UNIDAD</v>
      </c>
      <c r="F48" s="43">
        <v>448</v>
      </c>
      <c r="G48" s="495">
        <f>VLOOKUP(B48,[3]APU1!$B$16:$I$1222,8,FALSE)</f>
        <v>487870</v>
      </c>
      <c r="H48" s="592">
        <f>+G48*F48</f>
        <v>218565760</v>
      </c>
      <c r="I48" s="77"/>
    </row>
    <row r="49" spans="1:15" x14ac:dyDescent="0.2">
      <c r="A49" s="617" t="s">
        <v>1118</v>
      </c>
      <c r="B49" s="617"/>
      <c r="C49" s="617"/>
      <c r="D49" s="617"/>
      <c r="E49" s="617"/>
      <c r="F49" s="617"/>
      <c r="G49" s="617"/>
      <c r="H49" s="656">
        <f>SUM(H50:H56)</f>
        <v>6525418567.2141533</v>
      </c>
      <c r="I49" s="657"/>
      <c r="K49" s="190"/>
    </row>
    <row r="50" spans="1:15" ht="10.5" customHeight="1" x14ac:dyDescent="0.2">
      <c r="A50" s="43" t="s">
        <v>276</v>
      </c>
      <c r="B50" s="21" t="s">
        <v>1095</v>
      </c>
      <c r="C50" s="612" t="s">
        <v>1592</v>
      </c>
      <c r="D50" s="612"/>
      <c r="E50" s="43" t="s">
        <v>125</v>
      </c>
      <c r="F50" s="242">
        <v>7715</v>
      </c>
      <c r="G50" s="495">
        <f>+[3]APU1!F691</f>
        <v>23192.362200000003</v>
      </c>
      <c r="H50" s="592">
        <f>+G50*F50</f>
        <v>178929074.37300003</v>
      </c>
      <c r="I50" s="76"/>
      <c r="K50" s="43">
        <v>14090</v>
      </c>
    </row>
    <row r="51" spans="1:15" ht="10.5" customHeight="1" x14ac:dyDescent="0.2">
      <c r="A51" s="43" t="s">
        <v>277</v>
      </c>
      <c r="B51" s="21" t="s">
        <v>1096</v>
      </c>
      <c r="C51" s="612" t="s">
        <v>1593</v>
      </c>
      <c r="D51" s="612"/>
      <c r="E51" s="43" t="s">
        <v>124</v>
      </c>
      <c r="F51" s="293">
        <v>10024</v>
      </c>
      <c r="G51" s="495">
        <f>+[3]APU1!F733</f>
        <v>474413.73</v>
      </c>
      <c r="H51" s="592">
        <f>+G51*F51</f>
        <v>4755523229.5199995</v>
      </c>
      <c r="I51" s="489"/>
      <c r="J51" s="291">
        <f>+H51/(H68)</f>
        <v>0.26279675302568573</v>
      </c>
      <c r="K51" s="225">
        <v>15659</v>
      </c>
    </row>
    <row r="52" spans="1:15" ht="10.5" customHeight="1" x14ac:dyDescent="0.2">
      <c r="A52" s="43" t="s">
        <v>278</v>
      </c>
      <c r="B52" s="21" t="s">
        <v>1094</v>
      </c>
      <c r="C52" s="612" t="s">
        <v>1594</v>
      </c>
      <c r="D52" s="612"/>
      <c r="E52" s="43" t="s">
        <v>129</v>
      </c>
      <c r="F52" s="293">
        <v>1950</v>
      </c>
      <c r="G52" s="495">
        <f>+[3]APU1!F298</f>
        <v>102263.16666666667</v>
      </c>
      <c r="H52" s="592">
        <f t="shared" ref="H52:H56" si="3">+G52*F52</f>
        <v>199413175</v>
      </c>
      <c r="I52" s="77"/>
      <c r="K52" s="225">
        <v>2838</v>
      </c>
      <c r="N52" s="68">
        <f>+F51/35</f>
        <v>286.39999999999998</v>
      </c>
    </row>
    <row r="53" spans="1:15" ht="10.5" customHeight="1" x14ac:dyDescent="0.2">
      <c r="A53" s="43" t="s">
        <v>279</v>
      </c>
      <c r="B53" s="21" t="s">
        <v>1094</v>
      </c>
      <c r="C53" s="612" t="s">
        <v>1595</v>
      </c>
      <c r="D53" s="612"/>
      <c r="E53" s="43" t="s">
        <v>129</v>
      </c>
      <c r="F53" s="242">
        <v>1428.02</v>
      </c>
      <c r="G53" s="495">
        <f>+[3]APU1!F333</f>
        <v>187447.5</v>
      </c>
      <c r="H53" s="592">
        <f t="shared" si="3"/>
        <v>267678778.94999999</v>
      </c>
      <c r="I53" s="593"/>
      <c r="K53" s="43">
        <v>1494</v>
      </c>
      <c r="N53" s="68">
        <f>+N52/26</f>
        <v>11.015384615384615</v>
      </c>
    </row>
    <row r="54" spans="1:15" ht="10.5" customHeight="1" x14ac:dyDescent="0.2">
      <c r="A54" s="43" t="s">
        <v>290</v>
      </c>
      <c r="B54" s="21" t="s">
        <v>1094</v>
      </c>
      <c r="C54" s="612" t="s">
        <v>1596</v>
      </c>
      <c r="D54" s="612"/>
      <c r="E54" s="43" t="s">
        <v>129</v>
      </c>
      <c r="F54" s="242">
        <v>1228.6500000000001</v>
      </c>
      <c r="G54" s="495">
        <f>+[3]APU1!F366</f>
        <v>242088.5</v>
      </c>
      <c r="H54" s="592">
        <f t="shared" si="3"/>
        <v>297442035.52500004</v>
      </c>
      <c r="I54" s="593"/>
      <c r="K54" s="43">
        <v>2022</v>
      </c>
    </row>
    <row r="55" spans="1:15" ht="10.5" customHeight="1" x14ac:dyDescent="0.2">
      <c r="A55" s="43" t="s">
        <v>452</v>
      </c>
      <c r="B55" s="21" t="s">
        <v>1094</v>
      </c>
      <c r="C55" s="612" t="s">
        <v>1597</v>
      </c>
      <c r="D55" s="612"/>
      <c r="E55" s="43" t="s">
        <v>129</v>
      </c>
      <c r="F55" s="242">
        <v>560</v>
      </c>
      <c r="G55" s="495">
        <f>+[3]APU1!F399</f>
        <v>448153.84615384613</v>
      </c>
      <c r="H55" s="592">
        <f t="shared" si="3"/>
        <v>250966153.84615383</v>
      </c>
      <c r="I55" s="593"/>
      <c r="K55" s="43">
        <v>669.5</v>
      </c>
    </row>
    <row r="56" spans="1:15" ht="10.5" customHeight="1" x14ac:dyDescent="0.2">
      <c r="A56" s="43" t="s">
        <v>453</v>
      </c>
      <c r="B56" s="21" t="s">
        <v>1093</v>
      </c>
      <c r="C56" s="612" t="s">
        <v>1598</v>
      </c>
      <c r="D56" s="612"/>
      <c r="E56" s="43" t="s">
        <v>123</v>
      </c>
      <c r="F56" s="242">
        <v>106567.8</v>
      </c>
      <c r="G56" s="495">
        <f>+[3]APU1!F436</f>
        <v>5400</v>
      </c>
      <c r="H56" s="592">
        <f t="shared" si="3"/>
        <v>575466120</v>
      </c>
      <c r="I56" s="77"/>
      <c r="K56" s="43">
        <v>158595.79999999999</v>
      </c>
    </row>
    <row r="57" spans="1:15" ht="12" customHeight="1" x14ac:dyDescent="0.2">
      <c r="A57" s="292"/>
      <c r="H57" s="81"/>
      <c r="I57" s="594"/>
    </row>
    <row r="58" spans="1:15" ht="12" customHeight="1" x14ac:dyDescent="0.2">
      <c r="A58" s="629" t="s">
        <v>1119</v>
      </c>
      <c r="B58" s="630"/>
      <c r="C58" s="630"/>
      <c r="D58" s="630"/>
      <c r="E58" s="630"/>
      <c r="F58" s="630"/>
      <c r="G58" s="631"/>
      <c r="H58" s="660">
        <f>+H41+H34+H19+H16</f>
        <v>8009197969.2399998</v>
      </c>
      <c r="I58" s="660"/>
      <c r="J58" s="217">
        <f>+[3]PRESUPUESTO!H51-'[3]PRESUPUESTO (2)'!H58</f>
        <v>5386591374.6700001</v>
      </c>
    </row>
    <row r="59" spans="1:15" ht="12" customHeight="1" x14ac:dyDescent="0.2">
      <c r="A59" s="629" t="s">
        <v>1121</v>
      </c>
      <c r="B59" s="630"/>
      <c r="C59" s="630"/>
      <c r="D59" s="630"/>
      <c r="E59" s="630"/>
      <c r="F59" s="630"/>
      <c r="G59" s="631"/>
      <c r="H59" s="660">
        <f>+H49</f>
        <v>6525418567.2141533</v>
      </c>
      <c r="I59" s="660"/>
      <c r="J59" s="217">
        <f>+[3]PRESUPUESTO!H52-'[3]PRESUPUESTO (2)'!H59</f>
        <v>-6257502780.3359537</v>
      </c>
    </row>
    <row r="60" spans="1:15" ht="12.6" customHeight="1" x14ac:dyDescent="0.2">
      <c r="A60" s="639" t="s">
        <v>1120</v>
      </c>
      <c r="B60" s="640"/>
      <c r="C60" s="640"/>
      <c r="D60" s="640"/>
      <c r="E60" s="640"/>
      <c r="F60" s="641"/>
      <c r="G60" s="321">
        <f>+H60/H58</f>
        <v>0.30000000002846727</v>
      </c>
      <c r="H60" s="658">
        <f>+'[3]AIU Obra civil '!H46:J46</f>
        <v>2402759391</v>
      </c>
      <c r="I60" s="659"/>
      <c r="N60" s="68">
        <f>+'[3]AIU Obra civil '!H42</f>
        <v>2002299492.5380001</v>
      </c>
      <c r="O60" s="68">
        <f>+N60/H58</f>
        <v>0.25000000002846728</v>
      </c>
    </row>
    <row r="61" spans="1:15" ht="12.6" customHeight="1" x14ac:dyDescent="0.2">
      <c r="A61" s="639" t="s">
        <v>1122</v>
      </c>
      <c r="B61" s="640"/>
      <c r="C61" s="640"/>
      <c r="D61" s="640"/>
      <c r="E61" s="640"/>
      <c r="F61" s="641"/>
      <c r="G61" s="321">
        <f>+H61/H59</f>
        <v>0.11999999998993192</v>
      </c>
      <c r="H61" s="658">
        <f>+'[3]aiu insumos'!J32</f>
        <v>783050228</v>
      </c>
      <c r="I61" s="659"/>
      <c r="M61" s="217"/>
      <c r="N61" s="68">
        <f>+'[3]AIU Obra civil '!H43</f>
        <v>0</v>
      </c>
      <c r="O61" s="68">
        <f>+N61/H60</f>
        <v>0</v>
      </c>
    </row>
    <row r="62" spans="1:15" x14ac:dyDescent="0.2">
      <c r="A62" s="629" t="s">
        <v>1123</v>
      </c>
      <c r="B62" s="630"/>
      <c r="C62" s="630"/>
      <c r="D62" s="630"/>
      <c r="E62" s="630"/>
      <c r="F62" s="630"/>
      <c r="G62" s="631"/>
      <c r="H62" s="661">
        <f>+H58+H59+H60+H61</f>
        <v>17720426155.454155</v>
      </c>
      <c r="I62" s="661"/>
      <c r="J62" s="217" t="e">
        <f>+#REF!</f>
        <v>#REF!</v>
      </c>
      <c r="K62" s="190"/>
    </row>
    <row r="63" spans="1:15" x14ac:dyDescent="0.2">
      <c r="A63" s="203"/>
      <c r="B63" s="203"/>
      <c r="C63" s="323"/>
      <c r="D63" s="323"/>
      <c r="E63" s="203"/>
      <c r="F63" s="203"/>
      <c r="G63" s="203"/>
      <c r="H63" s="597"/>
      <c r="I63" s="597"/>
      <c r="J63" s="217" t="e">
        <f>+J62+#REF!</f>
        <v>#REF!</v>
      </c>
      <c r="K63" s="190"/>
    </row>
    <row r="64" spans="1:15" ht="12" customHeight="1" x14ac:dyDescent="0.2">
      <c r="A64" s="645" t="s">
        <v>1088</v>
      </c>
      <c r="B64" s="646"/>
      <c r="C64" s="646"/>
      <c r="D64" s="646"/>
      <c r="E64" s="646"/>
      <c r="F64" s="646"/>
      <c r="G64" s="647"/>
      <c r="H64" s="661">
        <f>+[4]pgio!J85</f>
        <v>175325533</v>
      </c>
      <c r="I64" s="661"/>
    </row>
    <row r="65" spans="1:15" ht="5.4" customHeight="1" x14ac:dyDescent="0.2">
      <c r="A65" s="243"/>
      <c r="B65" s="244"/>
      <c r="C65" s="324"/>
      <c r="D65" s="324"/>
      <c r="E65" s="244"/>
      <c r="F65" s="244"/>
      <c r="G65" s="259"/>
      <c r="H65" s="595"/>
      <c r="I65" s="596"/>
    </row>
    <row r="66" spans="1:15" ht="12" customHeight="1" x14ac:dyDescent="0.2">
      <c r="A66" s="645" t="s">
        <v>1089</v>
      </c>
      <c r="B66" s="646"/>
      <c r="C66" s="646"/>
      <c r="D66" s="646"/>
      <c r="E66" s="646"/>
      <c r="F66" s="646"/>
      <c r="G66" s="647"/>
      <c r="H66" s="661">
        <f>+[4]pmt!J30</f>
        <v>200070176.80000001</v>
      </c>
      <c r="I66" s="661"/>
    </row>
    <row r="67" spans="1:15" ht="5.4" customHeight="1" x14ac:dyDescent="0.2">
      <c r="A67" s="243"/>
      <c r="B67" s="244"/>
      <c r="C67" s="324"/>
      <c r="D67" s="324"/>
      <c r="E67" s="244"/>
      <c r="F67" s="244"/>
      <c r="G67" s="259"/>
      <c r="H67" s="595"/>
      <c r="I67" s="596"/>
    </row>
    <row r="68" spans="1:15" x14ac:dyDescent="0.2">
      <c r="A68" s="629" t="s">
        <v>203</v>
      </c>
      <c r="B68" s="630"/>
      <c r="C68" s="630"/>
      <c r="D68" s="630"/>
      <c r="E68" s="630"/>
      <c r="F68" s="630"/>
      <c r="G68" s="631"/>
      <c r="H68" s="662">
        <f>+H62+H64+H66</f>
        <v>18095821865.254154</v>
      </c>
      <c r="I68" s="663"/>
      <c r="J68" s="199">
        <f>+H68/F17</f>
        <v>1817579.5364859537</v>
      </c>
      <c r="N68" s="68">
        <f>+H68/F17</f>
        <v>1817579.5364859537</v>
      </c>
    </row>
    <row r="69" spans="1:15" x14ac:dyDescent="0.2">
      <c r="A69" s="44"/>
      <c r="B69" s="116"/>
      <c r="C69" s="250"/>
      <c r="D69" s="250"/>
      <c r="E69" s="44"/>
      <c r="F69" s="44"/>
      <c r="G69" s="598"/>
      <c r="H69" s="599"/>
      <c r="I69" s="597"/>
    </row>
    <row r="70" spans="1:15" x14ac:dyDescent="0.2">
      <c r="A70" s="629" t="s">
        <v>861</v>
      </c>
      <c r="B70" s="630"/>
      <c r="C70" s="630"/>
      <c r="D70" s="630"/>
      <c r="E70" s="630"/>
      <c r="F70" s="630"/>
      <c r="G70" s="631"/>
      <c r="H70" s="662">
        <f>+H68*0.05</f>
        <v>904791093.26270771</v>
      </c>
      <c r="I70" s="665"/>
      <c r="J70" s="68">
        <f>+'[3]prespuesto interventoria'!J34</f>
        <v>0</v>
      </c>
    </row>
    <row r="71" spans="1:15" x14ac:dyDescent="0.2">
      <c r="A71" s="44"/>
      <c r="B71" s="116"/>
      <c r="C71" s="250"/>
      <c r="D71" s="250"/>
      <c r="E71" s="44"/>
      <c r="F71" s="44"/>
      <c r="G71" s="598"/>
      <c r="H71" s="599"/>
      <c r="I71" s="597"/>
    </row>
    <row r="72" spans="1:15" x14ac:dyDescent="0.2">
      <c r="A72" s="629" t="s">
        <v>203</v>
      </c>
      <c r="B72" s="630"/>
      <c r="C72" s="630"/>
      <c r="D72" s="630"/>
      <c r="E72" s="630"/>
      <c r="F72" s="630"/>
      <c r="G72" s="631"/>
      <c r="H72" s="662">
        <f>+H70+H68</f>
        <v>19000612958.516861</v>
      </c>
      <c r="I72" s="663"/>
      <c r="J72" s="199"/>
      <c r="M72" s="199"/>
      <c r="N72" s="68">
        <v>19000612958.516861</v>
      </c>
    </row>
    <row r="73" spans="1:15" x14ac:dyDescent="0.2">
      <c r="H73" s="81"/>
      <c r="I73" s="81"/>
    </row>
    <row r="75" spans="1:15" ht="19.2" customHeight="1" x14ac:dyDescent="0.2">
      <c r="A75" s="664"/>
      <c r="B75" s="664"/>
      <c r="C75" s="664"/>
      <c r="D75" s="664"/>
      <c r="E75" s="664"/>
      <c r="F75" s="664"/>
      <c r="G75" s="664"/>
      <c r="H75" s="664"/>
      <c r="I75" s="664"/>
    </row>
    <row r="76" spans="1:15" x14ac:dyDescent="0.2">
      <c r="B76" s="68" t="s">
        <v>1599</v>
      </c>
    </row>
    <row r="77" spans="1:15" x14ac:dyDescent="0.2">
      <c r="B77" s="68" t="s">
        <v>1600</v>
      </c>
    </row>
    <row r="78" spans="1:15" x14ac:dyDescent="0.2">
      <c r="B78" s="68" t="s">
        <v>1601</v>
      </c>
      <c r="O78" s="294">
        <f>0.04*0.19</f>
        <v>7.6E-3</v>
      </c>
    </row>
  </sheetData>
  <mergeCells count="91">
    <mergeCell ref="A72:G72"/>
    <mergeCell ref="H72:I72"/>
    <mergeCell ref="A75:I75"/>
    <mergeCell ref="A66:G66"/>
    <mergeCell ref="H66:I66"/>
    <mergeCell ref="A68:G68"/>
    <mergeCell ref="H68:I68"/>
    <mergeCell ref="A70:G70"/>
    <mergeCell ref="H70:I70"/>
    <mergeCell ref="A61:F61"/>
    <mergeCell ref="H61:I61"/>
    <mergeCell ref="A62:G62"/>
    <mergeCell ref="H62:I62"/>
    <mergeCell ref="A64:G64"/>
    <mergeCell ref="H64:I64"/>
    <mergeCell ref="A60:F60"/>
    <mergeCell ref="H60:I60"/>
    <mergeCell ref="C50:D50"/>
    <mergeCell ref="C51:D51"/>
    <mergeCell ref="C52:D52"/>
    <mergeCell ref="C53:D53"/>
    <mergeCell ref="C54:D54"/>
    <mergeCell ref="C55:D55"/>
    <mergeCell ref="C56:D56"/>
    <mergeCell ref="A58:G58"/>
    <mergeCell ref="H58:I58"/>
    <mergeCell ref="A59:G59"/>
    <mergeCell ref="H59:I59"/>
    <mergeCell ref="H49:I49"/>
    <mergeCell ref="C40:D40"/>
    <mergeCell ref="A41:G41"/>
    <mergeCell ref="H41:I41"/>
    <mergeCell ref="C42:D42"/>
    <mergeCell ref="C43:D43"/>
    <mergeCell ref="C44:D44"/>
    <mergeCell ref="C45:D45"/>
    <mergeCell ref="C46:D46"/>
    <mergeCell ref="C47:D47"/>
    <mergeCell ref="C48:D48"/>
    <mergeCell ref="A49:G49"/>
    <mergeCell ref="H34:I34"/>
    <mergeCell ref="C35:D35"/>
    <mergeCell ref="C36:D36"/>
    <mergeCell ref="C37:D37"/>
    <mergeCell ref="C38:D38"/>
    <mergeCell ref="C39:D39"/>
    <mergeCell ref="C29:D29"/>
    <mergeCell ref="C30:D30"/>
    <mergeCell ref="C31:D31"/>
    <mergeCell ref="C32:D32"/>
    <mergeCell ref="C33:D33"/>
    <mergeCell ref="A34:G34"/>
    <mergeCell ref="C28:D28"/>
    <mergeCell ref="C18:D18"/>
    <mergeCell ref="A19:G19"/>
    <mergeCell ref="H19:I19"/>
    <mergeCell ref="C20:D20"/>
    <mergeCell ref="C21:D21"/>
    <mergeCell ref="C22:D22"/>
    <mergeCell ref="C23:D23"/>
    <mergeCell ref="C24:D24"/>
    <mergeCell ref="C25:D25"/>
    <mergeCell ref="C26:D26"/>
    <mergeCell ref="C27:D27"/>
    <mergeCell ref="C17:D17"/>
    <mergeCell ref="A10:B10"/>
    <mergeCell ref="D10:I10"/>
    <mergeCell ref="A11:B11"/>
    <mergeCell ref="D11:I11"/>
    <mergeCell ref="A12:B12"/>
    <mergeCell ref="D12:I12"/>
    <mergeCell ref="A13:B13"/>
    <mergeCell ref="D13:I13"/>
    <mergeCell ref="C15:D15"/>
    <mergeCell ref="A16:G16"/>
    <mergeCell ref="H16:I16"/>
    <mergeCell ref="A7:B7"/>
    <mergeCell ref="C7:D7"/>
    <mergeCell ref="E7:G7"/>
    <mergeCell ref="H7:I7"/>
    <mergeCell ref="A9:B9"/>
    <mergeCell ref="C9:D9"/>
    <mergeCell ref="E9:G9"/>
    <mergeCell ref="H9:I9"/>
    <mergeCell ref="C1:I1"/>
    <mergeCell ref="A2:B5"/>
    <mergeCell ref="G2:I2"/>
    <mergeCell ref="F3:F4"/>
    <mergeCell ref="G3:I3"/>
    <mergeCell ref="G4:I4"/>
    <mergeCell ref="G5:I5"/>
  </mergeCells>
  <hyperlinks>
    <hyperlink ref="B17" location="'ESPECIFICACION NORMA'!B16" display="PAR_01" xr:uid="{5E06E800-E383-4A84-9D2F-DC21FA47A215}"/>
    <hyperlink ref="B18" location="'ESPECIFICACION NORMA'!B37" display="201.3-13" xr:uid="{952F4864-0CC2-41C6-80E4-029D488C7B0A}"/>
  </hyperlinks>
  <pageMargins left="0.70866141732283472" right="0.70866141732283472" top="0.74803149606299213" bottom="0.74803149606299213" header="0.31496062992125984" footer="0.31496062992125984"/>
  <pageSetup scale="87" orientation="portrait" horizontalDpi="4294967293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5"/>
  <sheetViews>
    <sheetView showGridLines="0" view="pageBreakPreview" zoomScale="115" zoomScaleNormal="100" zoomScaleSheetLayoutView="115" workbookViewId="0">
      <selection activeCell="C10" sqref="C10:G10"/>
    </sheetView>
  </sheetViews>
  <sheetFormatPr baseColWidth="10" defaultRowHeight="14.4" x14ac:dyDescent="0.3"/>
  <cols>
    <col min="1" max="1" width="15.5546875" customWidth="1"/>
    <col min="2" max="2" width="13.44140625" customWidth="1"/>
    <col min="3" max="3" width="24.6640625" customWidth="1"/>
    <col min="4" max="4" width="11" customWidth="1"/>
    <col min="5" max="5" width="19.33203125" customWidth="1"/>
    <col min="6" max="6" width="9.109375" hidden="1" customWidth="1"/>
    <col min="7" max="7" width="11.5546875" hidden="1" customWidth="1"/>
    <col min="8" max="10" width="0" hidden="1" customWidth="1"/>
  </cols>
  <sheetData>
    <row r="1" spans="1:9" ht="35.25" customHeight="1" x14ac:dyDescent="0.3">
      <c r="A1" s="9"/>
      <c r="B1" s="9"/>
      <c r="C1" s="692"/>
      <c r="D1" s="692"/>
      <c r="E1" s="692"/>
      <c r="F1" s="692"/>
      <c r="G1" s="692"/>
    </row>
    <row r="2" spans="1:9" ht="12.75" customHeight="1" x14ac:dyDescent="0.3">
      <c r="A2" s="9"/>
      <c r="D2" s="602" t="s">
        <v>60</v>
      </c>
      <c r="E2" s="602"/>
      <c r="F2" s="19"/>
    </row>
    <row r="3" spans="1:9" ht="10.5" customHeight="1" x14ac:dyDescent="0.3">
      <c r="A3" s="9"/>
      <c r="D3" s="602" t="s">
        <v>61</v>
      </c>
      <c r="E3" s="602"/>
      <c r="F3" s="19"/>
    </row>
    <row r="4" spans="1:9" ht="10.5" customHeight="1" x14ac:dyDescent="0.3">
      <c r="A4" s="9"/>
      <c r="C4" s="5" t="s">
        <v>281</v>
      </c>
      <c r="D4" s="602" t="s">
        <v>1061</v>
      </c>
      <c r="E4" s="602"/>
      <c r="F4" s="19"/>
    </row>
    <row r="5" spans="1:9" ht="10.5" customHeight="1" x14ac:dyDescent="0.3">
      <c r="A5" s="9"/>
      <c r="C5" s="5" t="s">
        <v>280</v>
      </c>
      <c r="D5" s="602" t="s">
        <v>1062</v>
      </c>
      <c r="E5" s="602"/>
      <c r="F5" s="19"/>
    </row>
    <row r="6" spans="1:9" ht="10.5" customHeight="1" x14ac:dyDescent="0.3">
      <c r="B6" s="1"/>
    </row>
    <row r="7" spans="1:9" x14ac:dyDescent="0.3">
      <c r="A7" s="8" t="s">
        <v>21</v>
      </c>
      <c r="B7" s="11" t="str">
        <f>+D4</f>
        <v>DISTRITO DE TURBO</v>
      </c>
      <c r="C7" s="11" t="s">
        <v>22</v>
      </c>
      <c r="D7" s="807" t="str">
        <f>+D3</f>
        <v>DEPARTAMENTO DE ANTIOQUIA</v>
      </c>
      <c r="E7" s="809"/>
      <c r="G7" s="37"/>
    </row>
    <row r="8" spans="1:9" x14ac:dyDescent="0.3">
      <c r="A8" s="2"/>
      <c r="B8" s="2"/>
      <c r="C8" s="2"/>
      <c r="D8" s="3"/>
      <c r="E8" s="3"/>
      <c r="F8" s="3"/>
      <c r="G8" s="3"/>
    </row>
    <row r="9" spans="1:9" ht="12" customHeight="1" x14ac:dyDescent="0.3">
      <c r="A9" s="8" t="s">
        <v>20</v>
      </c>
      <c r="B9" s="11" t="s">
        <v>72</v>
      </c>
      <c r="C9" s="11" t="s">
        <v>2</v>
      </c>
      <c r="D9" s="20" t="s">
        <v>10</v>
      </c>
      <c r="E9" s="22">
        <f>'AJUSTE PRESUPUESTO'!H9</f>
        <v>45152</v>
      </c>
      <c r="F9" s="36"/>
      <c r="G9" s="36"/>
    </row>
    <row r="10" spans="1:9" ht="12" customHeight="1" x14ac:dyDescent="0.3">
      <c r="A10" s="8" t="s">
        <v>8</v>
      </c>
      <c r="B10" s="10" t="s">
        <v>64</v>
      </c>
      <c r="C10" s="655" t="s">
        <v>1061</v>
      </c>
      <c r="D10" s="655"/>
      <c r="E10" s="655"/>
      <c r="F10" s="655"/>
      <c r="G10" s="655"/>
    </row>
    <row r="11" spans="1:9" ht="16.95" customHeight="1" x14ac:dyDescent="0.3">
      <c r="A11" s="8" t="s">
        <v>7</v>
      </c>
      <c r="B11" s="10" t="s">
        <v>63</v>
      </c>
      <c r="C11" s="655" t="s">
        <v>1117</v>
      </c>
      <c r="D11" s="655"/>
      <c r="E11" s="655"/>
      <c r="F11" s="655"/>
      <c r="G11" s="655"/>
    </row>
    <row r="12" spans="1:9" ht="11.4" customHeight="1" x14ac:dyDescent="0.3">
      <c r="A12" s="8" t="s">
        <v>9</v>
      </c>
      <c r="B12" s="10" t="s">
        <v>62</v>
      </c>
      <c r="C12" s="655" t="s">
        <v>1035</v>
      </c>
      <c r="D12" s="655"/>
      <c r="E12" s="655"/>
      <c r="F12" s="655"/>
      <c r="G12" s="655"/>
    </row>
    <row r="13" spans="1:9" ht="11.4" customHeight="1" x14ac:dyDescent="0.3">
      <c r="A13" s="8" t="s">
        <v>66</v>
      </c>
      <c r="B13" s="10" t="s">
        <v>65</v>
      </c>
      <c r="C13" s="655" t="s">
        <v>67</v>
      </c>
      <c r="D13" s="655"/>
      <c r="E13" s="655"/>
      <c r="F13" s="655"/>
      <c r="G13" s="655"/>
    </row>
    <row r="15" spans="1:9" s="5" customFormat="1" x14ac:dyDescent="0.3">
      <c r="A15" s="12" t="s">
        <v>72</v>
      </c>
      <c r="B15" s="12" t="s">
        <v>75</v>
      </c>
      <c r="C15" s="375" t="s">
        <v>35</v>
      </c>
      <c r="D15" s="12" t="s">
        <v>12</v>
      </c>
      <c r="E15" s="13" t="s">
        <v>120</v>
      </c>
      <c r="F15" s="12" t="s">
        <v>121</v>
      </c>
      <c r="G15" s="12" t="s">
        <v>38</v>
      </c>
    </row>
    <row r="16" spans="1:9" s="6" customFormat="1" x14ac:dyDescent="0.3">
      <c r="A16" s="60" t="s">
        <v>3</v>
      </c>
      <c r="B16" s="373" t="s">
        <v>164</v>
      </c>
      <c r="C16" s="376" t="s">
        <v>1360</v>
      </c>
      <c r="D16" s="374" t="s">
        <v>124</v>
      </c>
      <c r="E16" s="195">
        <v>4000</v>
      </c>
      <c r="F16" s="176">
        <f>+'MAT2'!F21+'MAT2'!F22+'MAT2'!F23</f>
        <v>0</v>
      </c>
      <c r="G16" s="176">
        <f>+F16*E16</f>
        <v>0</v>
      </c>
      <c r="H16" s="4">
        <v>4000</v>
      </c>
      <c r="I16" s="6">
        <f>+E16-H16</f>
        <v>0</v>
      </c>
    </row>
    <row r="17" spans="1:10" s="6" customFormat="1" x14ac:dyDescent="0.3">
      <c r="A17" s="60" t="s">
        <v>3</v>
      </c>
      <c r="B17" s="373" t="s">
        <v>165</v>
      </c>
      <c r="C17" s="376" t="s">
        <v>1379</v>
      </c>
      <c r="D17" s="374" t="s">
        <v>124</v>
      </c>
      <c r="E17" s="195">
        <v>4000</v>
      </c>
      <c r="F17" s="176"/>
      <c r="G17" s="176">
        <f t="shared" ref="G17:G29" si="0">+F17*E17</f>
        <v>0</v>
      </c>
      <c r="H17" s="4">
        <v>4000</v>
      </c>
      <c r="I17" s="6">
        <f t="shared" ref="I17:I26" si="1">+E17-H17</f>
        <v>0</v>
      </c>
    </row>
    <row r="18" spans="1:10" s="6" customFormat="1" x14ac:dyDescent="0.3">
      <c r="A18" s="60" t="s">
        <v>3</v>
      </c>
      <c r="B18" s="373" t="s">
        <v>166</v>
      </c>
      <c r="C18" s="376" t="s">
        <v>1348</v>
      </c>
      <c r="D18" s="374" t="s">
        <v>124</v>
      </c>
      <c r="E18" s="195">
        <v>1095</v>
      </c>
      <c r="F18" s="176">
        <f>+'MAT1'!F17</f>
        <v>0</v>
      </c>
      <c r="G18" s="176">
        <f t="shared" si="0"/>
        <v>0</v>
      </c>
      <c r="H18" s="4">
        <v>1095</v>
      </c>
      <c r="I18" s="6">
        <f t="shared" si="1"/>
        <v>0</v>
      </c>
    </row>
    <row r="19" spans="1:10" s="6" customFormat="1" x14ac:dyDescent="0.3">
      <c r="A19" s="60" t="s">
        <v>3</v>
      </c>
      <c r="B19" s="373" t="s">
        <v>167</v>
      </c>
      <c r="C19" s="376" t="s">
        <v>1349</v>
      </c>
      <c r="D19" s="374" t="s">
        <v>124</v>
      </c>
      <c r="E19" s="195">
        <v>2000</v>
      </c>
      <c r="F19" s="176">
        <f>+APU!K71</f>
        <v>2216</v>
      </c>
      <c r="G19" s="176">
        <f t="shared" si="0"/>
        <v>4432000</v>
      </c>
      <c r="H19" s="4">
        <v>1095</v>
      </c>
      <c r="I19" s="6">
        <f t="shared" si="1"/>
        <v>905</v>
      </c>
      <c r="J19" s="215">
        <f>5*E19*7</f>
        <v>70000</v>
      </c>
    </row>
    <row r="20" spans="1:10" s="6" customFormat="1" x14ac:dyDescent="0.3">
      <c r="A20" s="60" t="s">
        <v>3</v>
      </c>
      <c r="B20" s="373" t="s">
        <v>168</v>
      </c>
      <c r="C20" s="376" t="s">
        <v>1350</v>
      </c>
      <c r="D20" s="374" t="s">
        <v>105</v>
      </c>
      <c r="E20" s="195">
        <v>300</v>
      </c>
      <c r="F20" s="176">
        <v>575</v>
      </c>
      <c r="G20" s="176">
        <f t="shared" si="0"/>
        <v>172500</v>
      </c>
      <c r="H20" s="4">
        <v>300</v>
      </c>
      <c r="I20" s="6">
        <f t="shared" si="1"/>
        <v>0</v>
      </c>
    </row>
    <row r="21" spans="1:10" s="6" customFormat="1" x14ac:dyDescent="0.3">
      <c r="A21" s="60" t="s">
        <v>3</v>
      </c>
      <c r="B21" s="373" t="s">
        <v>169</v>
      </c>
      <c r="C21" s="376" t="s">
        <v>1351</v>
      </c>
      <c r="D21" s="374" t="s">
        <v>105</v>
      </c>
      <c r="E21" s="195">
        <v>100</v>
      </c>
      <c r="F21" s="176">
        <v>43</v>
      </c>
      <c r="G21" s="176">
        <f t="shared" si="0"/>
        <v>4300</v>
      </c>
      <c r="H21" s="4">
        <v>100</v>
      </c>
      <c r="I21" s="6">
        <f t="shared" si="1"/>
        <v>0</v>
      </c>
    </row>
    <row r="22" spans="1:10" s="6" customFormat="1" x14ac:dyDescent="0.3">
      <c r="A22" s="60" t="s">
        <v>3</v>
      </c>
      <c r="B22" s="373" t="s">
        <v>170</v>
      </c>
      <c r="C22" s="376" t="s">
        <v>1352</v>
      </c>
      <c r="D22" s="374" t="s">
        <v>105</v>
      </c>
      <c r="E22" s="195">
        <v>200</v>
      </c>
      <c r="F22" s="176">
        <f>+PRESUPUESTO!F47*25</f>
        <v>3100</v>
      </c>
      <c r="G22" s="176">
        <f t="shared" si="0"/>
        <v>620000</v>
      </c>
      <c r="H22" s="4">
        <v>200</v>
      </c>
      <c r="I22" s="6">
        <f t="shared" si="1"/>
        <v>0</v>
      </c>
    </row>
    <row r="23" spans="1:10" s="6" customFormat="1" x14ac:dyDescent="0.3">
      <c r="A23" s="60" t="s">
        <v>3</v>
      </c>
      <c r="B23" s="373" t="s">
        <v>171</v>
      </c>
      <c r="C23" s="376" t="s">
        <v>1353</v>
      </c>
      <c r="D23" s="374" t="s">
        <v>174</v>
      </c>
      <c r="E23" s="195">
        <v>980</v>
      </c>
      <c r="F23" s="176">
        <f>+'MAT2'!F19+'MAT2'!F18+'MAT2'!F30</f>
        <v>0</v>
      </c>
      <c r="G23" s="176">
        <f t="shared" si="0"/>
        <v>0</v>
      </c>
      <c r="H23" s="4">
        <v>980</v>
      </c>
      <c r="I23" s="6">
        <f t="shared" si="1"/>
        <v>0</v>
      </c>
    </row>
    <row r="24" spans="1:10" s="6" customFormat="1" x14ac:dyDescent="0.3">
      <c r="A24" s="60" t="s">
        <v>3</v>
      </c>
      <c r="B24" s="373" t="s">
        <v>172</v>
      </c>
      <c r="C24" s="376" t="s">
        <v>1354</v>
      </c>
      <c r="D24" s="374" t="s">
        <v>174</v>
      </c>
      <c r="E24" s="195">
        <v>1095</v>
      </c>
      <c r="F24" s="176"/>
      <c r="G24" s="176">
        <f t="shared" si="0"/>
        <v>0</v>
      </c>
      <c r="H24" s="4">
        <v>1095</v>
      </c>
      <c r="I24" s="6">
        <f t="shared" si="1"/>
        <v>0</v>
      </c>
    </row>
    <row r="25" spans="1:10" s="6" customFormat="1" x14ac:dyDescent="0.3">
      <c r="A25" s="60" t="s">
        <v>3</v>
      </c>
      <c r="B25" s="373" t="s">
        <v>173</v>
      </c>
      <c r="C25" s="376" t="s">
        <v>1355</v>
      </c>
      <c r="D25" s="374" t="s">
        <v>125</v>
      </c>
      <c r="E25" s="195">
        <v>2000</v>
      </c>
      <c r="F25" s="176">
        <f>+'MAT2'!F20</f>
        <v>0</v>
      </c>
      <c r="G25" s="176">
        <f t="shared" si="0"/>
        <v>0</v>
      </c>
      <c r="H25" s="4">
        <v>2000</v>
      </c>
      <c r="I25" s="6">
        <f t="shared" si="1"/>
        <v>0</v>
      </c>
    </row>
    <row r="26" spans="1:10" s="6" customFormat="1" x14ac:dyDescent="0.3">
      <c r="A26" s="60" t="s">
        <v>3</v>
      </c>
      <c r="B26" s="373" t="s">
        <v>404</v>
      </c>
      <c r="C26" s="377" t="s">
        <v>1356</v>
      </c>
      <c r="D26" s="374" t="s">
        <v>174</v>
      </c>
      <c r="E26" s="195">
        <v>2000</v>
      </c>
      <c r="F26" s="176"/>
      <c r="G26" s="176">
        <f t="shared" si="0"/>
        <v>0</v>
      </c>
      <c r="H26" s="4">
        <v>2000</v>
      </c>
      <c r="I26" s="6">
        <f t="shared" si="1"/>
        <v>0</v>
      </c>
    </row>
    <row r="27" spans="1:10" s="6" customFormat="1" x14ac:dyDescent="0.3">
      <c r="A27" s="60" t="s">
        <v>3</v>
      </c>
      <c r="B27" s="373" t="s">
        <v>428</v>
      </c>
      <c r="C27" s="376" t="s">
        <v>1357</v>
      </c>
      <c r="D27" s="374" t="s">
        <v>174</v>
      </c>
      <c r="E27" s="195">
        <v>650</v>
      </c>
      <c r="F27" s="176">
        <f>+'MAT2'!F29*50</f>
        <v>0</v>
      </c>
      <c r="G27" s="176">
        <f t="shared" si="0"/>
        <v>0</v>
      </c>
    </row>
    <row r="28" spans="1:10" s="6" customFormat="1" ht="14.4" hidden="1" customHeight="1" x14ac:dyDescent="0.3">
      <c r="A28" s="60" t="s">
        <v>3</v>
      </c>
      <c r="B28" s="373" t="s">
        <v>447</v>
      </c>
      <c r="C28" s="377" t="s">
        <v>1358</v>
      </c>
      <c r="D28" s="374" t="s">
        <v>26</v>
      </c>
      <c r="E28" s="195">
        <v>1000</v>
      </c>
      <c r="F28" s="196"/>
      <c r="G28" s="176">
        <f>+F28*E28</f>
        <v>0</v>
      </c>
    </row>
    <row r="29" spans="1:10" s="6" customFormat="1" x14ac:dyDescent="0.3">
      <c r="A29" s="60" t="s">
        <v>3</v>
      </c>
      <c r="B29" s="373" t="s">
        <v>447</v>
      </c>
      <c r="C29" s="38" t="s">
        <v>1359</v>
      </c>
      <c r="D29" s="374" t="s">
        <v>528</v>
      </c>
      <c r="E29" s="195">
        <v>1000000</v>
      </c>
      <c r="F29" s="196">
        <v>10</v>
      </c>
      <c r="G29" s="176">
        <f t="shared" si="0"/>
        <v>10000000</v>
      </c>
    </row>
    <row r="30" spans="1:10" s="6" customFormat="1" x14ac:dyDescent="0.3">
      <c r="G30" s="196">
        <f>SUM(G16:G29)</f>
        <v>15228800</v>
      </c>
    </row>
    <row r="31" spans="1:10" s="6" customFormat="1" x14ac:dyDescent="0.3"/>
    <row r="32" spans="1:10" s="6" customFormat="1" x14ac:dyDescent="0.3"/>
    <row r="33" spans="1:7" ht="12.75" customHeight="1" x14ac:dyDescent="0.3">
      <c r="A33" s="26"/>
      <c r="G33" s="17"/>
    </row>
    <row r="34" spans="1:7" ht="12.75" customHeight="1" x14ac:dyDescent="0.3">
      <c r="G34" s="17"/>
    </row>
    <row r="35" spans="1:7" ht="12.75" customHeight="1" x14ac:dyDescent="0.3">
      <c r="G35" s="17"/>
    </row>
  </sheetData>
  <mergeCells count="10">
    <mergeCell ref="C1:G1"/>
    <mergeCell ref="C12:G12"/>
    <mergeCell ref="C13:G13"/>
    <mergeCell ref="C10:G10"/>
    <mergeCell ref="C11:G11"/>
    <mergeCell ref="D7:E7"/>
    <mergeCell ref="D2:E2"/>
    <mergeCell ref="D3:E3"/>
    <mergeCell ref="D4:E4"/>
    <mergeCell ref="D5:E5"/>
  </mergeCells>
  <pageMargins left="0.70866141732283472" right="0.43307086614173229" top="1.8110236220472442" bottom="2.204724409448819" header="0.59055118110236227" footer="1.26"/>
  <pageSetup orientation="portrait" r:id="rId1"/>
  <headerFooter>
    <oddHeader>&amp;L&amp;G&amp;C&amp;G&amp;R&amp;G</oddHeader>
    <oddFooter>&amp;L&amp;G&amp;R&amp;G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3"/>
  <sheetViews>
    <sheetView showGridLines="0" view="pageBreakPreview" zoomScale="115" zoomScaleNormal="100" zoomScaleSheetLayoutView="115" workbookViewId="0">
      <selection activeCell="F41" sqref="F41"/>
    </sheetView>
  </sheetViews>
  <sheetFormatPr baseColWidth="10" defaultColWidth="11.5546875" defaultRowHeight="10.199999999999999" x14ac:dyDescent="0.2"/>
  <cols>
    <col min="1" max="1" width="12.6640625" style="68" customWidth="1"/>
    <col min="2" max="2" width="9.33203125" style="68" customWidth="1"/>
    <col min="3" max="3" width="21.6640625" style="68" customWidth="1"/>
    <col min="4" max="6" width="6" style="68" customWidth="1"/>
    <col min="7" max="7" width="6.88671875" style="68" customWidth="1"/>
    <col min="8" max="10" width="6" style="68" customWidth="1"/>
    <col min="11" max="11" width="7.88671875" style="68" customWidth="1"/>
    <col min="12" max="13" width="6" style="68" customWidth="1"/>
    <col min="14" max="14" width="9.5546875" style="68" customWidth="1"/>
    <col min="15" max="15" width="6" style="68" customWidth="1"/>
    <col min="16" max="16" width="11" style="68" customWidth="1"/>
    <col min="17" max="17" width="0" style="68" hidden="1" customWidth="1"/>
    <col min="18" max="16384" width="11.5546875" style="68"/>
  </cols>
  <sheetData>
    <row r="1" spans="1:16" ht="46.5" customHeight="1" x14ac:dyDescent="0.2">
      <c r="A1" s="67"/>
      <c r="B1" s="67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</row>
    <row r="2" spans="1:16" ht="10.5" customHeight="1" x14ac:dyDescent="0.2">
      <c r="A2" s="601"/>
      <c r="B2" s="601"/>
      <c r="K2" s="602" t="s">
        <v>60</v>
      </c>
      <c r="L2" s="602"/>
      <c r="M2" s="602"/>
      <c r="N2" s="602"/>
      <c r="O2" s="602"/>
      <c r="P2" s="602"/>
    </row>
    <row r="3" spans="1:16" ht="10.5" customHeight="1" x14ac:dyDescent="0.2">
      <c r="A3" s="601"/>
      <c r="B3" s="601"/>
      <c r="H3" s="45" t="s">
        <v>281</v>
      </c>
      <c r="K3" s="602" t="s">
        <v>61</v>
      </c>
      <c r="L3" s="602"/>
      <c r="M3" s="602"/>
      <c r="N3" s="602"/>
      <c r="O3" s="602"/>
      <c r="P3" s="602"/>
    </row>
    <row r="4" spans="1:16" ht="10.5" customHeight="1" x14ac:dyDescent="0.2">
      <c r="A4" s="601"/>
      <c r="B4" s="601"/>
      <c r="D4" s="45"/>
      <c r="E4" s="45"/>
      <c r="F4" s="45"/>
      <c r="G4" s="45"/>
      <c r="H4" s="45" t="s">
        <v>280</v>
      </c>
      <c r="I4" s="45"/>
      <c r="J4" s="45"/>
      <c r="K4" s="602" t="s">
        <v>1061</v>
      </c>
      <c r="L4" s="602"/>
      <c r="M4" s="602"/>
      <c r="N4" s="602"/>
      <c r="O4" s="602"/>
      <c r="P4" s="602"/>
    </row>
    <row r="5" spans="1:16" ht="10.5" customHeight="1" x14ac:dyDescent="0.2">
      <c r="A5" s="601"/>
      <c r="B5" s="601"/>
      <c r="D5" s="45"/>
      <c r="E5" s="45"/>
      <c r="F5" s="45"/>
      <c r="G5" s="45"/>
      <c r="H5" s="45"/>
      <c r="I5" s="45"/>
      <c r="J5" s="45"/>
      <c r="K5" s="602" t="s">
        <v>1062</v>
      </c>
      <c r="L5" s="602"/>
      <c r="M5" s="602"/>
      <c r="N5" s="602"/>
      <c r="O5" s="602"/>
      <c r="P5" s="602"/>
    </row>
    <row r="6" spans="1:16" ht="10.5" customHeight="1" x14ac:dyDescent="0.2">
      <c r="B6" s="27"/>
    </row>
    <row r="7" spans="1:16" x14ac:dyDescent="0.2">
      <c r="A7" s="823" t="s">
        <v>21</v>
      </c>
      <c r="B7" s="823"/>
      <c r="C7" s="807" t="str">
        <f>+K4</f>
        <v>DISTRITO DE TURBO</v>
      </c>
      <c r="D7" s="808"/>
      <c r="E7" s="808"/>
      <c r="F7" s="808"/>
      <c r="G7" s="808"/>
      <c r="H7" s="808"/>
      <c r="I7" s="808"/>
      <c r="J7" s="808"/>
      <c r="K7" s="809"/>
      <c r="L7" s="85"/>
      <c r="M7" s="11" t="s">
        <v>22</v>
      </c>
      <c r="N7" s="807" t="str">
        <f>+K3</f>
        <v>DEPARTAMENTO DE ANTIOQUIA</v>
      </c>
      <c r="O7" s="808"/>
      <c r="P7" s="809"/>
    </row>
    <row r="8" spans="1:1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</row>
    <row r="9" spans="1:16" ht="12" customHeight="1" x14ac:dyDescent="0.2">
      <c r="A9" s="866" t="s">
        <v>20</v>
      </c>
      <c r="B9" s="866"/>
      <c r="C9" s="11" t="s">
        <v>72</v>
      </c>
      <c r="D9" s="866" t="s">
        <v>2</v>
      </c>
      <c r="E9" s="866"/>
      <c r="F9" s="866"/>
      <c r="G9" s="866"/>
      <c r="H9" s="866"/>
      <c r="I9" s="866"/>
      <c r="J9" s="866"/>
      <c r="K9" s="866"/>
      <c r="L9" s="866"/>
      <c r="M9" s="610" t="s">
        <v>10</v>
      </c>
      <c r="N9" s="610"/>
      <c r="O9" s="654">
        <f>'AJUSTE PRESUPUESTO'!H9</f>
        <v>45152</v>
      </c>
      <c r="P9" s="654"/>
    </row>
    <row r="10" spans="1:16" ht="10.199999999999999" customHeight="1" x14ac:dyDescent="0.2">
      <c r="A10" s="821" t="s">
        <v>8</v>
      </c>
      <c r="B10" s="821"/>
      <c r="C10" s="10" t="s">
        <v>64</v>
      </c>
      <c r="D10" s="822" t="s">
        <v>1061</v>
      </c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  <c r="P10" s="822"/>
    </row>
    <row r="11" spans="1:16" ht="10.199999999999999" customHeight="1" x14ac:dyDescent="0.2">
      <c r="A11" s="821" t="s">
        <v>7</v>
      </c>
      <c r="B11" s="821"/>
      <c r="C11" s="10" t="s">
        <v>63</v>
      </c>
      <c r="D11" s="822" t="s">
        <v>1117</v>
      </c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  <c r="P11" s="822"/>
    </row>
    <row r="12" spans="1:16" ht="10.199999999999999" customHeight="1" x14ac:dyDescent="0.2">
      <c r="A12" s="821" t="s">
        <v>9</v>
      </c>
      <c r="B12" s="821"/>
      <c r="C12" s="10" t="s">
        <v>62</v>
      </c>
      <c r="D12" s="822" t="s">
        <v>1035</v>
      </c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</row>
    <row r="13" spans="1:16" ht="10.199999999999999" customHeight="1" x14ac:dyDescent="0.2">
      <c r="A13" s="821" t="s">
        <v>66</v>
      </c>
      <c r="B13" s="821"/>
      <c r="C13" s="10" t="s">
        <v>65</v>
      </c>
      <c r="D13" s="822" t="s">
        <v>67</v>
      </c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  <c r="P13" s="822"/>
    </row>
    <row r="15" spans="1:16" s="111" customFormat="1" ht="17.399999999999999" customHeight="1" x14ac:dyDescent="0.3">
      <c r="A15" s="71" t="s">
        <v>72</v>
      </c>
      <c r="B15" s="71" t="s">
        <v>75</v>
      </c>
      <c r="C15" s="379" t="s">
        <v>35</v>
      </c>
      <c r="D15" s="110" t="s">
        <v>1045</v>
      </c>
      <c r="E15" s="110" t="s">
        <v>1046</v>
      </c>
      <c r="F15" s="110" t="s">
        <v>1047</v>
      </c>
      <c r="G15" s="110" t="s">
        <v>1049</v>
      </c>
      <c r="H15" s="110" t="s">
        <v>514</v>
      </c>
      <c r="I15" s="110" t="s">
        <v>1050</v>
      </c>
      <c r="J15" s="110" t="s">
        <v>1052</v>
      </c>
      <c r="K15" s="71" t="s">
        <v>437</v>
      </c>
      <c r="L15" s="71" t="s">
        <v>511</v>
      </c>
      <c r="M15" s="71" t="s">
        <v>512</v>
      </c>
      <c r="N15" s="71" t="s">
        <v>513</v>
      </c>
      <c r="O15" s="71" t="s">
        <v>1056</v>
      </c>
      <c r="P15" s="71" t="s">
        <v>1057</v>
      </c>
    </row>
    <row r="16" spans="1:16" ht="9.75" customHeight="1" x14ac:dyDescent="0.2">
      <c r="A16" s="39" t="s">
        <v>4</v>
      </c>
      <c r="B16" s="354" t="s">
        <v>50</v>
      </c>
      <c r="C16" s="376" t="s">
        <v>1371</v>
      </c>
      <c r="D16" s="378">
        <f>1500000/240</f>
        <v>6250</v>
      </c>
      <c r="E16" s="38">
        <f t="shared" ref="E16:E33" si="0">+IF(D16&lt;($C$36/240)*2,$C$36/240*$C$38,0)</f>
        <v>585.85833333333335</v>
      </c>
      <c r="F16" s="220">
        <f t="shared" ref="F16:F33" si="1">+D16*$C$39</f>
        <v>1041.6666666666688</v>
      </c>
      <c r="G16" s="222">
        <f t="shared" ref="G16:G33" si="2">+$C$40*(D16+F16+E16)</f>
        <v>3528.3434475000008</v>
      </c>
      <c r="H16" s="220">
        <v>3000</v>
      </c>
      <c r="I16" s="7">
        <f t="shared" ref="I16:I33" si="3">+$C$36/240*$C$41</f>
        <v>265.83333333333331</v>
      </c>
      <c r="J16" s="7"/>
      <c r="K16" s="15">
        <f t="shared" ref="K16:K33" si="4">+D16+E16+F16+G16+H16+I16+J16</f>
        <v>14671.701780833337</v>
      </c>
      <c r="L16" s="15">
        <v>48</v>
      </c>
      <c r="M16" s="15">
        <v>1</v>
      </c>
      <c r="N16" s="15">
        <f t="shared" ref="N16:N33" si="5">+M16*L16*K16</f>
        <v>704241.68548000022</v>
      </c>
      <c r="O16" s="39">
        <v>1</v>
      </c>
      <c r="P16" s="103">
        <f t="shared" ref="P16:P33" si="6">+O16*N16</f>
        <v>704241.68548000022</v>
      </c>
    </row>
    <row r="17" spans="1:17" ht="9.75" customHeight="1" x14ac:dyDescent="0.2">
      <c r="A17" s="39" t="s">
        <v>4</v>
      </c>
      <c r="B17" s="354" t="s">
        <v>51</v>
      </c>
      <c r="C17" s="376" t="s">
        <v>1361</v>
      </c>
      <c r="D17" s="378">
        <f>1250000/240</f>
        <v>5208.333333333333</v>
      </c>
      <c r="E17" s="38">
        <f t="shared" si="0"/>
        <v>585.85833333333335</v>
      </c>
      <c r="F17" s="220">
        <f t="shared" si="1"/>
        <v>868.05555555555725</v>
      </c>
      <c r="G17" s="222">
        <f t="shared" si="2"/>
        <v>2984.0205308333339</v>
      </c>
      <c r="H17" s="220">
        <v>3000</v>
      </c>
      <c r="I17" s="7">
        <f t="shared" si="3"/>
        <v>265.83333333333331</v>
      </c>
      <c r="J17" s="223">
        <f t="shared" ref="J17:J33" si="7">+$C$42*D17</f>
        <v>62.5</v>
      </c>
      <c r="K17" s="15">
        <f t="shared" si="4"/>
        <v>12974.601086388891</v>
      </c>
      <c r="L17" s="15">
        <v>206</v>
      </c>
      <c r="M17" s="15">
        <v>1</v>
      </c>
      <c r="N17" s="15">
        <f t="shared" si="5"/>
        <v>2672767.8237961116</v>
      </c>
      <c r="O17" s="39">
        <v>1</v>
      </c>
      <c r="P17" s="103">
        <f t="shared" si="6"/>
        <v>2672767.8237961116</v>
      </c>
    </row>
    <row r="18" spans="1:17" ht="9.75" customHeight="1" x14ac:dyDescent="0.2">
      <c r="A18" s="39" t="s">
        <v>4</v>
      </c>
      <c r="B18" s="354" t="s">
        <v>52</v>
      </c>
      <c r="C18" s="376" t="s">
        <v>1362</v>
      </c>
      <c r="D18" s="378">
        <f t="shared" ref="D18:D32" si="8">$C$36/240</f>
        <v>4833.333333333333</v>
      </c>
      <c r="E18" s="38">
        <f t="shared" si="0"/>
        <v>585.85833333333335</v>
      </c>
      <c r="F18" s="220">
        <f t="shared" si="1"/>
        <v>805.55555555555702</v>
      </c>
      <c r="G18" s="222">
        <f t="shared" si="2"/>
        <v>2788.0642808333341</v>
      </c>
      <c r="H18" s="7">
        <v>1800</v>
      </c>
      <c r="I18" s="7">
        <f t="shared" si="3"/>
        <v>265.83333333333331</v>
      </c>
      <c r="J18" s="223">
        <f t="shared" si="7"/>
        <v>58</v>
      </c>
      <c r="K18" s="15">
        <f t="shared" si="4"/>
        <v>11136.644836388892</v>
      </c>
      <c r="L18" s="15">
        <v>206</v>
      </c>
      <c r="M18" s="15">
        <v>1</v>
      </c>
      <c r="N18" s="15">
        <f t="shared" si="5"/>
        <v>2294148.8362961118</v>
      </c>
      <c r="O18" s="39">
        <v>3</v>
      </c>
      <c r="P18" s="103">
        <f t="shared" si="6"/>
        <v>6882446.5088883359</v>
      </c>
    </row>
    <row r="19" spans="1:17" ht="9.75" customHeight="1" x14ac:dyDescent="0.2">
      <c r="A19" s="39" t="s">
        <v>4</v>
      </c>
      <c r="B19" s="354" t="s">
        <v>175</v>
      </c>
      <c r="C19" s="376" t="s">
        <v>1363</v>
      </c>
      <c r="D19" s="378">
        <f t="shared" si="8"/>
        <v>4833.333333333333</v>
      </c>
      <c r="E19" s="38">
        <f t="shared" si="0"/>
        <v>585.85833333333335</v>
      </c>
      <c r="F19" s="220">
        <f t="shared" si="1"/>
        <v>805.55555555555702</v>
      </c>
      <c r="G19" s="222">
        <f t="shared" si="2"/>
        <v>2788.0642808333341</v>
      </c>
      <c r="H19" s="7">
        <v>3000</v>
      </c>
      <c r="I19" s="7">
        <f t="shared" si="3"/>
        <v>265.83333333333331</v>
      </c>
      <c r="J19" s="223">
        <f t="shared" si="7"/>
        <v>58</v>
      </c>
      <c r="K19" s="15">
        <f t="shared" si="4"/>
        <v>12336.644836388892</v>
      </c>
      <c r="L19" s="15">
        <v>206</v>
      </c>
      <c r="M19" s="15">
        <v>1</v>
      </c>
      <c r="N19" s="15">
        <f t="shared" si="5"/>
        <v>2541348.8362961118</v>
      </c>
      <c r="O19" s="39">
        <v>1</v>
      </c>
      <c r="P19" s="103">
        <f t="shared" si="6"/>
        <v>2541348.8362961118</v>
      </c>
    </row>
    <row r="20" spans="1:17" ht="9.75" customHeight="1" x14ac:dyDescent="0.2">
      <c r="A20" s="39" t="s">
        <v>4</v>
      </c>
      <c r="B20" s="354" t="s">
        <v>175</v>
      </c>
      <c r="C20" s="376" t="s">
        <v>1372</v>
      </c>
      <c r="D20" s="378">
        <f t="shared" si="8"/>
        <v>4833.333333333333</v>
      </c>
      <c r="E20" s="38">
        <f t="shared" si="0"/>
        <v>585.85833333333335</v>
      </c>
      <c r="F20" s="220">
        <f t="shared" si="1"/>
        <v>805.55555555555702</v>
      </c>
      <c r="G20" s="222">
        <f t="shared" si="2"/>
        <v>2788.0642808333341</v>
      </c>
      <c r="H20" s="7">
        <v>3000</v>
      </c>
      <c r="I20" s="7">
        <f t="shared" si="3"/>
        <v>265.83333333333331</v>
      </c>
      <c r="J20" s="223">
        <f t="shared" si="7"/>
        <v>58</v>
      </c>
      <c r="K20" s="15">
        <f t="shared" si="4"/>
        <v>12336.644836388892</v>
      </c>
      <c r="L20" s="15">
        <v>206</v>
      </c>
      <c r="M20" s="15">
        <v>1</v>
      </c>
      <c r="N20" s="15">
        <f t="shared" si="5"/>
        <v>2541348.8362961118</v>
      </c>
      <c r="O20" s="39">
        <v>6</v>
      </c>
      <c r="P20" s="103">
        <f t="shared" si="6"/>
        <v>15248093.017776672</v>
      </c>
    </row>
    <row r="21" spans="1:17" ht="9.75" customHeight="1" x14ac:dyDescent="0.2">
      <c r="A21" s="39" t="s">
        <v>4</v>
      </c>
      <c r="B21" s="354" t="s">
        <v>175</v>
      </c>
      <c r="C21" s="376" t="s">
        <v>1364</v>
      </c>
      <c r="D21" s="378">
        <f t="shared" si="8"/>
        <v>4833.333333333333</v>
      </c>
      <c r="E21" s="38">
        <f t="shared" si="0"/>
        <v>585.85833333333335</v>
      </c>
      <c r="F21" s="220">
        <f t="shared" si="1"/>
        <v>805.55555555555702</v>
      </c>
      <c r="G21" s="222">
        <f t="shared" si="2"/>
        <v>2788.0642808333341</v>
      </c>
      <c r="H21" s="7">
        <v>3000</v>
      </c>
      <c r="I21" s="7">
        <f t="shared" si="3"/>
        <v>265.83333333333331</v>
      </c>
      <c r="J21" s="223">
        <f t="shared" si="7"/>
        <v>58</v>
      </c>
      <c r="K21" s="15">
        <f t="shared" si="4"/>
        <v>12336.644836388892</v>
      </c>
      <c r="L21" s="15">
        <v>206</v>
      </c>
      <c r="M21" s="15">
        <v>1</v>
      </c>
      <c r="N21" s="15">
        <f t="shared" si="5"/>
        <v>2541348.8362961118</v>
      </c>
      <c r="O21" s="39">
        <v>4</v>
      </c>
      <c r="P21" s="103">
        <f t="shared" si="6"/>
        <v>10165395.345184447</v>
      </c>
    </row>
    <row r="22" spans="1:17" ht="9.75" customHeight="1" x14ac:dyDescent="0.2">
      <c r="A22" s="39" t="s">
        <v>4</v>
      </c>
      <c r="B22" s="354" t="s">
        <v>175</v>
      </c>
      <c r="C22" s="376" t="s">
        <v>1365</v>
      </c>
      <c r="D22" s="378">
        <f t="shared" si="8"/>
        <v>4833.333333333333</v>
      </c>
      <c r="E22" s="38">
        <f t="shared" si="0"/>
        <v>585.85833333333335</v>
      </c>
      <c r="F22" s="220">
        <f t="shared" si="1"/>
        <v>805.55555555555702</v>
      </c>
      <c r="G22" s="222">
        <f t="shared" si="2"/>
        <v>2788.0642808333341</v>
      </c>
      <c r="H22" s="7">
        <v>3000</v>
      </c>
      <c r="I22" s="7">
        <f t="shared" si="3"/>
        <v>265.83333333333331</v>
      </c>
      <c r="J22" s="223">
        <f t="shared" si="7"/>
        <v>58</v>
      </c>
      <c r="K22" s="15">
        <f t="shared" si="4"/>
        <v>12336.644836388892</v>
      </c>
      <c r="L22" s="15">
        <v>206</v>
      </c>
      <c r="M22" s="15">
        <v>1</v>
      </c>
      <c r="N22" s="15">
        <f t="shared" si="5"/>
        <v>2541348.8362961118</v>
      </c>
      <c r="O22" s="39">
        <v>4</v>
      </c>
      <c r="P22" s="103">
        <f t="shared" si="6"/>
        <v>10165395.345184447</v>
      </c>
    </row>
    <row r="23" spans="1:17" ht="9.75" customHeight="1" x14ac:dyDescent="0.2">
      <c r="A23" s="39" t="s">
        <v>4</v>
      </c>
      <c r="B23" s="354" t="s">
        <v>175</v>
      </c>
      <c r="C23" s="376" t="s">
        <v>1373</v>
      </c>
      <c r="D23" s="378">
        <f t="shared" si="8"/>
        <v>4833.333333333333</v>
      </c>
      <c r="E23" s="38">
        <f t="shared" si="0"/>
        <v>585.85833333333335</v>
      </c>
      <c r="F23" s="220">
        <f t="shared" si="1"/>
        <v>805.55555555555702</v>
      </c>
      <c r="G23" s="222">
        <f t="shared" si="2"/>
        <v>2788.0642808333341</v>
      </c>
      <c r="H23" s="7">
        <v>3000</v>
      </c>
      <c r="I23" s="7">
        <f t="shared" si="3"/>
        <v>265.83333333333331</v>
      </c>
      <c r="J23" s="223">
        <f t="shared" si="7"/>
        <v>58</v>
      </c>
      <c r="K23" s="15">
        <f t="shared" si="4"/>
        <v>12336.644836388892</v>
      </c>
      <c r="L23" s="15">
        <v>206</v>
      </c>
      <c r="M23" s="15">
        <v>1</v>
      </c>
      <c r="N23" s="15">
        <f t="shared" si="5"/>
        <v>2541348.8362961118</v>
      </c>
      <c r="O23" s="39">
        <v>2</v>
      </c>
      <c r="P23" s="103">
        <f t="shared" si="6"/>
        <v>5082697.6725922236</v>
      </c>
    </row>
    <row r="24" spans="1:17" ht="9.75" customHeight="1" x14ac:dyDescent="0.2">
      <c r="A24" s="39" t="s">
        <v>4</v>
      </c>
      <c r="B24" s="354" t="s">
        <v>175</v>
      </c>
      <c r="C24" s="376" t="s">
        <v>1375</v>
      </c>
      <c r="D24" s="378">
        <f t="shared" si="8"/>
        <v>4833.333333333333</v>
      </c>
      <c r="E24" s="38">
        <f t="shared" si="0"/>
        <v>585.85833333333335</v>
      </c>
      <c r="F24" s="220">
        <f t="shared" si="1"/>
        <v>805.55555555555702</v>
      </c>
      <c r="G24" s="222">
        <f t="shared" si="2"/>
        <v>2788.0642808333341</v>
      </c>
      <c r="H24" s="7">
        <v>3000</v>
      </c>
      <c r="I24" s="7">
        <f t="shared" si="3"/>
        <v>265.83333333333331</v>
      </c>
      <c r="J24" s="223">
        <f t="shared" si="7"/>
        <v>58</v>
      </c>
      <c r="K24" s="15">
        <f t="shared" si="4"/>
        <v>12336.644836388892</v>
      </c>
      <c r="L24" s="15">
        <v>206</v>
      </c>
      <c r="M24" s="15">
        <v>1</v>
      </c>
      <c r="N24" s="15">
        <f t="shared" si="5"/>
        <v>2541348.8362961118</v>
      </c>
      <c r="O24" s="39">
        <v>2</v>
      </c>
      <c r="P24" s="103">
        <f t="shared" si="6"/>
        <v>5082697.6725922236</v>
      </c>
    </row>
    <row r="25" spans="1:17" ht="9.75" customHeight="1" x14ac:dyDescent="0.2">
      <c r="A25" s="39" t="s">
        <v>4</v>
      </c>
      <c r="B25" s="354" t="s">
        <v>176</v>
      </c>
      <c r="C25" s="376" t="s">
        <v>1366</v>
      </c>
      <c r="D25" s="378">
        <f t="shared" si="8"/>
        <v>4833.333333333333</v>
      </c>
      <c r="E25" s="38">
        <f t="shared" si="0"/>
        <v>585.85833333333335</v>
      </c>
      <c r="F25" s="220">
        <f t="shared" si="1"/>
        <v>805.55555555555702</v>
      </c>
      <c r="G25" s="222">
        <f t="shared" si="2"/>
        <v>2788.0642808333341</v>
      </c>
      <c r="H25" s="7">
        <v>1800</v>
      </c>
      <c r="I25" s="7">
        <f t="shared" si="3"/>
        <v>265.83333333333331</v>
      </c>
      <c r="J25" s="223">
        <f t="shared" si="7"/>
        <v>58</v>
      </c>
      <c r="K25" s="15">
        <f t="shared" si="4"/>
        <v>11136.644836388892</v>
      </c>
      <c r="L25" s="15">
        <v>206</v>
      </c>
      <c r="M25" s="15">
        <v>1</v>
      </c>
      <c r="N25" s="15">
        <f t="shared" si="5"/>
        <v>2294148.8362961118</v>
      </c>
      <c r="O25" s="39">
        <v>6</v>
      </c>
      <c r="P25" s="103">
        <f t="shared" si="6"/>
        <v>13764893.017776672</v>
      </c>
    </row>
    <row r="26" spans="1:17" ht="9.75" customHeight="1" x14ac:dyDescent="0.2">
      <c r="A26" s="39" t="s">
        <v>4</v>
      </c>
      <c r="B26" s="354" t="s">
        <v>176</v>
      </c>
      <c r="C26" s="376" t="s">
        <v>1367</v>
      </c>
      <c r="D26" s="378">
        <f t="shared" si="8"/>
        <v>4833.333333333333</v>
      </c>
      <c r="E26" s="38">
        <f t="shared" si="0"/>
        <v>585.85833333333335</v>
      </c>
      <c r="F26" s="220">
        <f t="shared" si="1"/>
        <v>805.55555555555702</v>
      </c>
      <c r="G26" s="222">
        <f t="shared" si="2"/>
        <v>2788.0642808333341</v>
      </c>
      <c r="H26" s="7">
        <v>1800</v>
      </c>
      <c r="I26" s="7">
        <f t="shared" si="3"/>
        <v>265.83333333333331</v>
      </c>
      <c r="J26" s="223">
        <f t="shared" si="7"/>
        <v>58</v>
      </c>
      <c r="K26" s="15">
        <f t="shared" si="4"/>
        <v>11136.644836388892</v>
      </c>
      <c r="L26" s="15">
        <v>206</v>
      </c>
      <c r="M26" s="15">
        <v>1</v>
      </c>
      <c r="N26" s="15">
        <f t="shared" si="5"/>
        <v>2294148.8362961118</v>
      </c>
      <c r="O26" s="39">
        <v>2</v>
      </c>
      <c r="P26" s="103">
        <f t="shared" si="6"/>
        <v>4588297.6725922236</v>
      </c>
    </row>
    <row r="27" spans="1:17" ht="9.75" customHeight="1" x14ac:dyDescent="0.2">
      <c r="A27" s="39" t="s">
        <v>4</v>
      </c>
      <c r="B27" s="354" t="s">
        <v>177</v>
      </c>
      <c r="C27" s="376" t="s">
        <v>1368</v>
      </c>
      <c r="D27" s="378">
        <f t="shared" si="8"/>
        <v>4833.333333333333</v>
      </c>
      <c r="E27" s="38">
        <f t="shared" si="0"/>
        <v>585.85833333333335</v>
      </c>
      <c r="F27" s="220">
        <f t="shared" si="1"/>
        <v>805.55555555555702</v>
      </c>
      <c r="G27" s="222">
        <f t="shared" si="2"/>
        <v>2788.0642808333341</v>
      </c>
      <c r="H27" s="7">
        <v>1000</v>
      </c>
      <c r="I27" s="7">
        <f t="shared" si="3"/>
        <v>265.83333333333331</v>
      </c>
      <c r="J27" s="223">
        <f t="shared" si="7"/>
        <v>58</v>
      </c>
      <c r="K27" s="15">
        <f t="shared" si="4"/>
        <v>10336.644836388892</v>
      </c>
      <c r="L27" s="15">
        <v>206</v>
      </c>
      <c r="M27" s="15">
        <v>1</v>
      </c>
      <c r="N27" s="15">
        <f t="shared" si="5"/>
        <v>2129348.8362961118</v>
      </c>
      <c r="O27" s="39">
        <v>2</v>
      </c>
      <c r="P27" s="103">
        <f t="shared" si="6"/>
        <v>4258697.6725922236</v>
      </c>
      <c r="Q27" s="68">
        <v>184840899.98933434</v>
      </c>
    </row>
    <row r="28" spans="1:17" ht="9.75" customHeight="1" x14ac:dyDescent="0.2">
      <c r="A28" s="39" t="s">
        <v>4</v>
      </c>
      <c r="B28" s="354" t="s">
        <v>177</v>
      </c>
      <c r="C28" s="376" t="s">
        <v>1374</v>
      </c>
      <c r="D28" s="378">
        <f t="shared" si="8"/>
        <v>4833.333333333333</v>
      </c>
      <c r="E28" s="38">
        <f t="shared" si="0"/>
        <v>585.85833333333335</v>
      </c>
      <c r="F28" s="220">
        <f t="shared" si="1"/>
        <v>805.55555555555702</v>
      </c>
      <c r="G28" s="222">
        <f t="shared" si="2"/>
        <v>2788.0642808333341</v>
      </c>
      <c r="H28" s="7">
        <v>1000</v>
      </c>
      <c r="I28" s="7">
        <f t="shared" si="3"/>
        <v>265.83333333333331</v>
      </c>
      <c r="J28" s="223">
        <f t="shared" si="7"/>
        <v>58</v>
      </c>
      <c r="K28" s="15">
        <f t="shared" si="4"/>
        <v>10336.644836388892</v>
      </c>
      <c r="L28" s="15">
        <v>206</v>
      </c>
      <c r="M28" s="15">
        <v>1</v>
      </c>
      <c r="N28" s="15">
        <f t="shared" si="5"/>
        <v>2129348.8362961118</v>
      </c>
      <c r="O28" s="39">
        <v>18</v>
      </c>
      <c r="P28" s="103">
        <f t="shared" si="6"/>
        <v>38328279.053330012</v>
      </c>
      <c r="Q28" s="68">
        <v>184840899.98933434</v>
      </c>
    </row>
    <row r="29" spans="1:17" ht="9.75" customHeight="1" x14ac:dyDescent="0.2">
      <c r="A29" s="39" t="s">
        <v>4</v>
      </c>
      <c r="B29" s="354" t="s">
        <v>177</v>
      </c>
      <c r="C29" s="376" t="s">
        <v>1376</v>
      </c>
      <c r="D29" s="378">
        <f t="shared" si="8"/>
        <v>4833.333333333333</v>
      </c>
      <c r="E29" s="38">
        <f t="shared" si="0"/>
        <v>585.85833333333335</v>
      </c>
      <c r="F29" s="220">
        <f t="shared" si="1"/>
        <v>805.55555555555702</v>
      </c>
      <c r="G29" s="222">
        <f t="shared" si="2"/>
        <v>2788.0642808333341</v>
      </c>
      <c r="H29" s="7">
        <v>1000</v>
      </c>
      <c r="I29" s="7">
        <f t="shared" si="3"/>
        <v>265.83333333333331</v>
      </c>
      <c r="J29" s="223">
        <f t="shared" si="7"/>
        <v>58</v>
      </c>
      <c r="K29" s="15">
        <f t="shared" si="4"/>
        <v>10336.644836388892</v>
      </c>
      <c r="L29" s="15">
        <v>206</v>
      </c>
      <c r="M29" s="15">
        <v>1</v>
      </c>
      <c r="N29" s="15">
        <f t="shared" si="5"/>
        <v>2129348.8362961118</v>
      </c>
      <c r="O29" s="39">
        <v>4</v>
      </c>
      <c r="P29" s="103">
        <f t="shared" si="6"/>
        <v>8517395.3451844472</v>
      </c>
      <c r="Q29" s="68">
        <v>184840899.98933434</v>
      </c>
    </row>
    <row r="30" spans="1:17" ht="9.75" customHeight="1" x14ac:dyDescent="0.2">
      <c r="A30" s="39" t="s">
        <v>4</v>
      </c>
      <c r="B30" s="354" t="s">
        <v>177</v>
      </c>
      <c r="C30" s="376" t="s">
        <v>1369</v>
      </c>
      <c r="D30" s="378">
        <f t="shared" si="8"/>
        <v>4833.333333333333</v>
      </c>
      <c r="E30" s="38">
        <f t="shared" si="0"/>
        <v>585.85833333333335</v>
      </c>
      <c r="F30" s="220">
        <f t="shared" si="1"/>
        <v>805.55555555555702</v>
      </c>
      <c r="G30" s="222">
        <f t="shared" si="2"/>
        <v>2788.0642808333341</v>
      </c>
      <c r="H30" s="7">
        <v>1000</v>
      </c>
      <c r="I30" s="7">
        <f t="shared" si="3"/>
        <v>265.83333333333331</v>
      </c>
      <c r="J30" s="223">
        <f t="shared" si="7"/>
        <v>58</v>
      </c>
      <c r="K30" s="15">
        <f t="shared" si="4"/>
        <v>10336.644836388892</v>
      </c>
      <c r="L30" s="15">
        <v>206</v>
      </c>
      <c r="M30" s="15">
        <v>1</v>
      </c>
      <c r="N30" s="15">
        <f t="shared" si="5"/>
        <v>2129348.8362961118</v>
      </c>
      <c r="O30" s="39">
        <v>8</v>
      </c>
      <c r="P30" s="103">
        <f t="shared" si="6"/>
        <v>17034790.690368894</v>
      </c>
      <c r="Q30" s="68">
        <v>184840899.98933434</v>
      </c>
    </row>
    <row r="31" spans="1:17" ht="9.75" customHeight="1" x14ac:dyDescent="0.2">
      <c r="A31" s="39" t="s">
        <v>4</v>
      </c>
      <c r="B31" s="354" t="s">
        <v>177</v>
      </c>
      <c r="C31" s="376" t="s">
        <v>1377</v>
      </c>
      <c r="D31" s="378">
        <f t="shared" si="8"/>
        <v>4833.333333333333</v>
      </c>
      <c r="E31" s="38">
        <f t="shared" si="0"/>
        <v>585.85833333333335</v>
      </c>
      <c r="F31" s="220">
        <f t="shared" si="1"/>
        <v>805.55555555555702</v>
      </c>
      <c r="G31" s="222">
        <f t="shared" si="2"/>
        <v>2788.0642808333341</v>
      </c>
      <c r="H31" s="7">
        <v>1000</v>
      </c>
      <c r="I31" s="7">
        <f t="shared" si="3"/>
        <v>265.83333333333331</v>
      </c>
      <c r="J31" s="223">
        <f t="shared" si="7"/>
        <v>58</v>
      </c>
      <c r="K31" s="15">
        <f t="shared" si="4"/>
        <v>10336.644836388892</v>
      </c>
      <c r="L31" s="15">
        <v>206</v>
      </c>
      <c r="M31" s="15">
        <v>1</v>
      </c>
      <c r="N31" s="15">
        <f t="shared" si="5"/>
        <v>2129348.8362961118</v>
      </c>
      <c r="O31" s="39">
        <v>8</v>
      </c>
      <c r="P31" s="103">
        <f t="shared" si="6"/>
        <v>17034790.690368894</v>
      </c>
      <c r="Q31" s="68">
        <v>184840899.98933434</v>
      </c>
    </row>
    <row r="32" spans="1:17" ht="9.75" customHeight="1" x14ac:dyDescent="0.2">
      <c r="A32" s="39" t="s">
        <v>4</v>
      </c>
      <c r="B32" s="354" t="s">
        <v>177</v>
      </c>
      <c r="C32" s="376" t="s">
        <v>1370</v>
      </c>
      <c r="D32" s="378">
        <f t="shared" si="8"/>
        <v>4833.333333333333</v>
      </c>
      <c r="E32" s="38">
        <f t="shared" si="0"/>
        <v>585.85833333333335</v>
      </c>
      <c r="F32" s="220">
        <f t="shared" si="1"/>
        <v>805.55555555555702</v>
      </c>
      <c r="G32" s="222">
        <f t="shared" si="2"/>
        <v>2788.0642808333341</v>
      </c>
      <c r="H32" s="7">
        <v>1000</v>
      </c>
      <c r="I32" s="7">
        <f t="shared" si="3"/>
        <v>265.83333333333331</v>
      </c>
      <c r="J32" s="223">
        <f t="shared" si="7"/>
        <v>58</v>
      </c>
      <c r="K32" s="15">
        <f t="shared" si="4"/>
        <v>10336.644836388892</v>
      </c>
      <c r="L32" s="15">
        <v>206</v>
      </c>
      <c r="M32" s="15">
        <v>1</v>
      </c>
      <c r="N32" s="15">
        <f t="shared" si="5"/>
        <v>2129348.8362961118</v>
      </c>
      <c r="O32" s="39">
        <v>4</v>
      </c>
      <c r="P32" s="103">
        <f t="shared" si="6"/>
        <v>8517395.3451844472</v>
      </c>
      <c r="Q32" s="68">
        <v>184840899.98933434</v>
      </c>
    </row>
    <row r="33" spans="1:17" ht="9.75" customHeight="1" x14ac:dyDescent="0.2">
      <c r="A33" s="39" t="s">
        <v>4</v>
      </c>
      <c r="B33" s="354" t="s">
        <v>178</v>
      </c>
      <c r="C33" s="376" t="s">
        <v>1378</v>
      </c>
      <c r="D33" s="378">
        <f>1250000/240</f>
        <v>5208.333333333333</v>
      </c>
      <c r="E33" s="38">
        <f t="shared" si="0"/>
        <v>585.85833333333335</v>
      </c>
      <c r="F33" s="220">
        <f t="shared" si="1"/>
        <v>868.05555555555725</v>
      </c>
      <c r="G33" s="222">
        <f t="shared" si="2"/>
        <v>2984.0205308333339</v>
      </c>
      <c r="H33" s="7">
        <v>3000</v>
      </c>
      <c r="I33" s="7">
        <f t="shared" si="3"/>
        <v>265.83333333333331</v>
      </c>
      <c r="J33" s="223">
        <f t="shared" si="7"/>
        <v>62.5</v>
      </c>
      <c r="K33" s="15">
        <f t="shared" si="4"/>
        <v>12974.601086388891</v>
      </c>
      <c r="L33" s="15">
        <v>206</v>
      </c>
      <c r="M33" s="15">
        <v>1</v>
      </c>
      <c r="N33" s="15">
        <f t="shared" si="5"/>
        <v>2672767.8237961116</v>
      </c>
      <c r="O33" s="39">
        <v>2</v>
      </c>
      <c r="P33" s="103">
        <f t="shared" si="6"/>
        <v>5345535.6475922232</v>
      </c>
    </row>
    <row r="34" spans="1:17" ht="9.75" customHeight="1" x14ac:dyDescent="0.2">
      <c r="A34" s="45"/>
      <c r="B34" s="45"/>
      <c r="C34" s="78"/>
      <c r="D34" s="78"/>
      <c r="E34" s="78"/>
      <c r="F34" s="78"/>
      <c r="G34" s="78"/>
      <c r="H34" s="78"/>
      <c r="I34" s="78"/>
      <c r="J34" s="78"/>
      <c r="K34" s="101"/>
      <c r="L34" s="101"/>
      <c r="M34" s="101"/>
      <c r="N34" s="101"/>
      <c r="O34" s="45"/>
      <c r="P34" s="104">
        <f>SUM(P16:P33)</f>
        <v>175935159.04278058</v>
      </c>
      <c r="Q34" s="68">
        <f>+P34/4</f>
        <v>43983789.760695145</v>
      </c>
    </row>
    <row r="36" spans="1:17" x14ac:dyDescent="0.2">
      <c r="A36" s="818" t="s">
        <v>184</v>
      </c>
      <c r="B36" s="818"/>
      <c r="C36" s="108">
        <v>1160000</v>
      </c>
    </row>
    <row r="37" spans="1:17" ht="12" customHeight="1" x14ac:dyDescent="0.2">
      <c r="A37" s="818" t="s">
        <v>515</v>
      </c>
      <c r="B37" s="818"/>
      <c r="C37" s="102">
        <v>140606</v>
      </c>
    </row>
    <row r="38" spans="1:17" ht="12" customHeight="1" x14ac:dyDescent="0.2">
      <c r="A38" s="818" t="s">
        <v>516</v>
      </c>
      <c r="B38" s="818"/>
      <c r="C38" s="106">
        <f>+C37/C36</f>
        <v>0.12121206896551724</v>
      </c>
    </row>
    <row r="39" spans="1:17" ht="12" customHeight="1" x14ac:dyDescent="0.2">
      <c r="A39" s="818" t="s">
        <v>517</v>
      </c>
      <c r="B39" s="818"/>
      <c r="C39" s="106">
        <v>0.16666666666666699</v>
      </c>
    </row>
    <row r="40" spans="1:17" x14ac:dyDescent="0.2">
      <c r="A40" s="818" t="s">
        <v>518</v>
      </c>
      <c r="B40" s="818"/>
      <c r="C40" s="107">
        <v>0.44789999999999996</v>
      </c>
    </row>
    <row r="41" spans="1:17" x14ac:dyDescent="0.2">
      <c r="A41" s="818" t="s">
        <v>519</v>
      </c>
      <c r="B41" s="818"/>
      <c r="C41" s="107">
        <v>5.5E-2</v>
      </c>
    </row>
    <row r="42" spans="1:17" x14ac:dyDescent="0.2">
      <c r="A42" s="818" t="s">
        <v>1054</v>
      </c>
      <c r="B42" s="818"/>
      <c r="C42" s="107">
        <v>1.2E-2</v>
      </c>
    </row>
    <row r="43" spans="1:17" x14ac:dyDescent="0.2">
      <c r="A43" s="818" t="s">
        <v>1053</v>
      </c>
      <c r="B43" s="818"/>
      <c r="C43" s="107">
        <v>0.3</v>
      </c>
    </row>
  </sheetData>
  <mergeCells count="29">
    <mergeCell ref="A41:B41"/>
    <mergeCell ref="A42:B42"/>
    <mergeCell ref="A43:B43"/>
    <mergeCell ref="A36:B36"/>
    <mergeCell ref="A37:B37"/>
    <mergeCell ref="A38:B38"/>
    <mergeCell ref="A39:B39"/>
    <mergeCell ref="A40:B40"/>
    <mergeCell ref="D12:P12"/>
    <mergeCell ref="D13:P13"/>
    <mergeCell ref="A7:B7"/>
    <mergeCell ref="C7:K7"/>
    <mergeCell ref="C1:O1"/>
    <mergeCell ref="A2:B5"/>
    <mergeCell ref="N7:P7"/>
    <mergeCell ref="K2:P2"/>
    <mergeCell ref="K3:P3"/>
    <mergeCell ref="K4:P4"/>
    <mergeCell ref="K5:P5"/>
    <mergeCell ref="O9:P9"/>
    <mergeCell ref="M9:N9"/>
    <mergeCell ref="D9:L9"/>
    <mergeCell ref="D10:P10"/>
    <mergeCell ref="D11:P11"/>
    <mergeCell ref="A9:B9"/>
    <mergeCell ref="A10:B10"/>
    <mergeCell ref="A11:B11"/>
    <mergeCell ref="A12:B12"/>
    <mergeCell ref="A13:B13"/>
  </mergeCells>
  <pageMargins left="0.70866141732283472" right="0.59" top="1.2204724409448819" bottom="1.08" header="0.31496062992125984" footer="0.77"/>
  <pageSetup scale="78" orientation="landscape" r:id="rId1"/>
  <headerFooter>
    <oddHeader>&amp;L&amp;G&amp;C&amp;G&amp;R&amp;G</oddHeader>
    <oddFooter>&amp;L&amp;G&amp;R&amp;G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83"/>
  <sheetViews>
    <sheetView showGridLines="0" tabSelected="1" view="pageBreakPreview" zoomScaleNormal="100" zoomScaleSheetLayoutView="100" workbookViewId="0">
      <selection activeCell="H18" sqref="H18"/>
    </sheetView>
  </sheetViews>
  <sheetFormatPr baseColWidth="10" defaultColWidth="11.44140625" defaultRowHeight="10.199999999999999" x14ac:dyDescent="0.2"/>
  <cols>
    <col min="1" max="1" width="5.88671875" style="68" customWidth="1"/>
    <col min="2" max="2" width="7.5546875" style="68" customWidth="1"/>
    <col min="3" max="3" width="15.109375" style="109" customWidth="1"/>
    <col min="4" max="4" width="14.109375" style="109" customWidth="1"/>
    <col min="5" max="5" width="7.5546875" style="68" customWidth="1"/>
    <col min="6" max="6" width="9" style="68" customWidth="1"/>
    <col min="7" max="7" width="10.5546875" style="69" customWidth="1"/>
    <col min="8" max="8" width="16.77734375" style="68" customWidth="1"/>
    <col min="9" max="9" width="16" style="68" customWidth="1"/>
    <col min="10" max="10" width="16.6640625" style="68" hidden="1" customWidth="1"/>
    <col min="11" max="12" width="0" style="68" hidden="1" customWidth="1"/>
    <col min="13" max="13" width="12.88671875" style="68" hidden="1" customWidth="1"/>
    <col min="14" max="15" width="12.33203125" style="68" hidden="1" customWidth="1"/>
    <col min="16" max="18" width="0" style="68" hidden="1" customWidth="1"/>
    <col min="19" max="19" width="13.44140625" style="68" bestFit="1" customWidth="1"/>
    <col min="20" max="20" width="15" style="459" bestFit="1" customWidth="1"/>
    <col min="21" max="21" width="15.44140625" style="68" customWidth="1"/>
    <col min="22" max="16384" width="11.44140625" style="68"/>
  </cols>
  <sheetData>
    <row r="1" spans="1:21" ht="38.25" customHeight="1" x14ac:dyDescent="0.2">
      <c r="A1" s="67"/>
      <c r="B1" s="67"/>
      <c r="C1" s="600"/>
      <c r="D1" s="600"/>
      <c r="E1" s="600"/>
      <c r="F1" s="600"/>
      <c r="G1" s="600"/>
      <c r="H1" s="600"/>
      <c r="I1" s="600"/>
      <c r="T1" s="458"/>
    </row>
    <row r="2" spans="1:21" ht="10.5" customHeight="1" x14ac:dyDescent="0.2">
      <c r="A2" s="601"/>
      <c r="B2" s="601"/>
      <c r="E2" s="236"/>
      <c r="F2" s="236"/>
      <c r="G2" s="602" t="s">
        <v>60</v>
      </c>
      <c r="H2" s="602"/>
      <c r="I2" s="602"/>
      <c r="T2" s="458"/>
    </row>
    <row r="3" spans="1:21" ht="10.5" customHeight="1" x14ac:dyDescent="0.2">
      <c r="A3" s="601"/>
      <c r="B3" s="601"/>
      <c r="E3" s="236"/>
      <c r="F3" s="600"/>
      <c r="G3" s="602" t="s">
        <v>61</v>
      </c>
      <c r="H3" s="602"/>
      <c r="I3" s="602"/>
      <c r="T3" s="458"/>
    </row>
    <row r="4" spans="1:21" ht="10.5" customHeight="1" x14ac:dyDescent="0.2">
      <c r="A4" s="601"/>
      <c r="B4" s="601"/>
      <c r="E4" s="236"/>
      <c r="F4" s="600"/>
      <c r="G4" s="603" t="s">
        <v>1061</v>
      </c>
      <c r="H4" s="603"/>
      <c r="I4" s="603"/>
      <c r="J4" s="603"/>
      <c r="T4" s="458"/>
    </row>
    <row r="5" spans="1:21" ht="10.5" customHeight="1" x14ac:dyDescent="0.2">
      <c r="A5" s="601"/>
      <c r="B5" s="601"/>
      <c r="E5" s="236"/>
      <c r="F5" s="45" t="s">
        <v>281</v>
      </c>
      <c r="G5" s="603" t="s">
        <v>1062</v>
      </c>
      <c r="H5" s="603"/>
      <c r="I5" s="603"/>
      <c r="J5" s="603"/>
      <c r="T5" s="458"/>
    </row>
    <row r="6" spans="1:21" ht="10.5" customHeight="1" x14ac:dyDescent="0.2">
      <c r="B6" s="27"/>
      <c r="F6" s="45" t="s">
        <v>280</v>
      </c>
      <c r="T6" s="458"/>
    </row>
    <row r="7" spans="1:21" x14ac:dyDescent="0.2">
      <c r="A7" s="604" t="s">
        <v>21</v>
      </c>
      <c r="B7" s="604"/>
      <c r="C7" s="605" t="str">
        <f>+G4</f>
        <v>DISTRITO DE TURBO</v>
      </c>
      <c r="D7" s="605"/>
      <c r="E7" s="604" t="s">
        <v>22</v>
      </c>
      <c r="F7" s="604"/>
      <c r="G7" s="604"/>
      <c r="H7" s="606" t="str">
        <f>+G3</f>
        <v>DEPARTAMENTO DE ANTIOQUIA</v>
      </c>
      <c r="I7" s="606"/>
      <c r="T7" s="458"/>
    </row>
    <row r="8" spans="1:21" x14ac:dyDescent="0.2">
      <c r="A8" s="2"/>
      <c r="B8" s="2"/>
      <c r="C8" s="228"/>
      <c r="D8" s="228"/>
      <c r="E8" s="3"/>
      <c r="F8" s="3"/>
      <c r="G8" s="65"/>
      <c r="H8" s="3"/>
      <c r="I8" s="3"/>
      <c r="T8" s="458"/>
    </row>
    <row r="9" spans="1:21" ht="7.5" customHeight="1" x14ac:dyDescent="0.2">
      <c r="A9" s="607" t="s">
        <v>20</v>
      </c>
      <c r="B9" s="608"/>
      <c r="C9" s="609" t="s">
        <v>116</v>
      </c>
      <c r="D9" s="675"/>
      <c r="E9" s="676" t="s">
        <v>10</v>
      </c>
      <c r="F9" s="676"/>
      <c r="G9" s="676"/>
      <c r="H9" s="678">
        <v>45152</v>
      </c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</row>
    <row r="10" spans="1:21" ht="7.5" customHeight="1" x14ac:dyDescent="0.2">
      <c r="A10" s="607" t="s">
        <v>8</v>
      </c>
      <c r="B10" s="608"/>
      <c r="C10" s="241" t="s">
        <v>62</v>
      </c>
      <c r="D10" s="615" t="s">
        <v>1061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</row>
    <row r="11" spans="1:21" ht="7.5" customHeight="1" x14ac:dyDescent="0.2">
      <c r="A11" s="607" t="s">
        <v>7</v>
      </c>
      <c r="B11" s="608"/>
      <c r="C11" s="241" t="s">
        <v>63</v>
      </c>
      <c r="D11" s="615" t="s">
        <v>1117</v>
      </c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</row>
    <row r="12" spans="1:21" ht="7.5" customHeight="1" x14ac:dyDescent="0.2">
      <c r="A12" s="607" t="s">
        <v>9</v>
      </c>
      <c r="B12" s="608"/>
      <c r="C12" s="241" t="s">
        <v>62</v>
      </c>
      <c r="D12" s="615" t="s">
        <v>1035</v>
      </c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</row>
    <row r="13" spans="1:21" ht="10.199999999999999" customHeight="1" thickBot="1" x14ac:dyDescent="0.25">
      <c r="A13" s="687" t="s">
        <v>66</v>
      </c>
      <c r="B13" s="688"/>
      <c r="C13" s="494" t="s">
        <v>65</v>
      </c>
      <c r="D13" s="677" t="s">
        <v>67</v>
      </c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7"/>
      <c r="T13" s="677"/>
      <c r="U13" s="677"/>
    </row>
    <row r="14" spans="1:21" ht="18.600000000000001" customHeight="1" thickBot="1" x14ac:dyDescent="0.25">
      <c r="A14" s="684" t="s">
        <v>1557</v>
      </c>
      <c r="B14" s="685"/>
      <c r="C14" s="685"/>
      <c r="D14" s="685"/>
      <c r="E14" s="685"/>
      <c r="F14" s="685"/>
      <c r="G14" s="685"/>
      <c r="H14" s="686"/>
      <c r="I14" s="684" t="s">
        <v>1556</v>
      </c>
      <c r="J14" s="685"/>
      <c r="K14" s="685"/>
      <c r="L14" s="685"/>
      <c r="M14" s="685"/>
      <c r="N14" s="685"/>
      <c r="O14" s="685"/>
      <c r="P14" s="685"/>
      <c r="Q14" s="685"/>
      <c r="R14" s="685"/>
      <c r="S14" s="685"/>
      <c r="T14" s="685"/>
      <c r="U14" s="686"/>
    </row>
    <row r="15" spans="1:21" s="73" customFormat="1" ht="21" thickBot="1" x14ac:dyDescent="0.35">
      <c r="A15" s="525" t="s">
        <v>11</v>
      </c>
      <c r="B15" s="526" t="s">
        <v>294</v>
      </c>
      <c r="C15" s="689" t="s">
        <v>35</v>
      </c>
      <c r="D15" s="689"/>
      <c r="E15" s="527" t="s">
        <v>12</v>
      </c>
      <c r="F15" s="527" t="s">
        <v>13</v>
      </c>
      <c r="G15" s="528" t="s">
        <v>119</v>
      </c>
      <c r="H15" s="548" t="s">
        <v>38</v>
      </c>
      <c r="I15" s="521" t="s">
        <v>1558</v>
      </c>
      <c r="J15" s="522"/>
      <c r="K15" s="522"/>
      <c r="L15" s="522"/>
      <c r="M15" s="522"/>
      <c r="N15" s="522"/>
      <c r="O15" s="522"/>
      <c r="P15" s="522"/>
      <c r="Q15" s="522"/>
      <c r="R15" s="522"/>
      <c r="S15" s="523" t="s">
        <v>1559</v>
      </c>
      <c r="T15" s="549" t="s">
        <v>1560</v>
      </c>
      <c r="U15" s="580" t="s">
        <v>1561</v>
      </c>
    </row>
    <row r="16" spans="1:21" s="73" customFormat="1" ht="16.5" customHeight="1" thickBot="1" x14ac:dyDescent="0.35">
      <c r="A16" s="666" t="s">
        <v>122</v>
      </c>
      <c r="B16" s="667"/>
      <c r="C16" s="667"/>
      <c r="D16" s="667"/>
      <c r="E16" s="667"/>
      <c r="F16" s="667"/>
      <c r="G16" s="668"/>
      <c r="H16" s="544">
        <f>SUM(H17:H18)</f>
        <v>97493115</v>
      </c>
      <c r="I16" s="680"/>
      <c r="J16" s="681"/>
      <c r="K16" s="681"/>
      <c r="L16" s="681"/>
      <c r="M16" s="681"/>
      <c r="N16" s="681"/>
      <c r="O16" s="681"/>
      <c r="P16" s="681"/>
      <c r="Q16" s="681"/>
      <c r="R16" s="681"/>
      <c r="S16" s="681"/>
      <c r="T16" s="537">
        <f>+T17+T18</f>
        <v>118032740</v>
      </c>
      <c r="U16" s="581">
        <f>+U17+U18</f>
        <v>-20539625</v>
      </c>
    </row>
    <row r="17" spans="1:21" s="44" customFormat="1" ht="28.5" customHeight="1" x14ac:dyDescent="0.3">
      <c r="A17" s="504" t="s">
        <v>25</v>
      </c>
      <c r="B17" s="21" t="s">
        <v>117</v>
      </c>
      <c r="C17" s="612" t="s">
        <v>1250</v>
      </c>
      <c r="D17" s="612"/>
      <c r="E17" s="43" t="s">
        <v>391</v>
      </c>
      <c r="F17" s="511">
        <f>VLOOKUP(A17,MEM!$B$285:$L$286,11,FALSE)</f>
        <v>9031</v>
      </c>
      <c r="G17" s="497">
        <f>VLOOKUP(B17,'APU1'!$B$16:$I$1290,8,FALSE)</f>
        <v>1421</v>
      </c>
      <c r="H17" s="543">
        <f>+G17*F17</f>
        <v>12833051</v>
      </c>
      <c r="I17" s="504">
        <v>9956</v>
      </c>
      <c r="J17" s="495">
        <v>1393</v>
      </c>
      <c r="K17" s="43"/>
      <c r="L17" s="43"/>
      <c r="M17" s="43"/>
      <c r="N17" s="43"/>
      <c r="O17" s="43"/>
      <c r="P17" s="43"/>
      <c r="Q17" s="43"/>
      <c r="R17" s="43"/>
      <c r="S17" s="497">
        <v>1393</v>
      </c>
      <c r="T17" s="550">
        <f>+I17*S17</f>
        <v>13868708</v>
      </c>
      <c r="U17" s="536">
        <f>+H17-T17</f>
        <v>-1035657</v>
      </c>
    </row>
    <row r="18" spans="1:21" s="78" customFormat="1" ht="27.6" customHeight="1" thickBot="1" x14ac:dyDescent="0.35">
      <c r="A18" s="504" t="s">
        <v>205</v>
      </c>
      <c r="B18" s="21" t="s">
        <v>206</v>
      </c>
      <c r="C18" s="612" t="s">
        <v>1245</v>
      </c>
      <c r="D18" s="612"/>
      <c r="E18" s="43" t="str">
        <f>VLOOKUP(B18,APU!$B$16:$I$1858,4,FALSE)</f>
        <v>M2</v>
      </c>
      <c r="F18" s="511">
        <f>VLOOKUP(A18,MEM!$B$285:$L$4976,11,FALSE)</f>
        <v>4432</v>
      </c>
      <c r="G18" s="497">
        <f>VLOOKUP(B18,'APU1'!$B$16:$I$1290,8,FALSE)</f>
        <v>19102</v>
      </c>
      <c r="H18" s="542">
        <f>+G18*F18</f>
        <v>84660064</v>
      </c>
      <c r="I18" s="504">
        <v>4794</v>
      </c>
      <c r="J18" s="495">
        <v>21728</v>
      </c>
      <c r="K18" s="7"/>
      <c r="L18" s="7"/>
      <c r="M18" s="7"/>
      <c r="N18" s="7"/>
      <c r="O18" s="7"/>
      <c r="P18" s="7"/>
      <c r="Q18" s="7"/>
      <c r="R18" s="7"/>
      <c r="S18" s="497">
        <v>21728</v>
      </c>
      <c r="T18" s="551">
        <f>+I18*S18</f>
        <v>104164032</v>
      </c>
      <c r="U18" s="535">
        <f>+H18-T18</f>
        <v>-19503968</v>
      </c>
    </row>
    <row r="19" spans="1:21" s="73" customFormat="1" ht="15" customHeight="1" thickBot="1" x14ac:dyDescent="0.35">
      <c r="A19" s="666" t="s">
        <v>1083</v>
      </c>
      <c r="B19" s="667"/>
      <c r="C19" s="667"/>
      <c r="D19" s="667"/>
      <c r="E19" s="667"/>
      <c r="F19" s="667"/>
      <c r="G19" s="668"/>
      <c r="H19" s="544">
        <f>SUM(H20:H33)</f>
        <v>1178704341.6199999</v>
      </c>
      <c r="I19" s="670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537">
        <f>+SUM(T20:T33)</f>
        <v>1320289305.24</v>
      </c>
      <c r="U19" s="581">
        <f>+SUM(U20:U33)</f>
        <v>-141584963.62</v>
      </c>
    </row>
    <row r="20" spans="1:21" ht="44.25" customHeight="1" x14ac:dyDescent="0.2">
      <c r="A20" s="504" t="s">
        <v>209</v>
      </c>
      <c r="B20" s="351" t="s">
        <v>210</v>
      </c>
      <c r="C20" s="620" t="s">
        <v>1251</v>
      </c>
      <c r="D20" s="621"/>
      <c r="E20" s="43" t="str">
        <f>VLOOKUP(B20,APU!$B$16:$I$1858,4,FALSE)</f>
        <v>M3</v>
      </c>
      <c r="F20" s="511">
        <f>VLOOKUP(A20,MEM!$B$285:$L$4976,11,FALSE)</f>
        <v>3180</v>
      </c>
      <c r="G20" s="497">
        <f>VLOOKUP(B20,'APU1'!$B$16:$I$1290,8,FALSE)</f>
        <v>16479</v>
      </c>
      <c r="H20" s="547">
        <f t="shared" ref="H20:H33" si="0">+G20*F20</f>
        <v>52403220</v>
      </c>
      <c r="I20" s="504">
        <v>5114</v>
      </c>
      <c r="J20" s="495">
        <v>26684</v>
      </c>
      <c r="K20" s="105"/>
      <c r="L20" s="105"/>
      <c r="M20" s="105"/>
      <c r="N20" s="105"/>
      <c r="O20" s="105"/>
      <c r="P20" s="105"/>
      <c r="Q20" s="105"/>
      <c r="R20" s="105"/>
      <c r="S20" s="497">
        <v>26684</v>
      </c>
      <c r="T20" s="552">
        <f>+I20*S20</f>
        <v>136461976</v>
      </c>
      <c r="U20" s="536">
        <f>+H20-T20</f>
        <v>-84058756</v>
      </c>
    </row>
    <row r="21" spans="1:21" ht="28.5" customHeight="1" x14ac:dyDescent="0.2">
      <c r="A21" s="504" t="s">
        <v>211</v>
      </c>
      <c r="B21" s="351" t="s">
        <v>212</v>
      </c>
      <c r="C21" s="620" t="s">
        <v>1252</v>
      </c>
      <c r="D21" s="621"/>
      <c r="E21" s="43" t="str">
        <f>VLOOKUP(B21,APU!$B$16:$I$1858,4,FALSE)</f>
        <v>m3</v>
      </c>
      <c r="F21" s="511">
        <f>VLOOKUP(A21,MEM!$B$285:$L$4976,11,FALSE)</f>
        <v>5385</v>
      </c>
      <c r="G21" s="497">
        <f>VLOOKUP(B21,'APU1'!$B$16:$I$1290,8,FALSE)</f>
        <v>16283</v>
      </c>
      <c r="H21" s="506">
        <f t="shared" si="0"/>
        <v>87683955</v>
      </c>
      <c r="I21" s="504">
        <v>9434</v>
      </c>
      <c r="J21" s="495">
        <v>13151</v>
      </c>
      <c r="K21" s="105"/>
      <c r="L21" s="105"/>
      <c r="M21" s="105"/>
      <c r="N21" s="105"/>
      <c r="O21" s="105"/>
      <c r="P21" s="105"/>
      <c r="Q21" s="105"/>
      <c r="R21" s="105"/>
      <c r="S21" s="497">
        <v>13151</v>
      </c>
      <c r="T21" s="529">
        <f t="shared" ref="T21:T33" si="1">+I21*S21</f>
        <v>124066534</v>
      </c>
      <c r="U21" s="533">
        <f t="shared" ref="U21:U75" si="2">+H21-T21</f>
        <v>-36382579</v>
      </c>
    </row>
    <row r="22" spans="1:21" ht="16.5" customHeight="1" x14ac:dyDescent="0.2">
      <c r="A22" s="504" t="s">
        <v>214</v>
      </c>
      <c r="B22" s="351" t="s">
        <v>222</v>
      </c>
      <c r="C22" s="620" t="s">
        <v>1253</v>
      </c>
      <c r="D22" s="621"/>
      <c r="E22" s="43" t="str">
        <f>VLOOKUP(B22,APU!$B$16:$I$1858,4,FALSE)</f>
        <v>UNIDAD</v>
      </c>
      <c r="F22" s="511">
        <f>VLOOKUP(A22,MEM!$B$285:$L$4976,11,FALSE)</f>
        <v>31</v>
      </c>
      <c r="G22" s="497">
        <f>VLOOKUP(B22,'APU1'!$B$16:$I$1290,8,FALSE)</f>
        <v>124050</v>
      </c>
      <c r="H22" s="506">
        <f t="shared" si="0"/>
        <v>3845550</v>
      </c>
      <c r="I22" s="504">
        <v>31</v>
      </c>
      <c r="J22" s="495">
        <v>131960</v>
      </c>
      <c r="K22" s="105"/>
      <c r="L22" s="105"/>
      <c r="M22" s="105"/>
      <c r="N22" s="105"/>
      <c r="O22" s="105"/>
      <c r="P22" s="105"/>
      <c r="Q22" s="105"/>
      <c r="R22" s="105"/>
      <c r="S22" s="497">
        <v>131960</v>
      </c>
      <c r="T22" s="529">
        <f t="shared" si="1"/>
        <v>4090760</v>
      </c>
      <c r="U22" s="533">
        <f t="shared" si="2"/>
        <v>-245210</v>
      </c>
    </row>
    <row r="23" spans="1:21" ht="18.899999999999999" customHeight="1" x14ac:dyDescent="0.2">
      <c r="A23" s="504" t="s">
        <v>215</v>
      </c>
      <c r="B23" s="351" t="s">
        <v>223</v>
      </c>
      <c r="C23" s="620" t="s">
        <v>1254</v>
      </c>
      <c r="D23" s="621"/>
      <c r="E23" s="43" t="str">
        <f>VLOOKUP(B23,APU!$B$16:$I$1858,4,FALSE)</f>
        <v>UNIDAD</v>
      </c>
      <c r="F23" s="511">
        <f>VLOOKUP(A23,MEM!$B$285:$L$4976,11,FALSE)</f>
        <v>132</v>
      </c>
      <c r="G23" s="497">
        <f>VLOOKUP(B23,'APU1'!$B$16:$I$1290,8,FALSE)</f>
        <v>433476</v>
      </c>
      <c r="H23" s="506">
        <f t="shared" si="0"/>
        <v>57218832</v>
      </c>
      <c r="I23" s="504">
        <v>146</v>
      </c>
      <c r="J23" s="495">
        <v>410779</v>
      </c>
      <c r="K23" s="105"/>
      <c r="L23" s="105"/>
      <c r="M23" s="105"/>
      <c r="N23" s="105"/>
      <c r="O23" s="105"/>
      <c r="P23" s="105"/>
      <c r="Q23" s="105"/>
      <c r="R23" s="105"/>
      <c r="S23" s="497">
        <v>410779</v>
      </c>
      <c r="T23" s="529">
        <f t="shared" si="1"/>
        <v>59973734</v>
      </c>
      <c r="U23" s="533">
        <f t="shared" si="2"/>
        <v>-2754902</v>
      </c>
    </row>
    <row r="24" spans="1:21" ht="16.95" customHeight="1" x14ac:dyDescent="0.2">
      <c r="A24" s="504" t="s">
        <v>217</v>
      </c>
      <c r="B24" s="351" t="s">
        <v>226</v>
      </c>
      <c r="C24" s="620" t="s">
        <v>1255</v>
      </c>
      <c r="D24" s="621"/>
      <c r="E24" s="43" t="str">
        <f>VLOOKUP(B24,APU!$B$16:$I$1858,4,FALSE)</f>
        <v>UNIDAD</v>
      </c>
      <c r="F24" s="511">
        <f>VLOOKUP(A24,MEM!$B$285:$L$4976,11,FALSE)</f>
        <v>165</v>
      </c>
      <c r="G24" s="497">
        <f>VLOOKUP(B24,'APU1'!$B$16:$I$1290,8,FALSE)</f>
        <v>320240</v>
      </c>
      <c r="H24" s="506">
        <f t="shared" si="0"/>
        <v>52839600</v>
      </c>
      <c r="I24" s="504">
        <v>185</v>
      </c>
      <c r="J24" s="495">
        <v>289064</v>
      </c>
      <c r="K24" s="105"/>
      <c r="L24" s="105"/>
      <c r="M24" s="105"/>
      <c r="N24" s="105"/>
      <c r="O24" s="105"/>
      <c r="P24" s="105"/>
      <c r="Q24" s="105"/>
      <c r="R24" s="105"/>
      <c r="S24" s="497">
        <v>289064</v>
      </c>
      <c r="T24" s="529">
        <f t="shared" si="1"/>
        <v>53476840</v>
      </c>
      <c r="U24" s="533">
        <f t="shared" si="2"/>
        <v>-637240</v>
      </c>
    </row>
    <row r="25" spans="1:21" ht="16.95" customHeight="1" x14ac:dyDescent="0.2">
      <c r="A25" s="504" t="s">
        <v>218</v>
      </c>
      <c r="B25" s="351" t="s">
        <v>293</v>
      </c>
      <c r="C25" s="620" t="s">
        <v>1256</v>
      </c>
      <c r="D25" s="621"/>
      <c r="E25" s="43" t="str">
        <f>VLOOKUP(B25,APU!$B$16:$I$1858,4,FALSE)</f>
        <v>UNIDAD</v>
      </c>
      <c r="F25" s="511">
        <f>VLOOKUP(A25,MEM!$B$285:$L$4976,11,FALSE)</f>
        <v>165</v>
      </c>
      <c r="G25" s="497">
        <f>VLOOKUP(B25,'APU1'!$B$16:$I$1290,8,FALSE)</f>
        <v>76455</v>
      </c>
      <c r="H25" s="506">
        <f t="shared" si="0"/>
        <v>12615075</v>
      </c>
      <c r="I25" s="504">
        <v>185</v>
      </c>
      <c r="J25" s="495">
        <v>45584</v>
      </c>
      <c r="K25" s="105"/>
      <c r="L25" s="105"/>
      <c r="M25" s="105"/>
      <c r="N25" s="105"/>
      <c r="O25" s="105"/>
      <c r="P25" s="105"/>
      <c r="Q25" s="105"/>
      <c r="R25" s="105"/>
      <c r="S25" s="497">
        <v>45584</v>
      </c>
      <c r="T25" s="529">
        <f t="shared" si="1"/>
        <v>8433040</v>
      </c>
      <c r="U25" s="533">
        <f t="shared" si="2"/>
        <v>4182035</v>
      </c>
    </row>
    <row r="26" spans="1:21" ht="16.95" customHeight="1" x14ac:dyDescent="0.2">
      <c r="A26" s="504" t="s">
        <v>219</v>
      </c>
      <c r="B26" s="351" t="s">
        <v>282</v>
      </c>
      <c r="C26" s="620" t="s">
        <v>1257</v>
      </c>
      <c r="D26" s="621"/>
      <c r="E26" s="43" t="str">
        <f>VLOOKUP(B26,APU!$B$16:$I$1858,4,FALSE)</f>
        <v>ML</v>
      </c>
      <c r="F26" s="511">
        <f>VLOOKUP(A26,MEM!$B$285:$L$4976,11,FALSE)</f>
        <v>1797</v>
      </c>
      <c r="G26" s="497">
        <f>VLOOKUP(B26,'APU1'!$B$16:$I$1290,8,FALSE)</f>
        <v>16220</v>
      </c>
      <c r="H26" s="505">
        <f t="shared" si="0"/>
        <v>29147340</v>
      </c>
      <c r="I26" s="504">
        <v>1950</v>
      </c>
      <c r="J26" s="495">
        <v>33428</v>
      </c>
      <c r="K26" s="105"/>
      <c r="L26" s="105"/>
      <c r="M26" s="105"/>
      <c r="N26" s="105"/>
      <c r="O26" s="105"/>
      <c r="P26" s="105"/>
      <c r="Q26" s="105"/>
      <c r="R26" s="105"/>
      <c r="S26" s="497">
        <v>33428</v>
      </c>
      <c r="T26" s="529">
        <f t="shared" si="1"/>
        <v>65184600</v>
      </c>
      <c r="U26" s="533">
        <f t="shared" si="2"/>
        <v>-36037260</v>
      </c>
    </row>
    <row r="27" spans="1:21" ht="16.95" customHeight="1" x14ac:dyDescent="0.2">
      <c r="A27" s="504" t="s">
        <v>220</v>
      </c>
      <c r="B27" s="351" t="s">
        <v>283</v>
      </c>
      <c r="C27" s="620" t="s">
        <v>1258</v>
      </c>
      <c r="D27" s="621"/>
      <c r="E27" s="43" t="str">
        <f>VLOOKUP(B27,APU!$B$16:$I$1858,4,FALSE)</f>
        <v>ML</v>
      </c>
      <c r="F27" s="511">
        <f>VLOOKUP(A27,MEM!$B$285:$L$4976,11,FALSE)</f>
        <v>1428.02</v>
      </c>
      <c r="G27" s="497">
        <f>VLOOKUP(B27,'APU1'!$B$16:$I$1290,8,FALSE)</f>
        <v>18431</v>
      </c>
      <c r="H27" s="505">
        <f t="shared" si="0"/>
        <v>26319836.620000001</v>
      </c>
      <c r="I27" s="504">
        <v>1428.02</v>
      </c>
      <c r="J27" s="495">
        <v>36467</v>
      </c>
      <c r="K27" s="105"/>
      <c r="L27" s="105"/>
      <c r="M27" s="105"/>
      <c r="N27" s="105"/>
      <c r="O27" s="105"/>
      <c r="P27" s="105"/>
      <c r="Q27" s="105"/>
      <c r="R27" s="105"/>
      <c r="S27" s="497">
        <v>36467</v>
      </c>
      <c r="T27" s="529">
        <f t="shared" si="1"/>
        <v>52075605.339999996</v>
      </c>
      <c r="U27" s="533">
        <f t="shared" si="2"/>
        <v>-25755768.719999995</v>
      </c>
    </row>
    <row r="28" spans="1:21" ht="16.95" customHeight="1" x14ac:dyDescent="0.2">
      <c r="A28" s="504" t="s">
        <v>221</v>
      </c>
      <c r="B28" s="351" t="s">
        <v>995</v>
      </c>
      <c r="C28" s="620" t="s">
        <v>1259</v>
      </c>
      <c r="D28" s="621"/>
      <c r="E28" s="43" t="str">
        <f>VLOOKUP(B28,APU!$B$16:$I$1858,4,FALSE)</f>
        <v>ML</v>
      </c>
      <c r="F28" s="511">
        <f>VLOOKUP(A28,MEM!$B$285:$L$4976,11,FALSE)</f>
        <v>1228.6500000000001</v>
      </c>
      <c r="G28" s="497">
        <f>VLOOKUP(B28,'APU1'!$B$16:$I$1290,8,FALSE)</f>
        <v>18800</v>
      </c>
      <c r="H28" s="505">
        <f>+G28*F28</f>
        <v>23098620</v>
      </c>
      <c r="I28" s="504">
        <v>1228.6500000000001</v>
      </c>
      <c r="J28" s="495">
        <v>39506</v>
      </c>
      <c r="K28" s="105"/>
      <c r="L28" s="105"/>
      <c r="M28" s="105"/>
      <c r="N28" s="105"/>
      <c r="O28" s="105"/>
      <c r="P28" s="105"/>
      <c r="Q28" s="105"/>
      <c r="R28" s="105"/>
      <c r="S28" s="497">
        <v>39506</v>
      </c>
      <c r="T28" s="529">
        <f t="shared" si="1"/>
        <v>48539046.900000006</v>
      </c>
      <c r="U28" s="533">
        <f t="shared" si="2"/>
        <v>-25440426.900000006</v>
      </c>
    </row>
    <row r="29" spans="1:21" ht="16.95" customHeight="1" x14ac:dyDescent="0.2">
      <c r="A29" s="504" t="s">
        <v>426</v>
      </c>
      <c r="B29" s="351" t="s">
        <v>285</v>
      </c>
      <c r="C29" s="620" t="s">
        <v>1260</v>
      </c>
      <c r="D29" s="621"/>
      <c r="E29" s="43" t="str">
        <f>VLOOKUP(B29,APU!$B$16:$I$1858,4,FALSE)</f>
        <v>ML</v>
      </c>
      <c r="F29" s="511">
        <f>VLOOKUP(A29,MEM!$B$285:$L$4976,11,FALSE)</f>
        <v>560</v>
      </c>
      <c r="G29" s="497">
        <f>VLOOKUP(B29,'APU1'!$B$16:$I$1290,8,FALSE)</f>
        <v>19169</v>
      </c>
      <c r="H29" s="505">
        <f>+G29*F29</f>
        <v>10734640</v>
      </c>
      <c r="I29" s="504">
        <v>560</v>
      </c>
      <c r="J29" s="495">
        <v>42545</v>
      </c>
      <c r="K29" s="105"/>
      <c r="L29" s="105"/>
      <c r="M29" s="105"/>
      <c r="N29" s="105"/>
      <c r="O29" s="105"/>
      <c r="P29" s="105"/>
      <c r="Q29" s="105"/>
      <c r="R29" s="105"/>
      <c r="S29" s="497">
        <v>42545</v>
      </c>
      <c r="T29" s="529">
        <f t="shared" si="1"/>
        <v>23825200</v>
      </c>
      <c r="U29" s="533">
        <f t="shared" si="2"/>
        <v>-13090560</v>
      </c>
    </row>
    <row r="30" spans="1:21" ht="16.95" customHeight="1" x14ac:dyDescent="0.2">
      <c r="A30" s="504" t="s">
        <v>412</v>
      </c>
      <c r="B30" s="351" t="s">
        <v>416</v>
      </c>
      <c r="C30" s="620" t="s">
        <v>1261</v>
      </c>
      <c r="D30" s="621"/>
      <c r="E30" s="43" t="str">
        <f>VLOOKUP(B30,APU!$B$16:$I$1858,4,FALSE)</f>
        <v>UNIDAD</v>
      </c>
      <c r="F30" s="511">
        <f>VLOOKUP(A30,MEM!$B$285:$L$4976,11,FALSE)</f>
        <v>36</v>
      </c>
      <c r="G30" s="497">
        <f>VLOOKUP(B30,'APU1'!$B$16:$I$1290,8,FALSE)</f>
        <v>1338089</v>
      </c>
      <c r="H30" s="505">
        <f t="shared" si="0"/>
        <v>48171204</v>
      </c>
      <c r="I30" s="504">
        <v>36</v>
      </c>
      <c r="J30" s="495">
        <v>869442</v>
      </c>
      <c r="K30" s="105"/>
      <c r="L30" s="105"/>
      <c r="M30" s="105"/>
      <c r="N30" s="105"/>
      <c r="O30" s="105"/>
      <c r="P30" s="105"/>
      <c r="Q30" s="105"/>
      <c r="R30" s="105"/>
      <c r="S30" s="497">
        <v>869442</v>
      </c>
      <c r="T30" s="529">
        <f t="shared" si="1"/>
        <v>31299912</v>
      </c>
      <c r="U30" s="533">
        <f t="shared" si="2"/>
        <v>16871292</v>
      </c>
    </row>
    <row r="31" spans="1:21" ht="16.95" customHeight="1" x14ac:dyDescent="0.2">
      <c r="A31" s="504" t="s">
        <v>413</v>
      </c>
      <c r="B31" s="351" t="s">
        <v>284</v>
      </c>
      <c r="C31" s="620" t="s">
        <v>1262</v>
      </c>
      <c r="D31" s="621"/>
      <c r="E31" s="43" t="str">
        <f>VLOOKUP(B31,APU!$B$16:$I$1858,4,FALSE)</f>
        <v>M3</v>
      </c>
      <c r="F31" s="511">
        <f>VLOOKUP(A31,MEM!$B$285:$L$4976,11,FALSE)</f>
        <v>1890</v>
      </c>
      <c r="G31" s="497">
        <f>VLOOKUP(B31,'APU1'!$B$16:$I$1290,8,FALSE)</f>
        <v>113921</v>
      </c>
      <c r="H31" s="505">
        <f t="shared" si="0"/>
        <v>215310690</v>
      </c>
      <c r="I31" s="504">
        <v>1936</v>
      </c>
      <c r="J31" s="495">
        <v>85220</v>
      </c>
      <c r="K31" s="105"/>
      <c r="L31" s="105"/>
      <c r="M31" s="105"/>
      <c r="N31" s="105"/>
      <c r="O31" s="105"/>
      <c r="P31" s="105"/>
      <c r="Q31" s="105"/>
      <c r="R31" s="105"/>
      <c r="S31" s="497">
        <v>85220</v>
      </c>
      <c r="T31" s="529">
        <f t="shared" si="1"/>
        <v>164985920</v>
      </c>
      <c r="U31" s="533">
        <f t="shared" si="2"/>
        <v>50324770</v>
      </c>
    </row>
    <row r="32" spans="1:21" ht="11.4" customHeight="1" x14ac:dyDescent="0.2">
      <c r="A32" s="504" t="s">
        <v>864</v>
      </c>
      <c r="B32" s="351" t="s">
        <v>429</v>
      </c>
      <c r="C32" s="620" t="s">
        <v>1263</v>
      </c>
      <c r="D32" s="621"/>
      <c r="E32" s="43" t="str">
        <f>VLOOKUP(B32,APU!$B$16:$I$1858,4,FALSE)</f>
        <v>M3</v>
      </c>
      <c r="F32" s="511">
        <f>VLOOKUP(A32,MEM!$B$285:$L$4976,11,FALSE)</f>
        <v>1527</v>
      </c>
      <c r="G32" s="497">
        <f>VLOOKUP(B32,'APU1'!$B$16:$I$1290,8,FALSE)</f>
        <v>55597</v>
      </c>
      <c r="H32" s="505">
        <f t="shared" si="0"/>
        <v>84896619</v>
      </c>
      <c r="I32" s="504">
        <v>1573</v>
      </c>
      <c r="J32" s="495">
        <v>51349</v>
      </c>
      <c r="K32" s="105"/>
      <c r="L32" s="105"/>
      <c r="M32" s="105"/>
      <c r="N32" s="105"/>
      <c r="O32" s="105"/>
      <c r="P32" s="105"/>
      <c r="Q32" s="105"/>
      <c r="R32" s="105"/>
      <c r="S32" s="497">
        <v>51349</v>
      </c>
      <c r="T32" s="529">
        <f t="shared" si="1"/>
        <v>80771977</v>
      </c>
      <c r="U32" s="533">
        <f t="shared" si="2"/>
        <v>4124642</v>
      </c>
    </row>
    <row r="33" spans="1:21" ht="12" customHeight="1" thickBot="1" x14ac:dyDescent="0.25">
      <c r="A33" s="504" t="s">
        <v>865</v>
      </c>
      <c r="B33" s="351" t="s">
        <v>393</v>
      </c>
      <c r="C33" s="620" t="s">
        <v>1264</v>
      </c>
      <c r="D33" s="621"/>
      <c r="E33" s="43" t="str">
        <f>VLOOKUP(B33,APU!$B$16:$I$1858,4,FALSE)</f>
        <v>UNIDAD</v>
      </c>
      <c r="F33" s="511">
        <f>VLOOKUP(A33,MEM!$B$285:$L$4976,11,FALSE)</f>
        <v>426</v>
      </c>
      <c r="G33" s="497">
        <f>VLOOKUP(B33,'APU1'!$B$16:$I$1290,8,FALSE)</f>
        <v>1113660</v>
      </c>
      <c r="H33" s="542">
        <f t="shared" si="0"/>
        <v>474419160</v>
      </c>
      <c r="I33" s="504">
        <v>464</v>
      </c>
      <c r="J33" s="495">
        <v>1006690</v>
      </c>
      <c r="K33" s="105"/>
      <c r="L33" s="105"/>
      <c r="M33" s="105"/>
      <c r="N33" s="105"/>
      <c r="O33" s="105"/>
      <c r="P33" s="105"/>
      <c r="Q33" s="105"/>
      <c r="R33" s="105"/>
      <c r="S33" s="497">
        <v>1006690</v>
      </c>
      <c r="T33" s="553">
        <f t="shared" si="1"/>
        <v>467104160</v>
      </c>
      <c r="U33" s="535">
        <f t="shared" si="2"/>
        <v>7315000</v>
      </c>
    </row>
    <row r="34" spans="1:21" ht="16.5" customHeight="1" thickBot="1" x14ac:dyDescent="0.25">
      <c r="A34" s="666" t="s">
        <v>1084</v>
      </c>
      <c r="B34" s="667"/>
      <c r="C34" s="667"/>
      <c r="D34" s="667"/>
      <c r="E34" s="667"/>
      <c r="F34" s="667"/>
      <c r="G34" s="668"/>
      <c r="H34" s="544">
        <f>SUM(H35:H43)</f>
        <v>3368921231.4758992</v>
      </c>
      <c r="I34" s="682"/>
      <c r="J34" s="683"/>
      <c r="K34" s="683"/>
      <c r="L34" s="683"/>
      <c r="M34" s="683"/>
      <c r="N34" s="683"/>
      <c r="O34" s="683"/>
      <c r="P34" s="683"/>
      <c r="Q34" s="683"/>
      <c r="R34" s="683"/>
      <c r="S34" s="683"/>
      <c r="T34" s="537">
        <f>+SUM(T35:T43)</f>
        <v>3403873156</v>
      </c>
      <c r="U34" s="581">
        <f>+SUM(U35:U43)</f>
        <v>-34951924.524101183</v>
      </c>
    </row>
    <row r="35" spans="1:21" ht="27.6" customHeight="1" x14ac:dyDescent="0.2">
      <c r="A35" s="504" t="s">
        <v>243</v>
      </c>
      <c r="B35" s="21" t="s">
        <v>245</v>
      </c>
      <c r="C35" s="627" t="s">
        <v>1398</v>
      </c>
      <c r="D35" s="628"/>
      <c r="E35" s="43" t="str">
        <f>VLOOKUP(B35,APU!$B$16:$I$1858,4,FALSE)</f>
        <v>M3</v>
      </c>
      <c r="F35" s="511">
        <f>VLOOKUP(A35,MEM!$B$285:$L$4976,11,FALSE)</f>
        <v>2205</v>
      </c>
      <c r="G35" s="497">
        <f>VLOOKUP(B35,'APU1'!$B$16:$I$1290,8,FALSE)</f>
        <v>11636.979561632334</v>
      </c>
      <c r="H35" s="543">
        <f t="shared" ref="H35:H43" si="3">+G35*F35</f>
        <v>25659539.933399297</v>
      </c>
      <c r="I35" s="504">
        <v>2433</v>
      </c>
      <c r="J35" s="495">
        <v>33832</v>
      </c>
      <c r="K35" s="105"/>
      <c r="L35" s="105"/>
      <c r="M35" s="105"/>
      <c r="N35" s="105"/>
      <c r="O35" s="105"/>
      <c r="P35" s="105"/>
      <c r="Q35" s="105"/>
      <c r="R35" s="105"/>
      <c r="S35" s="497">
        <v>33832</v>
      </c>
      <c r="T35" s="541">
        <f>+I35*S35</f>
        <v>82313256</v>
      </c>
      <c r="U35" s="536">
        <f t="shared" si="2"/>
        <v>-56653716.066600703</v>
      </c>
    </row>
    <row r="36" spans="1:21" ht="27.9" customHeight="1" x14ac:dyDescent="0.2">
      <c r="A36" s="504" t="s">
        <v>249</v>
      </c>
      <c r="B36" s="21" t="s">
        <v>246</v>
      </c>
      <c r="C36" s="627" t="s">
        <v>1397</v>
      </c>
      <c r="D36" s="628"/>
      <c r="E36" s="43" t="str">
        <f>VLOOKUP(B36,APU!$B$16:$I$1858,4,FALSE)</f>
        <v>M2</v>
      </c>
      <c r="F36" s="511">
        <f>VLOOKUP(A36,MEM!$B$285:$L$4976,11,FALSE)</f>
        <v>14703</v>
      </c>
      <c r="G36" s="497">
        <f>VLOOKUP(B36,'APU1'!$B$16:$I$1290,8,FALSE)</f>
        <v>10759</v>
      </c>
      <c r="H36" s="505">
        <f t="shared" si="3"/>
        <v>158189577</v>
      </c>
      <c r="I36" s="504">
        <v>16220</v>
      </c>
      <c r="J36" s="495">
        <v>9878</v>
      </c>
      <c r="K36" s="105"/>
      <c r="L36" s="105"/>
      <c r="M36" s="105"/>
      <c r="N36" s="105"/>
      <c r="O36" s="105"/>
      <c r="P36" s="105"/>
      <c r="Q36" s="105"/>
      <c r="R36" s="105"/>
      <c r="S36" s="497">
        <v>9878</v>
      </c>
      <c r="T36" s="530">
        <f t="shared" ref="T36:T43" si="4">+I36*S36</f>
        <v>160221160</v>
      </c>
      <c r="U36" s="533">
        <f t="shared" si="2"/>
        <v>-2031583</v>
      </c>
    </row>
    <row r="37" spans="1:21" ht="30" customHeight="1" x14ac:dyDescent="0.2">
      <c r="A37" s="504" t="s">
        <v>253</v>
      </c>
      <c r="B37" s="21" t="s">
        <v>247</v>
      </c>
      <c r="C37" s="627" t="s">
        <v>1392</v>
      </c>
      <c r="D37" s="628"/>
      <c r="E37" s="43" t="str">
        <f>VLOOKUP(B37,APU!$B$16:$I$1858,4,FALSE)</f>
        <v>M3</v>
      </c>
      <c r="F37" s="511">
        <f>VLOOKUP(A37,MEM!$B$285:$L$4976,11,FALSE)</f>
        <v>2205</v>
      </c>
      <c r="G37" s="497">
        <f>VLOOKUP(B37,'APU1'!$B$16:$I$1290,8,FALSE)</f>
        <v>124919</v>
      </c>
      <c r="H37" s="505">
        <f t="shared" si="3"/>
        <v>275446395</v>
      </c>
      <c r="I37" s="504">
        <v>2433</v>
      </c>
      <c r="J37" s="495">
        <v>115869</v>
      </c>
      <c r="K37" s="105"/>
      <c r="L37" s="105"/>
      <c r="M37" s="105"/>
      <c r="N37" s="105"/>
      <c r="O37" s="105"/>
      <c r="P37" s="105"/>
      <c r="Q37" s="105"/>
      <c r="R37" s="105"/>
      <c r="S37" s="497">
        <v>115869</v>
      </c>
      <c r="T37" s="530">
        <f t="shared" si="4"/>
        <v>281909277</v>
      </c>
      <c r="U37" s="533">
        <f t="shared" si="2"/>
        <v>-6462882</v>
      </c>
    </row>
    <row r="38" spans="1:21" ht="39" customHeight="1" x14ac:dyDescent="0.2">
      <c r="A38" s="504" t="s">
        <v>254</v>
      </c>
      <c r="B38" s="21" t="s">
        <v>434</v>
      </c>
      <c r="C38" s="627" t="s">
        <v>1380</v>
      </c>
      <c r="D38" s="628"/>
      <c r="E38" s="43" t="str">
        <f>VLOOKUP(B38,APU!$B$16:$I$1858,4,FALSE)</f>
        <v>M3</v>
      </c>
      <c r="F38" s="511">
        <f>VLOOKUP(A38,MEM!$B$285:$L$4976,11,FALSE)</f>
        <v>6888</v>
      </c>
      <c r="G38" s="497">
        <f>VLOOKUP(B38,'APU1'!$B$16:$I$1290,8,FALSE)</f>
        <v>88479</v>
      </c>
      <c r="H38" s="505">
        <f t="shared" si="3"/>
        <v>609443352</v>
      </c>
      <c r="I38" s="504">
        <v>7715</v>
      </c>
      <c r="J38" s="495">
        <v>93617</v>
      </c>
      <c r="K38" s="105"/>
      <c r="L38" s="105"/>
      <c r="M38" s="105"/>
      <c r="N38" s="105"/>
      <c r="O38" s="105"/>
      <c r="P38" s="105"/>
      <c r="Q38" s="105"/>
      <c r="R38" s="105"/>
      <c r="S38" s="497">
        <v>93617</v>
      </c>
      <c r="T38" s="530">
        <f t="shared" si="4"/>
        <v>722255155</v>
      </c>
      <c r="U38" s="533">
        <f t="shared" si="2"/>
        <v>-112811803</v>
      </c>
    </row>
    <row r="39" spans="1:21" ht="19.95" customHeight="1" x14ac:dyDescent="0.2">
      <c r="A39" s="504" t="s">
        <v>255</v>
      </c>
      <c r="B39" s="21" t="s">
        <v>248</v>
      </c>
      <c r="C39" s="627" t="s">
        <v>1393</v>
      </c>
      <c r="D39" s="628"/>
      <c r="E39" s="43" t="str">
        <f>VLOOKUP(B39,[2]APU!$B$16:$I$2863,4,FALSE)</f>
        <v>M3</v>
      </c>
      <c r="F39" s="511">
        <f>VLOOKUP(A39,MEM!$B$285:$L$4976,11,FALSE)</f>
        <v>9134</v>
      </c>
      <c r="G39" s="497">
        <f>VLOOKUP(B39,'APU1'!$B$16:$I$1290,8,FALSE)</f>
        <v>134965</v>
      </c>
      <c r="H39" s="505">
        <f>+G39*F39</f>
        <v>1232770310</v>
      </c>
      <c r="I39" s="504">
        <v>10024</v>
      </c>
      <c r="J39" s="495">
        <v>209861</v>
      </c>
      <c r="K39" s="105">
        <f>+F39/25</f>
        <v>365.36</v>
      </c>
      <c r="L39" s="105"/>
      <c r="M39" s="105"/>
      <c r="N39" s="105"/>
      <c r="O39" s="105"/>
      <c r="P39" s="105"/>
      <c r="Q39" s="105"/>
      <c r="R39" s="105"/>
      <c r="S39" s="497">
        <v>209861</v>
      </c>
      <c r="T39" s="530">
        <f t="shared" si="4"/>
        <v>2103646664</v>
      </c>
      <c r="U39" s="533">
        <f t="shared" si="2"/>
        <v>-870876354</v>
      </c>
    </row>
    <row r="40" spans="1:21" ht="12.6" customHeight="1" x14ac:dyDescent="0.2">
      <c r="A40" s="504" t="s">
        <v>256</v>
      </c>
      <c r="B40" s="21" t="s">
        <v>259</v>
      </c>
      <c r="C40" s="627" t="s">
        <v>1394</v>
      </c>
      <c r="D40" s="628"/>
      <c r="E40" s="43" t="str">
        <f>VLOOKUP(B40,[2]APU!$B$16:$I$2863,4,FALSE)</f>
        <v>KG</v>
      </c>
      <c r="F40" s="511">
        <f>VLOOKUP(A40,MEM!$B$285:$L$4976,11,FALSE)</f>
        <v>13466</v>
      </c>
      <c r="G40" s="497">
        <f>VLOOKUP(B40,'APU1'!$B$16:$I$1290,8,FALSE)</f>
        <v>2108</v>
      </c>
      <c r="H40" s="505">
        <f t="shared" si="3"/>
        <v>28386328</v>
      </c>
      <c r="I40" s="504">
        <v>15108</v>
      </c>
      <c r="J40" s="495">
        <v>3543</v>
      </c>
      <c r="K40" s="105"/>
      <c r="L40" s="105"/>
      <c r="M40" s="105"/>
      <c r="N40" s="105"/>
      <c r="O40" s="105"/>
      <c r="P40" s="105"/>
      <c r="Q40" s="105"/>
      <c r="R40" s="105"/>
      <c r="S40" s="497">
        <v>3543</v>
      </c>
      <c r="T40" s="530">
        <f t="shared" si="4"/>
        <v>53527644</v>
      </c>
      <c r="U40" s="533">
        <f t="shared" si="2"/>
        <v>-25141316</v>
      </c>
    </row>
    <row r="41" spans="1:21" ht="20.399999999999999" customHeight="1" x14ac:dyDescent="0.2">
      <c r="A41" s="504" t="s">
        <v>258</v>
      </c>
      <c r="B41" s="21"/>
      <c r="C41" s="627" t="s">
        <v>1391</v>
      </c>
      <c r="D41" s="628"/>
      <c r="E41" s="43" t="s">
        <v>129</v>
      </c>
      <c r="F41" s="512">
        <f>VLOOKUP(A41,MEM!$B$285:$L$4976,11,FALSE)</f>
        <v>27148.241249999992</v>
      </c>
      <c r="G41" s="497">
        <f>+'APU1'!I805</f>
        <v>20051</v>
      </c>
      <c r="H41" s="505">
        <f>+G41*F41</f>
        <v>544349385.3037498</v>
      </c>
      <c r="I41" s="507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530">
        <f t="shared" si="4"/>
        <v>0</v>
      </c>
      <c r="U41" s="533">
        <f t="shared" si="2"/>
        <v>544349385.3037498</v>
      </c>
    </row>
    <row r="42" spans="1:21" ht="20.399999999999999" customHeight="1" x14ac:dyDescent="0.2">
      <c r="A42" s="504" t="s">
        <v>1233</v>
      </c>
      <c r="B42" s="21"/>
      <c r="C42" s="627" t="s">
        <v>1395</v>
      </c>
      <c r="D42" s="628"/>
      <c r="E42" s="43" t="s">
        <v>129</v>
      </c>
      <c r="F42" s="512">
        <f>VLOOKUP(A42,MEM!$B$285:$L$4976,11,FALSE)</f>
        <v>27148.241249999992</v>
      </c>
      <c r="G42" s="497">
        <f>+'APU1'!I837</f>
        <v>14687</v>
      </c>
      <c r="H42" s="505">
        <f t="shared" si="3"/>
        <v>398726219.23874986</v>
      </c>
      <c r="I42" s="507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530">
        <f t="shared" si="4"/>
        <v>0</v>
      </c>
      <c r="U42" s="533">
        <f t="shared" si="2"/>
        <v>398726219.23874986</v>
      </c>
    </row>
    <row r="43" spans="1:21" ht="21" customHeight="1" thickBot="1" x14ac:dyDescent="0.25">
      <c r="A43" s="504" t="s">
        <v>1234</v>
      </c>
      <c r="B43" s="21"/>
      <c r="C43" s="627" t="s">
        <v>1396</v>
      </c>
      <c r="D43" s="628"/>
      <c r="E43" s="43" t="s">
        <v>12</v>
      </c>
      <c r="F43" s="512">
        <f>VLOOKUP(A43,MEM!$B$285:$L$4976,11,FALSE)</f>
        <v>5644.1249999999973</v>
      </c>
      <c r="G43" s="497">
        <v>17000</v>
      </c>
      <c r="H43" s="542">
        <f t="shared" si="3"/>
        <v>95950124.999999955</v>
      </c>
      <c r="I43" s="507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538">
        <f t="shared" si="4"/>
        <v>0</v>
      </c>
      <c r="U43" s="535">
        <f t="shared" si="2"/>
        <v>95950124.999999955</v>
      </c>
    </row>
    <row r="44" spans="1:21" ht="13.5" customHeight="1" thickBot="1" x14ac:dyDescent="0.25">
      <c r="A44" s="666" t="s">
        <v>265</v>
      </c>
      <c r="B44" s="667"/>
      <c r="C44" s="667"/>
      <c r="D44" s="667"/>
      <c r="E44" s="667"/>
      <c r="F44" s="667"/>
      <c r="G44" s="668"/>
      <c r="H44" s="544">
        <f>SUM(H45:H51)</f>
        <v>4579095928</v>
      </c>
      <c r="I44" s="670"/>
      <c r="J44" s="671"/>
      <c r="K44" s="671"/>
      <c r="L44" s="671"/>
      <c r="M44" s="671"/>
      <c r="N44" s="671"/>
      <c r="O44" s="671"/>
      <c r="P44" s="671"/>
      <c r="Q44" s="671"/>
      <c r="R44" s="671"/>
      <c r="S44" s="671"/>
      <c r="T44" s="537">
        <f>+SUM(T45:T51)</f>
        <v>3167002768</v>
      </c>
      <c r="U44" s="581">
        <f>+SUM(U45:U51)</f>
        <v>1412093160</v>
      </c>
    </row>
    <row r="45" spans="1:21" ht="21" customHeight="1" x14ac:dyDescent="0.2">
      <c r="A45" s="504" t="s">
        <v>266</v>
      </c>
      <c r="B45" s="21" t="s">
        <v>273</v>
      </c>
      <c r="C45" s="620" t="s">
        <v>1399</v>
      </c>
      <c r="D45" s="621"/>
      <c r="E45" s="43" t="str">
        <f>VLOOKUP(B45,APU!$B$16:$I$1858,4,FALSE)</f>
        <v>ML</v>
      </c>
      <c r="F45" s="511">
        <f>VLOOKUP(A45,MEM!$B$285:$L$4976,11,FALSE)</f>
        <v>15131</v>
      </c>
      <c r="G45" s="497">
        <f>VLOOKUP(B45,'APU1'!$B$16:$I$1290,8,FALSE)</f>
        <v>80232</v>
      </c>
      <c r="H45" s="543">
        <f t="shared" ref="H45:H50" si="5">+G45*F45</f>
        <v>1213990392</v>
      </c>
      <c r="I45" s="504">
        <v>16647</v>
      </c>
      <c r="J45" s="7"/>
      <c r="K45" s="7"/>
      <c r="L45" s="7"/>
      <c r="M45" s="7"/>
      <c r="N45" s="7"/>
      <c r="O45" s="7"/>
      <c r="P45" s="7"/>
      <c r="Q45" s="7"/>
      <c r="R45" s="7"/>
      <c r="S45" s="496">
        <v>40151</v>
      </c>
      <c r="T45" s="539">
        <f>+I45*S45</f>
        <v>668393697</v>
      </c>
      <c r="U45" s="536">
        <f t="shared" si="2"/>
        <v>545596695</v>
      </c>
    </row>
    <row r="46" spans="1:21" ht="29.4" customHeight="1" x14ac:dyDescent="0.2">
      <c r="A46" s="504" t="s">
        <v>267</v>
      </c>
      <c r="B46" s="21" t="s">
        <v>387</v>
      </c>
      <c r="C46" s="620" t="s">
        <v>1400</v>
      </c>
      <c r="D46" s="621"/>
      <c r="E46" s="43" t="str">
        <f>VLOOKUP(B46,APU!$B$16:$I$1858,4,FALSE)</f>
        <v>M3</v>
      </c>
      <c r="F46" s="511">
        <f>VLOOKUP(A46,MEM!$B$285:$L$4976,11,FALSE)</f>
        <v>4237</v>
      </c>
      <c r="G46" s="497">
        <f>VLOOKUP(B46,'APU1'!$B$16:$I$1290,8,FALSE)</f>
        <v>80048</v>
      </c>
      <c r="H46" s="505">
        <f t="shared" si="5"/>
        <v>339163376</v>
      </c>
      <c r="I46" s="504">
        <v>4994</v>
      </c>
      <c r="J46" s="7"/>
      <c r="K46" s="7"/>
      <c r="L46" s="7"/>
      <c r="M46" s="7"/>
      <c r="N46" s="7"/>
      <c r="O46" s="7"/>
      <c r="P46" s="7"/>
      <c r="Q46" s="7"/>
      <c r="R46" s="7"/>
      <c r="S46" s="496">
        <v>70452</v>
      </c>
      <c r="T46" s="531">
        <f t="shared" ref="T46:T51" si="6">+I46*S46</f>
        <v>351837288</v>
      </c>
      <c r="U46" s="533">
        <f t="shared" si="2"/>
        <v>-12673912</v>
      </c>
    </row>
    <row r="47" spans="1:21" ht="28.2" customHeight="1" x14ac:dyDescent="0.2">
      <c r="A47" s="504" t="s">
        <v>268</v>
      </c>
      <c r="B47" s="21" t="s">
        <v>291</v>
      </c>
      <c r="C47" s="620" t="s">
        <v>1246</v>
      </c>
      <c r="D47" s="621"/>
      <c r="E47" s="43" t="str">
        <f>VLOOKUP(B47,APU!$B$16:$I$1858,4,FALSE)</f>
        <v>M2</v>
      </c>
      <c r="F47" s="511">
        <f>VLOOKUP(A47,MEM!$B$285:$L$4976,11,FALSE)</f>
        <v>18157</v>
      </c>
      <c r="G47" s="497">
        <f>VLOOKUP(B47,'APU1'!$B$16:$I$1290,8,FALSE)</f>
        <v>138136</v>
      </c>
      <c r="H47" s="505">
        <f t="shared" si="5"/>
        <v>2508135352</v>
      </c>
      <c r="I47" s="504">
        <v>16647</v>
      </c>
      <c r="J47" s="7"/>
      <c r="K47" s="7"/>
      <c r="L47" s="7"/>
      <c r="M47" s="7"/>
      <c r="N47" s="7"/>
      <c r="O47" s="7"/>
      <c r="P47" s="7"/>
      <c r="Q47" s="7"/>
      <c r="R47" s="7"/>
      <c r="S47" s="496">
        <v>100877</v>
      </c>
      <c r="T47" s="531">
        <f t="shared" si="6"/>
        <v>1679299419</v>
      </c>
      <c r="U47" s="533">
        <f t="shared" si="2"/>
        <v>828835933</v>
      </c>
    </row>
    <row r="48" spans="1:21" ht="20.399999999999999" customHeight="1" x14ac:dyDescent="0.2">
      <c r="A48" s="504" t="s">
        <v>269</v>
      </c>
      <c r="B48" s="21" t="s">
        <v>274</v>
      </c>
      <c r="C48" s="620" t="s">
        <v>1413</v>
      </c>
      <c r="D48" s="621"/>
      <c r="E48" s="43" t="s">
        <v>26</v>
      </c>
      <c r="F48" s="511">
        <f>VLOOKUP(A48,MEM!$B$285:$L$4976,11,FALSE)</f>
        <v>540</v>
      </c>
      <c r="G48" s="497">
        <f>VLOOKUP(B48,'APU1'!$B$16:$I$1290,8,FALSE)</f>
        <v>28333</v>
      </c>
      <c r="H48" s="505">
        <f t="shared" si="5"/>
        <v>15299820</v>
      </c>
      <c r="I48" s="504">
        <v>558</v>
      </c>
      <c r="J48" s="7"/>
      <c r="K48" s="7"/>
      <c r="L48" s="7"/>
      <c r="M48" s="7"/>
      <c r="N48" s="7"/>
      <c r="O48" s="7"/>
      <c r="P48" s="7"/>
      <c r="Q48" s="7"/>
      <c r="R48" s="7"/>
      <c r="S48" s="496">
        <v>28641</v>
      </c>
      <c r="T48" s="531">
        <f t="shared" si="6"/>
        <v>15981678</v>
      </c>
      <c r="U48" s="533">
        <f t="shared" si="2"/>
        <v>-681858</v>
      </c>
    </row>
    <row r="49" spans="1:21" ht="27.75" customHeight="1" x14ac:dyDescent="0.2">
      <c r="A49" s="504" t="s">
        <v>270</v>
      </c>
      <c r="B49" s="21" t="s">
        <v>292</v>
      </c>
      <c r="C49" s="620" t="s">
        <v>1247</v>
      </c>
      <c r="D49" s="621"/>
      <c r="E49" s="43" t="str">
        <f>VLOOKUP(B49,APU!$B$16:$I$1858,4,FALSE)</f>
        <v>m2</v>
      </c>
      <c r="F49" s="511">
        <f>VLOOKUP(A49,MEM!$B$285:$L$4976,11,FALSE)</f>
        <v>124</v>
      </c>
      <c r="G49" s="497">
        <f>VLOOKUP(B49,'APU1'!$B$16:$I$1290,8,FALSE)</f>
        <v>109657</v>
      </c>
      <c r="H49" s="505">
        <f t="shared" si="5"/>
        <v>13597468</v>
      </c>
      <c r="I49" s="504">
        <v>124</v>
      </c>
      <c r="J49" s="7"/>
      <c r="K49" s="7"/>
      <c r="L49" s="7"/>
      <c r="M49" s="7"/>
      <c r="N49" s="7"/>
      <c r="O49" s="7"/>
      <c r="P49" s="7"/>
      <c r="Q49" s="7"/>
      <c r="R49" s="7"/>
      <c r="S49" s="496">
        <v>101850</v>
      </c>
      <c r="T49" s="531">
        <f t="shared" si="6"/>
        <v>12629400</v>
      </c>
      <c r="U49" s="533">
        <f t="shared" si="2"/>
        <v>968068</v>
      </c>
    </row>
    <row r="50" spans="1:21" ht="18.75" customHeight="1" x14ac:dyDescent="0.2">
      <c r="A50" s="504" t="s">
        <v>271</v>
      </c>
      <c r="B50" s="21" t="s">
        <v>439</v>
      </c>
      <c r="C50" s="620" t="s">
        <v>1248</v>
      </c>
      <c r="D50" s="621"/>
      <c r="E50" s="43" t="str">
        <f>VLOOKUP(B50,APU!$B$16:$I$1858,4,FALSE)</f>
        <v>M3</v>
      </c>
      <c r="F50" s="511">
        <f>VLOOKUP(A50,MEM!$B$285:$L$4976,11,FALSE)</f>
        <v>454</v>
      </c>
      <c r="G50" s="497">
        <f>VLOOKUP(B50,'APU1'!$B$16:$I$1290,8,FALSE)</f>
        <v>603900</v>
      </c>
      <c r="H50" s="505">
        <f t="shared" si="5"/>
        <v>274170600</v>
      </c>
      <c r="I50" s="504">
        <v>499</v>
      </c>
      <c r="J50" s="7"/>
      <c r="K50" s="7"/>
      <c r="L50" s="7"/>
      <c r="M50" s="7"/>
      <c r="N50" s="7"/>
      <c r="O50" s="7"/>
      <c r="P50" s="7"/>
      <c r="Q50" s="7"/>
      <c r="R50" s="7"/>
      <c r="S50" s="496">
        <v>441474</v>
      </c>
      <c r="T50" s="531">
        <f t="shared" si="6"/>
        <v>220295526</v>
      </c>
      <c r="U50" s="533">
        <f t="shared" si="2"/>
        <v>53875074</v>
      </c>
    </row>
    <row r="51" spans="1:21" ht="27" customHeight="1" thickBot="1" x14ac:dyDescent="0.25">
      <c r="A51" s="504" t="s">
        <v>272</v>
      </c>
      <c r="B51" s="21" t="s">
        <v>443</v>
      </c>
      <c r="C51" s="620" t="s">
        <v>1249</v>
      </c>
      <c r="D51" s="621"/>
      <c r="E51" s="43" t="str">
        <f>VLOOKUP(B51,APU!$B$16:$I$1858,4,FALSE)</f>
        <v>UNIDAD</v>
      </c>
      <c r="F51" s="511">
        <f>VLOOKUP(A51,MEM!$B$285:$L$4976,11,FALSE)</f>
        <v>422</v>
      </c>
      <c r="G51" s="497">
        <f>VLOOKUP(B51,'APU1'!$B$16:$I$1290,8,FALSE)</f>
        <v>508860</v>
      </c>
      <c r="H51" s="542">
        <f>+G51*F51</f>
        <v>214738920</v>
      </c>
      <c r="I51" s="504">
        <v>448</v>
      </c>
      <c r="J51" s="7"/>
      <c r="K51" s="7"/>
      <c r="L51" s="7"/>
      <c r="M51" s="7"/>
      <c r="N51" s="7"/>
      <c r="O51" s="7"/>
      <c r="P51" s="7"/>
      <c r="Q51" s="7"/>
      <c r="R51" s="7"/>
      <c r="S51" s="496">
        <v>487870</v>
      </c>
      <c r="T51" s="540">
        <f t="shared" si="6"/>
        <v>218565760</v>
      </c>
      <c r="U51" s="535">
        <f t="shared" si="2"/>
        <v>-3826840</v>
      </c>
    </row>
    <row r="52" spans="1:21" ht="10.8" thickBot="1" x14ac:dyDescent="0.25">
      <c r="A52" s="666" t="s">
        <v>1118</v>
      </c>
      <c r="B52" s="667"/>
      <c r="C52" s="667"/>
      <c r="D52" s="667"/>
      <c r="E52" s="667"/>
      <c r="F52" s="667"/>
      <c r="G52" s="668"/>
      <c r="H52" s="546">
        <f>SUM(H53:H59)</f>
        <v>7321947924.2211533</v>
      </c>
      <c r="I52" s="670"/>
      <c r="J52" s="671"/>
      <c r="K52" s="671"/>
      <c r="L52" s="671"/>
      <c r="M52" s="671"/>
      <c r="N52" s="671"/>
      <c r="O52" s="671"/>
      <c r="P52" s="671"/>
      <c r="Q52" s="671"/>
      <c r="R52" s="671"/>
      <c r="S52" s="671"/>
      <c r="T52" s="537">
        <f>+SUM(T53:T59)</f>
        <v>6525418567.2141542</v>
      </c>
      <c r="U52" s="581">
        <f>+SUM(U53:U59)</f>
        <v>796529357.00699985</v>
      </c>
    </row>
    <row r="53" spans="1:21" ht="10.5" customHeight="1" x14ac:dyDescent="0.2">
      <c r="A53" s="513" t="s">
        <v>276</v>
      </c>
      <c r="B53" s="42" t="s">
        <v>1095</v>
      </c>
      <c r="C53" s="672" t="s">
        <v>1401</v>
      </c>
      <c r="D53" s="673"/>
      <c r="E53" s="491" t="s">
        <v>125</v>
      </c>
      <c r="F53" s="511">
        <v>7466</v>
      </c>
      <c r="G53" s="514">
        <f>+'APU1'!F679</f>
        <v>32700</v>
      </c>
      <c r="H53" s="545">
        <f>+G53*F53</f>
        <v>244138200</v>
      </c>
      <c r="I53" s="504">
        <v>7715</v>
      </c>
      <c r="J53" s="105"/>
      <c r="K53" s="43">
        <v>14090</v>
      </c>
      <c r="L53" s="105"/>
      <c r="M53" s="105"/>
      <c r="N53" s="105"/>
      <c r="O53" s="105"/>
      <c r="P53" s="105"/>
      <c r="Q53" s="105"/>
      <c r="R53" s="105"/>
      <c r="S53" s="497">
        <v>23192.362200000003</v>
      </c>
      <c r="T53" s="541">
        <f t="shared" ref="T53:T59" si="7">+I53*S53</f>
        <v>178929074.37300003</v>
      </c>
      <c r="U53" s="536">
        <f t="shared" si="2"/>
        <v>65209125.626999974</v>
      </c>
    </row>
    <row r="54" spans="1:21" ht="10.5" customHeight="1" x14ac:dyDescent="0.2">
      <c r="A54" s="513" t="s">
        <v>277</v>
      </c>
      <c r="B54" s="42" t="s">
        <v>1096</v>
      </c>
      <c r="C54" s="672" t="s">
        <v>1402</v>
      </c>
      <c r="D54" s="673"/>
      <c r="E54" s="491" t="s">
        <v>124</v>
      </c>
      <c r="F54" s="511">
        <f>+'APU1'!K716</f>
        <v>9134</v>
      </c>
      <c r="G54" s="514">
        <f>+'APU1'!F716</f>
        <v>584766</v>
      </c>
      <c r="H54" s="515">
        <f>+G54*F54</f>
        <v>5341252644</v>
      </c>
      <c r="I54" s="504">
        <v>10024</v>
      </c>
      <c r="J54" s="106">
        <f>+H54/(H71)</f>
        <v>0.26079273730151953</v>
      </c>
      <c r="K54" s="225">
        <v>15659</v>
      </c>
      <c r="L54" s="105"/>
      <c r="M54" s="105"/>
      <c r="N54" s="105"/>
      <c r="O54" s="105"/>
      <c r="P54" s="105"/>
      <c r="Q54" s="105"/>
      <c r="R54" s="105"/>
      <c r="S54" s="497">
        <v>474413.73</v>
      </c>
      <c r="T54" s="530">
        <f t="shared" si="7"/>
        <v>4755523229.5199995</v>
      </c>
      <c r="U54" s="533">
        <f t="shared" si="2"/>
        <v>585729414.4800005</v>
      </c>
    </row>
    <row r="55" spans="1:21" ht="10.5" customHeight="1" x14ac:dyDescent="0.2">
      <c r="A55" s="504" t="s">
        <v>278</v>
      </c>
      <c r="B55" s="21" t="s">
        <v>1094</v>
      </c>
      <c r="C55" s="620" t="s">
        <v>1403</v>
      </c>
      <c r="D55" s="621"/>
      <c r="E55" s="43" t="s">
        <v>129</v>
      </c>
      <c r="F55" s="511">
        <f>+'APU1'!K295</f>
        <v>1797</v>
      </c>
      <c r="G55" s="497">
        <f>+'APU1'!F295</f>
        <v>102263.16666666667</v>
      </c>
      <c r="H55" s="505">
        <f t="shared" ref="H55:H59" si="8">+G55*F55</f>
        <v>183766910.5</v>
      </c>
      <c r="I55" s="504">
        <v>1950</v>
      </c>
      <c r="J55" s="105"/>
      <c r="K55" s="225">
        <v>2838</v>
      </c>
      <c r="L55" s="105"/>
      <c r="M55" s="105"/>
      <c r="N55" s="105">
        <f>+F54/35</f>
        <v>260.97142857142859</v>
      </c>
      <c r="O55" s="105"/>
      <c r="P55" s="105"/>
      <c r="Q55" s="105"/>
      <c r="R55" s="105"/>
      <c r="S55" s="497">
        <v>102263.16666666701</v>
      </c>
      <c r="T55" s="530">
        <f t="shared" si="7"/>
        <v>199413175.00000066</v>
      </c>
      <c r="U55" s="533">
        <f t="shared" si="2"/>
        <v>-15646264.500000656</v>
      </c>
    </row>
    <row r="56" spans="1:21" ht="10.5" customHeight="1" x14ac:dyDescent="0.2">
      <c r="A56" s="504" t="s">
        <v>279</v>
      </c>
      <c r="B56" s="21" t="s">
        <v>1094</v>
      </c>
      <c r="C56" s="620" t="s">
        <v>1404</v>
      </c>
      <c r="D56" s="621"/>
      <c r="E56" s="43" t="s">
        <v>129</v>
      </c>
      <c r="F56" s="511">
        <f>+'APU1'!K330</f>
        <v>1428.02</v>
      </c>
      <c r="G56" s="497">
        <f>+'APU1'!F330</f>
        <v>187447.5</v>
      </c>
      <c r="H56" s="505">
        <f t="shared" si="8"/>
        <v>267678778.94999999</v>
      </c>
      <c r="I56" s="504">
        <v>1428.02</v>
      </c>
      <c r="J56" s="105"/>
      <c r="K56" s="43">
        <v>1494</v>
      </c>
      <c r="L56" s="105"/>
      <c r="M56" s="105"/>
      <c r="N56" s="105">
        <f>+N55/26</f>
        <v>10.037362637362637</v>
      </c>
      <c r="O56" s="105"/>
      <c r="P56" s="105"/>
      <c r="Q56" s="105"/>
      <c r="R56" s="105"/>
      <c r="S56" s="497">
        <v>187447.5</v>
      </c>
      <c r="T56" s="530">
        <f t="shared" si="7"/>
        <v>267678778.94999999</v>
      </c>
      <c r="U56" s="533">
        <f t="shared" si="2"/>
        <v>0</v>
      </c>
    </row>
    <row r="57" spans="1:21" ht="10.5" customHeight="1" x14ac:dyDescent="0.2">
      <c r="A57" s="504" t="s">
        <v>290</v>
      </c>
      <c r="B57" s="21" t="s">
        <v>1094</v>
      </c>
      <c r="C57" s="620" t="s">
        <v>1405</v>
      </c>
      <c r="D57" s="621"/>
      <c r="E57" s="43" t="s">
        <v>129</v>
      </c>
      <c r="F57" s="511">
        <f>+'APU1'!K363</f>
        <v>1228.6500000000001</v>
      </c>
      <c r="G57" s="497">
        <f>+'APU1'!F363</f>
        <v>242088.5</v>
      </c>
      <c r="H57" s="505">
        <f t="shared" si="8"/>
        <v>297442035.52500004</v>
      </c>
      <c r="I57" s="504">
        <v>1228.6500000000001</v>
      </c>
      <c r="J57" s="105"/>
      <c r="K57" s="43">
        <v>2022</v>
      </c>
      <c r="L57" s="105"/>
      <c r="M57" s="105"/>
      <c r="N57" s="105"/>
      <c r="O57" s="105"/>
      <c r="P57" s="105"/>
      <c r="Q57" s="105"/>
      <c r="R57" s="105"/>
      <c r="S57" s="497">
        <v>242088.5</v>
      </c>
      <c r="T57" s="530">
        <f t="shared" si="7"/>
        <v>297442035.52500004</v>
      </c>
      <c r="U57" s="533">
        <f t="shared" si="2"/>
        <v>0</v>
      </c>
    </row>
    <row r="58" spans="1:21" ht="10.5" customHeight="1" x14ac:dyDescent="0.2">
      <c r="A58" s="504" t="s">
        <v>452</v>
      </c>
      <c r="B58" s="21" t="s">
        <v>1094</v>
      </c>
      <c r="C58" s="620" t="s">
        <v>1406</v>
      </c>
      <c r="D58" s="621"/>
      <c r="E58" s="43" t="s">
        <v>129</v>
      </c>
      <c r="F58" s="511">
        <f>+'APU1'!K396</f>
        <v>560</v>
      </c>
      <c r="G58" s="497">
        <f>+'APU1'!F396</f>
        <v>448153.84615384613</v>
      </c>
      <c r="H58" s="505">
        <f t="shared" si="8"/>
        <v>250966153.84615383</v>
      </c>
      <c r="I58" s="504">
        <v>560</v>
      </c>
      <c r="J58" s="105"/>
      <c r="K58" s="43">
        <v>669.5</v>
      </c>
      <c r="L58" s="105"/>
      <c r="M58" s="105"/>
      <c r="N58" s="105"/>
      <c r="O58" s="105"/>
      <c r="P58" s="105"/>
      <c r="Q58" s="105"/>
      <c r="R58" s="105"/>
      <c r="S58" s="497">
        <v>448153.84615384601</v>
      </c>
      <c r="T58" s="530">
        <f t="shared" si="7"/>
        <v>250966153.84615377</v>
      </c>
      <c r="U58" s="533">
        <f t="shared" si="2"/>
        <v>0</v>
      </c>
    </row>
    <row r="59" spans="1:21" ht="10.5" customHeight="1" thickBot="1" x14ac:dyDescent="0.25">
      <c r="A59" s="516" t="s">
        <v>453</v>
      </c>
      <c r="B59" s="517" t="s">
        <v>1093</v>
      </c>
      <c r="C59" s="674" t="s">
        <v>1407</v>
      </c>
      <c r="D59" s="674"/>
      <c r="E59" s="518" t="s">
        <v>123</v>
      </c>
      <c r="F59" s="511">
        <v>106567.8</v>
      </c>
      <c r="G59" s="519">
        <f>+'APU1'!F433</f>
        <v>6913</v>
      </c>
      <c r="H59" s="520">
        <f t="shared" si="8"/>
        <v>736703201.39999998</v>
      </c>
      <c r="I59" s="504">
        <v>106567.8</v>
      </c>
      <c r="J59" s="508"/>
      <c r="K59" s="509">
        <v>158595.79999999999</v>
      </c>
      <c r="L59" s="508"/>
      <c r="M59" s="508"/>
      <c r="N59" s="508"/>
      <c r="O59" s="508"/>
      <c r="P59" s="508"/>
      <c r="Q59" s="508"/>
      <c r="R59" s="508"/>
      <c r="S59" s="510">
        <v>5400</v>
      </c>
      <c r="T59" s="532">
        <f t="shared" si="7"/>
        <v>575466120</v>
      </c>
      <c r="U59" s="534">
        <f t="shared" si="2"/>
        <v>161237081.39999998</v>
      </c>
    </row>
    <row r="60" spans="1:21" ht="12" customHeight="1" x14ac:dyDescent="0.2">
      <c r="A60" s="292"/>
      <c r="H60" s="81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</row>
    <row r="61" spans="1:21" ht="12" customHeight="1" x14ac:dyDescent="0.2">
      <c r="A61" s="629" t="s">
        <v>1119</v>
      </c>
      <c r="B61" s="630"/>
      <c r="C61" s="630"/>
      <c r="D61" s="630"/>
      <c r="E61" s="630"/>
      <c r="F61" s="630"/>
      <c r="G61" s="630"/>
      <c r="H61" s="499">
        <f>+H44+H34+H19+H16</f>
        <v>9224214616.0958977</v>
      </c>
      <c r="I61" s="669"/>
      <c r="J61" s="217">
        <f>+PRESUPUESTO!H51-'AJUSTE PRESUPUESTO'!H61</f>
        <v>5013555786.184103</v>
      </c>
      <c r="T61" s="499">
        <f>+T44+T34+T19+T16</f>
        <v>8009197969.2399998</v>
      </c>
      <c r="U61" s="503">
        <f t="shared" si="2"/>
        <v>1215016646.8558979</v>
      </c>
    </row>
    <row r="62" spans="1:21" ht="12" customHeight="1" x14ac:dyDescent="0.2">
      <c r="A62" s="629" t="s">
        <v>1121</v>
      </c>
      <c r="B62" s="630"/>
      <c r="C62" s="630"/>
      <c r="D62" s="630"/>
      <c r="E62" s="630"/>
      <c r="F62" s="630"/>
      <c r="G62" s="630"/>
      <c r="H62" s="499">
        <f>+H52</f>
        <v>7321947924.2211533</v>
      </c>
      <c r="I62" s="669"/>
      <c r="J62" s="217">
        <f>+PRESUPUESTO!H52-'AJUSTE PRESUPUESTO'!H62</f>
        <v>-7037192516.1755533</v>
      </c>
      <c r="T62" s="499">
        <f>+T52</f>
        <v>6525418567.2141542</v>
      </c>
      <c r="U62" s="503">
        <f t="shared" si="2"/>
        <v>796529357.00699902</v>
      </c>
    </row>
    <row r="63" spans="1:21" ht="12.6" customHeight="1" x14ac:dyDescent="0.2">
      <c r="A63" s="639" t="s">
        <v>1120</v>
      </c>
      <c r="B63" s="640"/>
      <c r="C63" s="640"/>
      <c r="D63" s="640"/>
      <c r="E63" s="640"/>
      <c r="F63" s="641"/>
      <c r="G63" s="500">
        <f>+H63/H61</f>
        <v>0.29111459876224932</v>
      </c>
      <c r="H63" s="499">
        <f>+'AIU Obra civil '!H46:J46</f>
        <v>2685303536.8616328</v>
      </c>
      <c r="I63" s="669"/>
      <c r="N63" s="68">
        <f>+'AIU Obra civil '!H42</f>
        <v>2224092806.056838</v>
      </c>
      <c r="O63" s="68">
        <f>+N63/H61</f>
        <v>0.24111459876224933</v>
      </c>
      <c r="S63" s="498">
        <v>0.3</v>
      </c>
      <c r="T63" s="493">
        <f>+T61*S63</f>
        <v>2402759390.7719998</v>
      </c>
      <c r="U63" s="503">
        <f t="shared" si="2"/>
        <v>282544146.08963299</v>
      </c>
    </row>
    <row r="64" spans="1:21" ht="12.6" customHeight="1" x14ac:dyDescent="0.2">
      <c r="A64" s="639" t="s">
        <v>1122</v>
      </c>
      <c r="B64" s="640"/>
      <c r="C64" s="640"/>
      <c r="D64" s="640"/>
      <c r="E64" s="640"/>
      <c r="F64" s="641"/>
      <c r="G64" s="501">
        <f>+H64/H62</f>
        <v>0.11608930367920431</v>
      </c>
      <c r="H64" s="499">
        <f>+'aiu insumos'!J32</f>
        <v>849999836.09822905</v>
      </c>
      <c r="I64" s="669"/>
      <c r="M64" s="217"/>
      <c r="N64" s="68">
        <f>+'AIU Obra civil '!H43</f>
        <v>0</v>
      </c>
      <c r="O64" s="68">
        <f>+N64/H63</f>
        <v>0</v>
      </c>
      <c r="S64" s="498">
        <v>0.12</v>
      </c>
      <c r="T64" s="493">
        <f>+T62*S64</f>
        <v>783050228.0656985</v>
      </c>
      <c r="U64" s="503">
        <f t="shared" si="2"/>
        <v>66949608.032530546</v>
      </c>
    </row>
    <row r="65" spans="1:21" x14ac:dyDescent="0.2">
      <c r="A65" s="629" t="s">
        <v>1123</v>
      </c>
      <c r="B65" s="630"/>
      <c r="C65" s="630"/>
      <c r="D65" s="630"/>
      <c r="E65" s="630"/>
      <c r="F65" s="630"/>
      <c r="G65" s="630"/>
      <c r="H65" s="584">
        <f>+H61+H62+H63+H64</f>
        <v>20081465913.276913</v>
      </c>
      <c r="I65" s="669"/>
      <c r="J65" s="217" t="e">
        <f>+#REF!</f>
        <v>#REF!</v>
      </c>
      <c r="K65" s="190"/>
      <c r="S65" s="294"/>
      <c r="T65" s="524">
        <f>+T61+T62+T63+T64</f>
        <v>17720426155.291851</v>
      </c>
      <c r="U65" s="583">
        <f t="shared" si="2"/>
        <v>2361039757.9850616</v>
      </c>
    </row>
    <row r="66" spans="1:21" x14ac:dyDescent="0.2">
      <c r="A66" s="203"/>
      <c r="B66" s="203"/>
      <c r="C66" s="323"/>
      <c r="D66" s="323"/>
      <c r="E66" s="203"/>
      <c r="F66" s="203"/>
      <c r="G66" s="203"/>
      <c r="H66" s="490"/>
      <c r="I66" s="669"/>
      <c r="J66" s="217" t="e">
        <f>+J65+#REF!</f>
        <v>#REF!</v>
      </c>
      <c r="K66" s="190"/>
      <c r="U66" s="217"/>
    </row>
    <row r="67" spans="1:21" ht="12" customHeight="1" x14ac:dyDescent="0.2">
      <c r="A67" s="645" t="s">
        <v>1088</v>
      </c>
      <c r="B67" s="646"/>
      <c r="C67" s="646"/>
      <c r="D67" s="646"/>
      <c r="E67" s="646"/>
      <c r="F67" s="646"/>
      <c r="G67" s="646"/>
      <c r="H67" s="584">
        <f>+PGIO!J85</f>
        <v>211312090</v>
      </c>
      <c r="I67" s="669"/>
      <c r="T67" s="524">
        <v>175325533</v>
      </c>
      <c r="U67" s="583">
        <f t="shared" si="2"/>
        <v>35986557</v>
      </c>
    </row>
    <row r="68" spans="1:21" ht="5.4" customHeight="1" x14ac:dyDescent="0.2">
      <c r="A68" s="243"/>
      <c r="B68" s="244"/>
      <c r="C68" s="324"/>
      <c r="D68" s="324"/>
      <c r="E68" s="244"/>
      <c r="F68" s="244"/>
      <c r="G68" s="502"/>
      <c r="H68" s="490"/>
      <c r="I68" s="669"/>
      <c r="U68" s="217"/>
    </row>
    <row r="69" spans="1:21" ht="12" customHeight="1" x14ac:dyDescent="0.2">
      <c r="A69" s="645" t="s">
        <v>1089</v>
      </c>
      <c r="B69" s="646"/>
      <c r="C69" s="646"/>
      <c r="D69" s="646"/>
      <c r="E69" s="646"/>
      <c r="F69" s="646"/>
      <c r="G69" s="646"/>
      <c r="H69" s="584">
        <f>+PMT!J30</f>
        <v>188055547.79176003</v>
      </c>
      <c r="I69" s="669"/>
      <c r="T69" s="524">
        <v>200070177</v>
      </c>
      <c r="U69" s="583">
        <f t="shared" si="2"/>
        <v>-12014629.208239973</v>
      </c>
    </row>
    <row r="70" spans="1:21" ht="5.4" customHeight="1" x14ac:dyDescent="0.2">
      <c r="A70" s="243"/>
      <c r="B70" s="244"/>
      <c r="C70" s="324"/>
      <c r="D70" s="324"/>
      <c r="E70" s="244"/>
      <c r="F70" s="244"/>
      <c r="G70" s="502"/>
      <c r="H70" s="490"/>
      <c r="I70" s="669"/>
      <c r="U70" s="217"/>
    </row>
    <row r="71" spans="1:21" x14ac:dyDescent="0.2">
      <c r="A71" s="629" t="s">
        <v>203</v>
      </c>
      <c r="B71" s="630"/>
      <c r="C71" s="630"/>
      <c r="D71" s="630"/>
      <c r="E71" s="630"/>
      <c r="F71" s="630"/>
      <c r="G71" s="630"/>
      <c r="H71" s="585">
        <f>+H65+H67+H69</f>
        <v>20480833551.068672</v>
      </c>
      <c r="I71" s="669"/>
      <c r="J71" s="199">
        <f>+H71/F17</f>
        <v>2267836.7346992218</v>
      </c>
      <c r="N71" s="68">
        <f>+H71/F17</f>
        <v>2267836.7346992218</v>
      </c>
      <c r="T71" s="524">
        <f>+T65+T67+T69</f>
        <v>18095821865.291851</v>
      </c>
      <c r="U71" s="583">
        <f t="shared" si="2"/>
        <v>2385011685.7768211</v>
      </c>
    </row>
    <row r="72" spans="1:21" x14ac:dyDescent="0.2">
      <c r="A72" s="44"/>
      <c r="B72" s="116"/>
      <c r="C72" s="250"/>
      <c r="D72" s="250"/>
      <c r="E72" s="44"/>
      <c r="F72" s="44"/>
      <c r="G72" s="205"/>
      <c r="H72" s="75"/>
      <c r="I72" s="669"/>
      <c r="U72" s="217"/>
    </row>
    <row r="73" spans="1:21" x14ac:dyDescent="0.2">
      <c r="A73" s="629" t="s">
        <v>861</v>
      </c>
      <c r="B73" s="630"/>
      <c r="C73" s="630"/>
      <c r="D73" s="630"/>
      <c r="E73" s="630"/>
      <c r="F73" s="630"/>
      <c r="G73" s="630"/>
      <c r="H73" s="585">
        <f>+H71*0.05-34103599</f>
        <v>989938078.55343366</v>
      </c>
      <c r="I73" s="669"/>
      <c r="J73" s="68">
        <f>+'prespuesto interventoria'!J34</f>
        <v>0</v>
      </c>
      <c r="T73" s="524">
        <v>904791093</v>
      </c>
      <c r="U73" s="583">
        <f t="shared" si="2"/>
        <v>85146985.553433657</v>
      </c>
    </row>
    <row r="74" spans="1:21" ht="10.8" thickBot="1" x14ac:dyDescent="0.25">
      <c r="A74" s="44"/>
      <c r="B74" s="116"/>
      <c r="C74" s="250"/>
      <c r="D74" s="250"/>
      <c r="E74" s="44"/>
      <c r="F74" s="44"/>
      <c r="G74" s="205"/>
      <c r="H74" s="75"/>
      <c r="I74" s="669"/>
      <c r="U74" s="217"/>
    </row>
    <row r="75" spans="1:21" ht="10.8" thickBot="1" x14ac:dyDescent="0.25">
      <c r="A75" s="629" t="s">
        <v>203</v>
      </c>
      <c r="B75" s="630"/>
      <c r="C75" s="630"/>
      <c r="D75" s="630"/>
      <c r="E75" s="630"/>
      <c r="F75" s="630"/>
      <c r="G75" s="630"/>
      <c r="H75" s="585">
        <f>+H73+H71</f>
        <v>21470771629.622105</v>
      </c>
      <c r="I75" s="669"/>
      <c r="J75" s="199"/>
      <c r="M75" s="199"/>
      <c r="N75" s="199">
        <v>19000612959.045135</v>
      </c>
      <c r="T75" s="579">
        <f>+T71+T73</f>
        <v>19000612958.291851</v>
      </c>
      <c r="U75" s="582">
        <f t="shared" si="2"/>
        <v>2470158671.3302536</v>
      </c>
    </row>
    <row r="76" spans="1:21" ht="10.8" thickBot="1" x14ac:dyDescent="0.25">
      <c r="H76" s="81"/>
      <c r="I76" s="81"/>
    </row>
    <row r="77" spans="1:21" ht="19.95" customHeight="1" thickBot="1" x14ac:dyDescent="0.25">
      <c r="H77" s="586" t="s">
        <v>1543</v>
      </c>
      <c r="I77" s="587">
        <v>19000612958.773113</v>
      </c>
    </row>
    <row r="78" spans="1:21" ht="21.6" customHeight="1" thickBot="1" x14ac:dyDescent="0.25">
      <c r="C78" s="68"/>
      <c r="D78" s="68"/>
      <c r="E78" s="652" t="s">
        <v>1546</v>
      </c>
      <c r="F78" s="653"/>
      <c r="G78" s="68"/>
      <c r="H78" s="586" t="s">
        <v>1544</v>
      </c>
      <c r="I78" s="587">
        <f>+H75</f>
        <v>21470771629.622105</v>
      </c>
      <c r="S78" s="479"/>
    </row>
    <row r="79" spans="1:21" ht="10.8" thickBot="1" x14ac:dyDescent="0.25">
      <c r="B79" s="68" t="s">
        <v>1551</v>
      </c>
      <c r="E79" s="484" t="s">
        <v>1547</v>
      </c>
      <c r="F79" s="485">
        <v>0.05</v>
      </c>
    </row>
    <row r="80" spans="1:21" ht="10.8" thickBot="1" x14ac:dyDescent="0.25">
      <c r="B80" s="68" t="s">
        <v>1552</v>
      </c>
      <c r="E80" s="484" t="s">
        <v>1548</v>
      </c>
      <c r="F80" s="485">
        <v>0.05</v>
      </c>
      <c r="H80" s="588" t="s">
        <v>1555</v>
      </c>
      <c r="I80" s="589">
        <f>+I78/I77</f>
        <v>1.1300041570347577</v>
      </c>
    </row>
    <row r="81" spans="2:15" ht="10.8" thickBot="1" x14ac:dyDescent="0.25">
      <c r="B81" s="68" t="s">
        <v>1553</v>
      </c>
      <c r="E81" s="484" t="s">
        <v>1549</v>
      </c>
      <c r="F81" s="485">
        <v>0.01</v>
      </c>
    </row>
    <row r="82" spans="2:15" ht="10.8" thickBot="1" x14ac:dyDescent="0.25">
      <c r="E82" s="484" t="s">
        <v>1550</v>
      </c>
      <c r="F82" s="485">
        <v>0.02</v>
      </c>
      <c r="H82" s="590" t="s">
        <v>1545</v>
      </c>
      <c r="I82" s="591">
        <f>+I78-I77</f>
        <v>2470158670.8489914</v>
      </c>
    </row>
    <row r="83" spans="2:15" ht="10.8" thickBot="1" x14ac:dyDescent="0.25">
      <c r="B83" s="68" t="s">
        <v>1554</v>
      </c>
      <c r="E83" s="486" t="s">
        <v>1542</v>
      </c>
      <c r="F83" s="487">
        <v>0.13</v>
      </c>
      <c r="O83" s="294">
        <f>0.04*0.19</f>
        <v>7.6E-3</v>
      </c>
    </row>
  </sheetData>
  <mergeCells count="87">
    <mergeCell ref="D13:U13"/>
    <mergeCell ref="H9:U9"/>
    <mergeCell ref="I16:S16"/>
    <mergeCell ref="I19:S19"/>
    <mergeCell ref="I34:S34"/>
    <mergeCell ref="A14:H14"/>
    <mergeCell ref="I14:U14"/>
    <mergeCell ref="A11:B11"/>
    <mergeCell ref="A12:B12"/>
    <mergeCell ref="D11:U11"/>
    <mergeCell ref="D12:U12"/>
    <mergeCell ref="C21:D21"/>
    <mergeCell ref="A13:B13"/>
    <mergeCell ref="C15:D15"/>
    <mergeCell ref="A16:G16"/>
    <mergeCell ref="C1:I1"/>
    <mergeCell ref="A2:B5"/>
    <mergeCell ref="F3:F4"/>
    <mergeCell ref="A10:B10"/>
    <mergeCell ref="G2:I2"/>
    <mergeCell ref="G3:I3"/>
    <mergeCell ref="G4:J4"/>
    <mergeCell ref="G5:J5"/>
    <mergeCell ref="D10:U10"/>
    <mergeCell ref="A7:B7"/>
    <mergeCell ref="C7:D7"/>
    <mergeCell ref="E7:G7"/>
    <mergeCell ref="H7:I7"/>
    <mergeCell ref="A9:B9"/>
    <mergeCell ref="C9:D9"/>
    <mergeCell ref="E9:G9"/>
    <mergeCell ref="C17:D17"/>
    <mergeCell ref="C18:D18"/>
    <mergeCell ref="A19:G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4:G34"/>
    <mergeCell ref="C39:D39"/>
    <mergeCell ref="C40:D40"/>
    <mergeCell ref="A44:G44"/>
    <mergeCell ref="C35:D35"/>
    <mergeCell ref="C36:D36"/>
    <mergeCell ref="C37:D37"/>
    <mergeCell ref="C38:D38"/>
    <mergeCell ref="C41:D41"/>
    <mergeCell ref="C42:D42"/>
    <mergeCell ref="C43:D43"/>
    <mergeCell ref="I44:S44"/>
    <mergeCell ref="C53:D53"/>
    <mergeCell ref="C59:D59"/>
    <mergeCell ref="C58:D58"/>
    <mergeCell ref="A61:G61"/>
    <mergeCell ref="C54:D54"/>
    <mergeCell ref="C55:D55"/>
    <mergeCell ref="C56:D56"/>
    <mergeCell ref="C57:D57"/>
    <mergeCell ref="C46:D46"/>
    <mergeCell ref="C45:D45"/>
    <mergeCell ref="I52:S52"/>
    <mergeCell ref="I61:I75"/>
    <mergeCell ref="A75:G75"/>
    <mergeCell ref="A67:G67"/>
    <mergeCell ref="A71:G71"/>
    <mergeCell ref="A73:G73"/>
    <mergeCell ref="A69:G69"/>
    <mergeCell ref="E78:F78"/>
    <mergeCell ref="A65:G65"/>
    <mergeCell ref="A63:F63"/>
    <mergeCell ref="C47:D47"/>
    <mergeCell ref="C48:D48"/>
    <mergeCell ref="C49:D49"/>
    <mergeCell ref="C50:D50"/>
    <mergeCell ref="C51:D51"/>
    <mergeCell ref="A52:G52"/>
    <mergeCell ref="A64:F64"/>
    <mergeCell ref="A62:G62"/>
  </mergeCells>
  <phoneticPr fontId="25" type="noConversion"/>
  <hyperlinks>
    <hyperlink ref="B17" location="'ESPECIFICACION NORMA'!B16" display="PAR_01" xr:uid="{00000000-0004-0000-0000-000000000000}"/>
    <hyperlink ref="B18" location="'ESPECIFICACION NORMA'!B37" display="201.3-13" xr:uid="{00000000-0004-0000-0000-000001000000}"/>
  </hyperlinks>
  <printOptions horizontalCentered="1"/>
  <pageMargins left="0.61" right="0.22" top="0.37" bottom="0.62" header="0.24" footer="0.55000000000000004"/>
  <pageSetup scale="47" orientation="portrait" r:id="rId1"/>
  <headerFooter>
    <oddFooter xml:space="preserve">&amp;L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DD01-B1CC-4122-B966-2D4E5E2E4ADF}">
  <sheetPr>
    <tabColor rgb="FFFFC000"/>
  </sheetPr>
  <dimension ref="E3:L29"/>
  <sheetViews>
    <sheetView zoomScaleNormal="100" workbookViewId="0">
      <selection activeCell="N17" sqref="N17"/>
    </sheetView>
  </sheetViews>
  <sheetFormatPr baseColWidth="10" defaultRowHeight="14.4" x14ac:dyDescent="0.3"/>
  <cols>
    <col min="6" max="6" width="29.44140625" customWidth="1"/>
    <col min="7" max="7" width="19.33203125" customWidth="1"/>
    <col min="8" max="8" width="19.77734375" hidden="1" customWidth="1"/>
    <col min="9" max="10" width="18.88671875" customWidth="1"/>
    <col min="11" max="11" width="18" hidden="1" customWidth="1"/>
    <col min="12" max="12" width="15.44140625" bestFit="1" customWidth="1"/>
  </cols>
  <sheetData>
    <row r="3" spans="5:11" ht="15" thickBot="1" x14ac:dyDescent="0.35"/>
    <row r="4" spans="5:11" ht="15" thickBot="1" x14ac:dyDescent="0.35">
      <c r="E4" s="695" t="s">
        <v>1579</v>
      </c>
      <c r="F4" s="696"/>
      <c r="G4" s="696"/>
      <c r="H4" s="696"/>
      <c r="I4" s="696"/>
      <c r="J4" s="697"/>
    </row>
    <row r="6" spans="5:11" x14ac:dyDescent="0.3">
      <c r="E6" s="690" t="s">
        <v>1562</v>
      </c>
      <c r="F6" s="690"/>
      <c r="G6" s="690"/>
      <c r="H6" s="690"/>
      <c r="I6" s="690"/>
      <c r="J6" s="690"/>
      <c r="K6" s="690"/>
    </row>
    <row r="7" spans="5:11" ht="43.8" thickBot="1" x14ac:dyDescent="0.35">
      <c r="E7" s="554" t="s">
        <v>11</v>
      </c>
      <c r="F7" s="554" t="s">
        <v>1563</v>
      </c>
      <c r="G7" s="555" t="s">
        <v>1564</v>
      </c>
      <c r="H7" s="556" t="s">
        <v>1565</v>
      </c>
      <c r="I7" s="557" t="s">
        <v>1566</v>
      </c>
      <c r="J7" s="556" t="s">
        <v>1567</v>
      </c>
      <c r="K7" s="556" t="s">
        <v>1568</v>
      </c>
    </row>
    <row r="8" spans="5:11" ht="25.2" customHeight="1" thickBot="1" x14ac:dyDescent="0.35">
      <c r="E8" s="554">
        <v>1</v>
      </c>
      <c r="F8" s="558" t="s">
        <v>1569</v>
      </c>
      <c r="G8" s="559">
        <v>153442563</v>
      </c>
      <c r="H8" s="560">
        <f>+[5]PRESUPUESTOA!$T$16</f>
        <v>0</v>
      </c>
      <c r="I8" s="561">
        <v>125874784.04923794</v>
      </c>
      <c r="J8" s="562">
        <f>+I8-G8</f>
        <v>-27567778.950762063</v>
      </c>
      <c r="K8" s="563">
        <f>+H8-G8</f>
        <v>-153442563</v>
      </c>
    </row>
    <row r="9" spans="5:11" ht="36.6" customHeight="1" thickBot="1" x14ac:dyDescent="0.35">
      <c r="E9" s="554">
        <v>2</v>
      </c>
      <c r="F9" s="564" t="s">
        <v>1580</v>
      </c>
      <c r="G9" s="559">
        <v>1716376097</v>
      </c>
      <c r="H9" s="565">
        <f>+[5]PRESUPUESTOA!$T$19</f>
        <v>0</v>
      </c>
      <c r="I9" s="561">
        <v>1521842383.0166538</v>
      </c>
      <c r="J9" s="562">
        <f t="shared" ref="J9:J12" si="0">+I9-G9</f>
        <v>-194533713.98334622</v>
      </c>
      <c r="K9" s="563">
        <f>+H9-G9</f>
        <v>-1716376097</v>
      </c>
    </row>
    <row r="10" spans="5:11" ht="21" customHeight="1" thickBot="1" x14ac:dyDescent="0.35">
      <c r="E10" s="554">
        <v>3</v>
      </c>
      <c r="F10" s="558" t="s">
        <v>1570</v>
      </c>
      <c r="G10" s="559">
        <v>4425035103</v>
      </c>
      <c r="H10" s="565">
        <f>+[5]PRESUPUESTOA!$T$34</f>
        <v>0</v>
      </c>
      <c r="I10" s="561">
        <v>4349663383.8289165</v>
      </c>
      <c r="J10" s="562">
        <f t="shared" si="0"/>
        <v>-75371719.17108345</v>
      </c>
      <c r="K10" s="563">
        <f>+H10-G10</f>
        <v>-4425035103</v>
      </c>
    </row>
    <row r="11" spans="5:11" ht="20.399999999999999" customHeight="1" thickBot="1" x14ac:dyDescent="0.35">
      <c r="E11" s="554">
        <v>4</v>
      </c>
      <c r="F11" s="558" t="s">
        <v>1571</v>
      </c>
      <c r="G11" s="559">
        <v>4117103598</v>
      </c>
      <c r="H11" s="565">
        <f>+[5]PRESUPUESTOA!$T$44</f>
        <v>0</v>
      </c>
      <c r="I11" s="561">
        <v>5912137601.4885235</v>
      </c>
      <c r="J11" s="562">
        <f t="shared" si="0"/>
        <v>1795034003.4885235</v>
      </c>
      <c r="K11" s="563">
        <f>+H11-G11</f>
        <v>-4117103598</v>
      </c>
    </row>
    <row r="12" spans="5:11" ht="24.6" customHeight="1" thickBot="1" x14ac:dyDescent="0.35">
      <c r="E12" s="554">
        <v>5</v>
      </c>
      <c r="F12" s="564" t="s">
        <v>1572</v>
      </c>
      <c r="G12" s="559">
        <v>7308468795</v>
      </c>
      <c r="H12" s="565">
        <f>+[5]PRESUPUESTOA!$T$52</f>
        <v>0</v>
      </c>
      <c r="I12" s="561">
        <v>8171947760.2507019</v>
      </c>
      <c r="J12" s="562">
        <f t="shared" si="0"/>
        <v>863478965.2507019</v>
      </c>
      <c r="K12" s="563">
        <f>+H12-G12</f>
        <v>-7308468795</v>
      </c>
    </row>
    <row r="13" spans="5:11" ht="18.600000000000001" customHeight="1" x14ac:dyDescent="0.3">
      <c r="E13" s="698" t="s">
        <v>1573</v>
      </c>
      <c r="F13" s="698"/>
      <c r="G13" s="566">
        <f>+SUM(G8:G12)</f>
        <v>17720426156</v>
      </c>
      <c r="H13" s="567">
        <f t="shared" ref="H13:K13" si="1">+SUM(H8:H12)</f>
        <v>0</v>
      </c>
      <c r="I13" s="568">
        <f t="shared" si="1"/>
        <v>20081465912.634033</v>
      </c>
      <c r="J13" s="567">
        <f>+SUM(J8:J12)</f>
        <v>2361039756.6340337</v>
      </c>
      <c r="K13" s="567">
        <f t="shared" si="1"/>
        <v>-17720426156</v>
      </c>
    </row>
    <row r="14" spans="5:11" ht="18" customHeight="1" x14ac:dyDescent="0.3">
      <c r="E14" s="699" t="s">
        <v>1574</v>
      </c>
      <c r="F14" s="699"/>
      <c r="G14" s="559">
        <v>175325533</v>
      </c>
      <c r="H14" s="558">
        <v>211312090</v>
      </c>
      <c r="I14" s="569">
        <f>+H14</f>
        <v>211312090</v>
      </c>
      <c r="J14" s="558">
        <f>+I14-G14</f>
        <v>35986557</v>
      </c>
      <c r="K14" s="570">
        <f>+H14-G14</f>
        <v>35986557</v>
      </c>
    </row>
    <row r="15" spans="5:11" ht="19.8" customHeight="1" x14ac:dyDescent="0.3">
      <c r="E15" s="699" t="s">
        <v>1575</v>
      </c>
      <c r="F15" s="699"/>
      <c r="G15" s="559">
        <v>200070177</v>
      </c>
      <c r="H15" s="558">
        <v>188055548</v>
      </c>
      <c r="I15" s="569">
        <f>+H15</f>
        <v>188055548</v>
      </c>
      <c r="J15" s="558">
        <f>+I15-G15</f>
        <v>-12014629</v>
      </c>
      <c r="K15" s="570">
        <f>+H15-G15</f>
        <v>-12014629</v>
      </c>
    </row>
    <row r="16" spans="5:11" ht="19.8" customHeight="1" x14ac:dyDescent="0.3">
      <c r="E16" s="700" t="s">
        <v>1576</v>
      </c>
      <c r="F16" s="700"/>
      <c r="G16" s="566">
        <f>+G14+G15</f>
        <v>375395710</v>
      </c>
      <c r="H16" s="571">
        <f>+H14+H15</f>
        <v>399367638</v>
      </c>
      <c r="I16" s="572">
        <f>+I14+I15</f>
        <v>399367638</v>
      </c>
      <c r="J16" s="571">
        <f>+J13+J14+J15</f>
        <v>2385011684.6340337</v>
      </c>
      <c r="K16" s="573">
        <f>+H16-G16</f>
        <v>23971928</v>
      </c>
    </row>
    <row r="17" spans="5:12" x14ac:dyDescent="0.3">
      <c r="E17" s="699" t="s">
        <v>1577</v>
      </c>
      <c r="F17" s="699"/>
      <c r="G17" s="559">
        <v>904791093</v>
      </c>
      <c r="H17" s="558">
        <f>+G17</f>
        <v>904791093</v>
      </c>
      <c r="I17" s="569">
        <v>989938079</v>
      </c>
      <c r="J17" s="558">
        <v>85146986</v>
      </c>
      <c r="K17" s="570">
        <f>+H17-G17</f>
        <v>0</v>
      </c>
    </row>
    <row r="18" spans="5:12" x14ac:dyDescent="0.3">
      <c r="E18" s="690" t="s">
        <v>1578</v>
      </c>
      <c r="F18" s="690"/>
      <c r="G18" s="574">
        <f>+G13+G16+G17</f>
        <v>19000612959</v>
      </c>
      <c r="H18" s="575">
        <f>+H13+H16+H17</f>
        <v>1304158731</v>
      </c>
      <c r="I18" s="576">
        <f>+I13+I16+I17</f>
        <v>21470771629.634033</v>
      </c>
      <c r="J18" s="577">
        <f>+J16+J17</f>
        <v>2470158670.6340337</v>
      </c>
      <c r="K18" s="575">
        <f>+K13+K16+K17</f>
        <v>-17696454228</v>
      </c>
      <c r="L18" s="578"/>
    </row>
    <row r="19" spans="5:12" x14ac:dyDescent="0.3">
      <c r="E19" s="691"/>
      <c r="F19" s="691"/>
      <c r="G19" s="691"/>
      <c r="H19" s="691"/>
      <c r="I19" s="691"/>
      <c r="J19" s="691"/>
      <c r="K19" s="691"/>
    </row>
    <row r="20" spans="5:12" x14ac:dyDescent="0.3">
      <c r="E20" s="692"/>
      <c r="F20" s="692"/>
      <c r="G20" s="692"/>
      <c r="H20" s="692"/>
      <c r="I20" s="692"/>
      <c r="J20" s="692"/>
      <c r="K20" s="692"/>
    </row>
    <row r="21" spans="5:12" ht="16.2" customHeight="1" thickBot="1" x14ac:dyDescent="0.35">
      <c r="E21" s="693"/>
      <c r="F21" s="693"/>
      <c r="G21" s="693"/>
      <c r="H21" s="693"/>
      <c r="I21" s="693"/>
      <c r="J21" s="693"/>
      <c r="K21" s="693"/>
    </row>
    <row r="22" spans="5:12" x14ac:dyDescent="0.3">
      <c r="E22" s="694" t="s">
        <v>1581</v>
      </c>
      <c r="F22" s="694"/>
      <c r="G22" s="694"/>
      <c r="H22" s="694"/>
      <c r="I22" s="694"/>
      <c r="J22" s="694"/>
      <c r="K22" s="694"/>
    </row>
    <row r="29" spans="5:12" x14ac:dyDescent="0.3">
      <c r="J29" s="578"/>
    </row>
  </sheetData>
  <mergeCells count="10">
    <mergeCell ref="E18:F18"/>
    <mergeCell ref="E19:K21"/>
    <mergeCell ref="E22:K22"/>
    <mergeCell ref="E4:J4"/>
    <mergeCell ref="E6:K6"/>
    <mergeCell ref="E13:F13"/>
    <mergeCell ref="E14:F14"/>
    <mergeCell ref="E15:F15"/>
    <mergeCell ref="E16:F16"/>
    <mergeCell ref="E17:F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946"/>
  <sheetViews>
    <sheetView topLeftCell="A135" zoomScale="108" zoomScaleNormal="108" zoomScaleSheetLayoutView="120" workbookViewId="0">
      <selection activeCell="B139" sqref="B139"/>
    </sheetView>
  </sheetViews>
  <sheetFormatPr baseColWidth="10" defaultColWidth="11.44140625" defaultRowHeight="9.6" x14ac:dyDescent="0.3"/>
  <cols>
    <col min="1" max="1" width="10.5546875" style="227" customWidth="1"/>
    <col min="2" max="2" width="26.88671875" style="227" customWidth="1"/>
    <col min="3" max="3" width="10" style="227" customWidth="1"/>
    <col min="4" max="4" width="8" style="227" customWidth="1"/>
    <col min="5" max="5" width="8.44140625" style="227" customWidth="1"/>
    <col min="6" max="6" width="8" style="227" customWidth="1"/>
    <col min="7" max="7" width="8.5546875" style="227" customWidth="1"/>
    <col min="8" max="8" width="6.6640625" style="227" customWidth="1"/>
    <col min="9" max="9" width="8.109375" style="226" customWidth="1"/>
    <col min="10" max="10" width="6.6640625" style="226" customWidth="1"/>
    <col min="11" max="11" width="7.6640625" style="226" customWidth="1"/>
    <col min="12" max="12" width="8.33203125" style="226" customWidth="1"/>
    <col min="13" max="15" width="8.109375" style="226" customWidth="1"/>
    <col min="16" max="16384" width="11.44140625" style="227"/>
  </cols>
  <sheetData>
    <row r="1" spans="1:21" ht="38.25" customHeight="1" x14ac:dyDescent="0.3">
      <c r="A1" s="224"/>
      <c r="B1" s="224"/>
      <c r="C1" s="224"/>
      <c r="D1" s="701"/>
      <c r="E1" s="701"/>
      <c r="F1" s="701"/>
      <c r="G1" s="701"/>
      <c r="H1" s="701"/>
      <c r="I1" s="701"/>
      <c r="J1" s="701"/>
      <c r="K1" s="701"/>
      <c r="L1" s="701"/>
    </row>
    <row r="2" spans="1:21" ht="9.75" customHeight="1" x14ac:dyDescent="0.3">
      <c r="A2" s="705"/>
      <c r="B2" s="705"/>
      <c r="C2" s="705"/>
      <c r="D2" s="705"/>
      <c r="E2" s="603" t="s">
        <v>60</v>
      </c>
      <c r="F2" s="603"/>
      <c r="G2" s="603"/>
      <c r="H2" s="603"/>
      <c r="I2" s="603"/>
      <c r="J2" s="603"/>
      <c r="K2" s="603"/>
      <c r="L2" s="603"/>
    </row>
    <row r="3" spans="1:21" ht="9.75" customHeight="1" x14ac:dyDescent="0.3">
      <c r="A3" s="705"/>
      <c r="B3" s="705"/>
      <c r="C3" s="705"/>
      <c r="D3" s="705"/>
      <c r="E3" s="603" t="s">
        <v>61</v>
      </c>
      <c r="F3" s="603"/>
      <c r="G3" s="603"/>
      <c r="H3" s="603"/>
      <c r="I3" s="603"/>
      <c r="J3" s="603"/>
      <c r="K3" s="603"/>
      <c r="L3" s="603"/>
    </row>
    <row r="4" spans="1:21" ht="9.75" customHeight="1" x14ac:dyDescent="0.2">
      <c r="A4" s="705"/>
      <c r="B4" s="705"/>
      <c r="C4" s="709" t="s">
        <v>281</v>
      </c>
      <c r="D4" s="709"/>
      <c r="E4" s="603" t="s">
        <v>1061</v>
      </c>
      <c r="F4" s="603"/>
      <c r="G4" s="603"/>
      <c r="H4" s="603"/>
      <c r="I4" s="603"/>
      <c r="J4" s="603"/>
      <c r="K4" s="603"/>
      <c r="L4" s="603"/>
    </row>
    <row r="5" spans="1:21" ht="9.75" customHeight="1" x14ac:dyDescent="0.2">
      <c r="A5" s="705"/>
      <c r="B5" s="705"/>
      <c r="C5" s="709" t="s">
        <v>280</v>
      </c>
      <c r="D5" s="709" t="s">
        <v>280</v>
      </c>
      <c r="E5" s="603" t="s">
        <v>1062</v>
      </c>
      <c r="F5" s="603"/>
      <c r="G5" s="603"/>
      <c r="H5" s="603"/>
      <c r="I5" s="603"/>
      <c r="J5" s="603"/>
      <c r="K5" s="603"/>
      <c r="L5" s="603"/>
    </row>
    <row r="6" spans="1:21" ht="10.5" customHeight="1" x14ac:dyDescent="0.3">
      <c r="B6" s="155"/>
      <c r="C6" s="155"/>
    </row>
    <row r="7" spans="1:21" ht="12" customHeight="1" x14ac:dyDescent="0.3">
      <c r="A7" s="706" t="s">
        <v>21</v>
      </c>
      <c r="B7" s="706"/>
      <c r="C7" s="707" t="str">
        <f>E4</f>
        <v>DISTRITO DE TURBO</v>
      </c>
      <c r="D7" s="707"/>
      <c r="E7" s="707"/>
      <c r="F7" s="707" t="s">
        <v>22</v>
      </c>
      <c r="G7" s="707"/>
      <c r="H7" s="707"/>
      <c r="I7" s="707" t="s">
        <v>61</v>
      </c>
      <c r="J7" s="707"/>
      <c r="K7" s="707"/>
      <c r="L7" s="707"/>
    </row>
    <row r="8" spans="1:21" ht="7.2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158"/>
      <c r="K8" s="158"/>
      <c r="L8" s="158"/>
    </row>
    <row r="9" spans="1:21" ht="10.199999999999999" customHeight="1" x14ac:dyDescent="0.3">
      <c r="A9" s="706" t="s">
        <v>20</v>
      </c>
      <c r="B9" s="706"/>
      <c r="C9" s="707" t="s">
        <v>179</v>
      </c>
      <c r="D9" s="707"/>
      <c r="E9" s="707"/>
      <c r="F9" s="708" t="s">
        <v>10</v>
      </c>
      <c r="G9" s="708"/>
      <c r="H9" s="708"/>
      <c r="I9" s="611">
        <f>'AJUSTE PRESUPUESTO'!H9</f>
        <v>45152</v>
      </c>
      <c r="J9" s="611"/>
      <c r="K9" s="611"/>
      <c r="L9" s="611"/>
      <c r="O9" s="227"/>
      <c r="P9" s="238"/>
      <c r="Q9" s="238"/>
    </row>
    <row r="10" spans="1:21" ht="10.199999999999999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  <c r="K10" s="702"/>
      <c r="L10" s="702"/>
      <c r="Q10" s="230"/>
      <c r="R10" s="230"/>
      <c r="S10" s="230"/>
      <c r="T10" s="230"/>
      <c r="U10" s="230"/>
    </row>
    <row r="11" spans="1:2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  <c r="K11" s="702"/>
      <c r="L11" s="702"/>
      <c r="Q11" s="230"/>
      <c r="R11" s="230"/>
      <c r="S11" s="230"/>
      <c r="T11" s="230"/>
      <c r="U11" s="230"/>
    </row>
    <row r="12" spans="1:21" ht="12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  <c r="K12" s="702"/>
      <c r="L12" s="702"/>
      <c r="Q12" s="230"/>
      <c r="R12" s="230"/>
      <c r="S12" s="230"/>
      <c r="T12" s="230"/>
      <c r="U12" s="230"/>
    </row>
    <row r="13" spans="1:21" ht="12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  <c r="K13" s="702"/>
      <c r="L13" s="702"/>
      <c r="Q13" s="230"/>
      <c r="R13" s="230"/>
      <c r="S13" s="230"/>
      <c r="T13" s="230"/>
      <c r="U13" s="230"/>
    </row>
    <row r="14" spans="1:21" x14ac:dyDescent="0.3">
      <c r="A14" s="707" t="s">
        <v>1063</v>
      </c>
      <c r="B14" s="707"/>
      <c r="C14" s="707"/>
      <c r="D14" s="707"/>
      <c r="E14" s="707"/>
      <c r="F14" s="707"/>
      <c r="G14" s="707"/>
      <c r="H14" s="707"/>
      <c r="I14" s="707"/>
      <c r="J14" s="707"/>
      <c r="K14" s="707"/>
      <c r="L14" s="707"/>
    </row>
    <row r="15" spans="1:21" s="230" customFormat="1" ht="22.2" customHeight="1" x14ac:dyDescent="0.3">
      <c r="A15" s="272" t="s">
        <v>180</v>
      </c>
      <c r="B15" s="273" t="s">
        <v>183</v>
      </c>
      <c r="C15" s="272" t="s">
        <v>204</v>
      </c>
      <c r="D15" s="272" t="s">
        <v>872</v>
      </c>
      <c r="E15" s="272" t="s">
        <v>481</v>
      </c>
      <c r="F15" s="272" t="s">
        <v>438</v>
      </c>
      <c r="G15" s="272" t="s">
        <v>502</v>
      </c>
      <c r="H15" s="272" t="s">
        <v>993</v>
      </c>
      <c r="I15" s="272" t="s">
        <v>503</v>
      </c>
      <c r="J15" s="272" t="s">
        <v>504</v>
      </c>
      <c r="K15" s="272" t="s">
        <v>505</v>
      </c>
      <c r="L15" s="272" t="s">
        <v>506</v>
      </c>
      <c r="N15" s="229"/>
      <c r="O15" s="162"/>
    </row>
    <row r="16" spans="1:21" ht="10.199999999999999" customHeight="1" x14ac:dyDescent="0.3">
      <c r="A16" s="156" t="s">
        <v>185</v>
      </c>
      <c r="B16" s="155" t="s">
        <v>875</v>
      </c>
      <c r="C16" s="156">
        <v>0</v>
      </c>
      <c r="D16" s="156">
        <v>3</v>
      </c>
      <c r="E16" s="156">
        <v>3</v>
      </c>
      <c r="F16" s="156">
        <v>5</v>
      </c>
      <c r="G16" s="156">
        <v>0.15</v>
      </c>
      <c r="H16" s="156">
        <v>1.2</v>
      </c>
      <c r="I16" s="156">
        <v>0</v>
      </c>
      <c r="J16" s="156">
        <v>7.6999999999999993</v>
      </c>
      <c r="K16" s="156">
        <v>0.17</v>
      </c>
      <c r="L16" s="156">
        <v>0.15</v>
      </c>
      <c r="M16" s="227"/>
      <c r="N16" s="156"/>
      <c r="O16" s="156"/>
    </row>
    <row r="17" spans="1:15" ht="10.199999999999999" customHeight="1" x14ac:dyDescent="0.3">
      <c r="A17" s="156" t="s">
        <v>186</v>
      </c>
      <c r="B17" s="155" t="s">
        <v>672</v>
      </c>
      <c r="C17" s="156">
        <v>3</v>
      </c>
      <c r="D17" s="156">
        <v>90.95</v>
      </c>
      <c r="E17" s="156">
        <v>87.95</v>
      </c>
      <c r="F17" s="156">
        <v>5</v>
      </c>
      <c r="G17" s="156">
        <v>0.15</v>
      </c>
      <c r="H17" s="156">
        <v>1.2</v>
      </c>
      <c r="I17" s="156">
        <v>0</v>
      </c>
      <c r="J17" s="156">
        <v>7.6999999999999993</v>
      </c>
      <c r="K17" s="156">
        <v>0.17</v>
      </c>
      <c r="L17" s="156">
        <v>0.15</v>
      </c>
      <c r="M17" s="227"/>
      <c r="N17" s="156"/>
      <c r="O17" s="156"/>
    </row>
    <row r="18" spans="1:15" ht="10.199999999999999" customHeight="1" x14ac:dyDescent="0.3">
      <c r="A18" s="156" t="s">
        <v>187</v>
      </c>
      <c r="B18" s="155" t="s">
        <v>876</v>
      </c>
      <c r="C18" s="156">
        <v>90.95</v>
      </c>
      <c r="D18" s="156">
        <v>96.95</v>
      </c>
      <c r="E18" s="156">
        <v>6</v>
      </c>
      <c r="F18" s="156">
        <v>5</v>
      </c>
      <c r="G18" s="156">
        <v>0.15</v>
      </c>
      <c r="H18" s="156">
        <v>1.2</v>
      </c>
      <c r="I18" s="156">
        <v>0</v>
      </c>
      <c r="J18" s="156">
        <v>7.6999999999999993</v>
      </c>
      <c r="K18" s="156">
        <v>0.17</v>
      </c>
      <c r="L18" s="156">
        <v>0.15</v>
      </c>
      <c r="M18" s="227"/>
      <c r="N18" s="156"/>
      <c r="O18" s="156"/>
    </row>
    <row r="19" spans="1:15" ht="10.199999999999999" customHeight="1" x14ac:dyDescent="0.3">
      <c r="A19" s="156" t="s">
        <v>188</v>
      </c>
      <c r="B19" s="155" t="s">
        <v>1109</v>
      </c>
      <c r="C19" s="156">
        <v>96.95</v>
      </c>
      <c r="D19" s="156">
        <v>190.67000000000002</v>
      </c>
      <c r="E19" s="156">
        <v>93.72</v>
      </c>
      <c r="F19" s="156">
        <v>5</v>
      </c>
      <c r="G19" s="156">
        <v>0.15</v>
      </c>
      <c r="H19" s="156">
        <v>1.2</v>
      </c>
      <c r="I19" s="156">
        <v>0</v>
      </c>
      <c r="J19" s="156">
        <v>7.6999999999999993</v>
      </c>
      <c r="K19" s="156">
        <v>0.17</v>
      </c>
      <c r="L19" s="156">
        <v>0.15</v>
      </c>
      <c r="M19" s="227"/>
      <c r="N19" s="156"/>
      <c r="O19" s="156"/>
    </row>
    <row r="20" spans="1:15" ht="10.199999999999999" customHeight="1" x14ac:dyDescent="0.3">
      <c r="A20" s="156" t="s">
        <v>482</v>
      </c>
      <c r="B20" s="155" t="s">
        <v>877</v>
      </c>
      <c r="C20" s="156">
        <v>190.67000000000002</v>
      </c>
      <c r="D20" s="156">
        <v>193.67000000000002</v>
      </c>
      <c r="E20" s="156">
        <v>3</v>
      </c>
      <c r="F20" s="156">
        <v>5</v>
      </c>
      <c r="G20" s="156">
        <v>0.15</v>
      </c>
      <c r="H20" s="156">
        <v>1.2</v>
      </c>
      <c r="I20" s="156">
        <v>0</v>
      </c>
      <c r="J20" s="156">
        <v>7.6999999999999993</v>
      </c>
      <c r="K20" s="156">
        <v>0.17</v>
      </c>
      <c r="L20" s="156">
        <v>0.15</v>
      </c>
      <c r="M20" s="227"/>
      <c r="N20" s="156"/>
      <c r="O20" s="156"/>
    </row>
    <row r="21" spans="1:15" ht="10.199999999999999" customHeight="1" x14ac:dyDescent="0.3">
      <c r="A21" s="158" t="s">
        <v>597</v>
      </c>
      <c r="B21" s="154" t="s">
        <v>673</v>
      </c>
      <c r="C21" s="154"/>
      <c r="D21" s="154"/>
      <c r="E21" s="158">
        <v>193.67000000000002</v>
      </c>
      <c r="F21" s="158">
        <v>5</v>
      </c>
      <c r="G21" s="158">
        <v>0.15</v>
      </c>
      <c r="H21" s="158">
        <v>1.2</v>
      </c>
      <c r="I21" s="158">
        <v>0</v>
      </c>
      <c r="J21" s="158">
        <v>7.6999999999999993</v>
      </c>
      <c r="K21" s="158">
        <v>0.17</v>
      </c>
      <c r="L21" s="158">
        <v>0.15</v>
      </c>
      <c r="M21" s="227"/>
      <c r="N21" s="156"/>
      <c r="O21" s="156"/>
    </row>
    <row r="22" spans="1:15" ht="10.199999999999999" customHeight="1" x14ac:dyDescent="0.3">
      <c r="A22" s="156" t="s">
        <v>189</v>
      </c>
      <c r="B22" s="155" t="s">
        <v>878</v>
      </c>
      <c r="C22" s="156">
        <v>0</v>
      </c>
      <c r="D22" s="156">
        <v>3</v>
      </c>
      <c r="E22" s="156">
        <v>3</v>
      </c>
      <c r="F22" s="156">
        <v>5</v>
      </c>
      <c r="G22" s="156">
        <v>0.15</v>
      </c>
      <c r="H22" s="156">
        <v>1.2</v>
      </c>
      <c r="I22" s="156">
        <v>0</v>
      </c>
      <c r="J22" s="156">
        <v>7.6999999999999993</v>
      </c>
      <c r="K22" s="156">
        <v>0.17</v>
      </c>
      <c r="L22" s="156">
        <v>0.15</v>
      </c>
      <c r="M22" s="227"/>
      <c r="N22" s="156"/>
      <c r="O22" s="156"/>
    </row>
    <row r="23" spans="1:15" ht="10.199999999999999" customHeight="1" x14ac:dyDescent="0.3">
      <c r="A23" s="156" t="s">
        <v>484</v>
      </c>
      <c r="B23" s="155" t="s">
        <v>675</v>
      </c>
      <c r="C23" s="156">
        <v>3</v>
      </c>
      <c r="D23" s="156">
        <v>82.71</v>
      </c>
      <c r="E23" s="156">
        <v>79.709999999999994</v>
      </c>
      <c r="F23" s="156">
        <v>5</v>
      </c>
      <c r="G23" s="156">
        <v>0.15</v>
      </c>
      <c r="H23" s="156">
        <v>1.2</v>
      </c>
      <c r="I23" s="156">
        <v>0</v>
      </c>
      <c r="J23" s="156">
        <v>7.6999999999999993</v>
      </c>
      <c r="K23" s="156">
        <v>0.17</v>
      </c>
      <c r="L23" s="156">
        <v>0.15</v>
      </c>
      <c r="M23" s="227"/>
      <c r="N23" s="156"/>
      <c r="O23" s="156"/>
    </row>
    <row r="24" spans="1:15" ht="10.199999999999999" customHeight="1" x14ac:dyDescent="0.3">
      <c r="A24" s="156" t="s">
        <v>190</v>
      </c>
      <c r="B24" s="155" t="s">
        <v>879</v>
      </c>
      <c r="C24" s="156">
        <v>82.71</v>
      </c>
      <c r="D24" s="156">
        <v>88.71</v>
      </c>
      <c r="E24" s="156">
        <v>6</v>
      </c>
      <c r="F24" s="156">
        <v>5</v>
      </c>
      <c r="G24" s="156">
        <v>0.15</v>
      </c>
      <c r="H24" s="156">
        <v>1.2</v>
      </c>
      <c r="I24" s="156">
        <v>0</v>
      </c>
      <c r="J24" s="156">
        <v>7.6999999999999993</v>
      </c>
      <c r="K24" s="156">
        <v>0.17</v>
      </c>
      <c r="L24" s="156">
        <v>0.15</v>
      </c>
      <c r="M24" s="227"/>
      <c r="N24" s="156"/>
      <c r="O24" s="156"/>
    </row>
    <row r="25" spans="1:15" ht="10.199999999999999" customHeight="1" x14ac:dyDescent="0.3">
      <c r="A25" s="156" t="s">
        <v>485</v>
      </c>
      <c r="B25" s="155" t="s">
        <v>676</v>
      </c>
      <c r="C25" s="156">
        <v>88.71</v>
      </c>
      <c r="D25" s="156">
        <v>181.73</v>
      </c>
      <c r="E25" s="156">
        <v>93.02</v>
      </c>
      <c r="F25" s="156">
        <v>5</v>
      </c>
      <c r="G25" s="156">
        <v>0.15</v>
      </c>
      <c r="H25" s="156">
        <v>1.2</v>
      </c>
      <c r="I25" s="156">
        <v>0</v>
      </c>
      <c r="J25" s="156">
        <v>7.6999999999999993</v>
      </c>
      <c r="K25" s="156">
        <v>0.17</v>
      </c>
      <c r="L25" s="156">
        <v>0.15</v>
      </c>
      <c r="M25" s="227"/>
      <c r="N25" s="156"/>
      <c r="O25" s="156"/>
    </row>
    <row r="26" spans="1:15" ht="10.199999999999999" customHeight="1" x14ac:dyDescent="0.3">
      <c r="A26" s="156" t="s">
        <v>191</v>
      </c>
      <c r="B26" s="155" t="s">
        <v>880</v>
      </c>
      <c r="C26" s="156">
        <v>181.73</v>
      </c>
      <c r="D26" s="156">
        <v>187.73</v>
      </c>
      <c r="E26" s="156">
        <v>6</v>
      </c>
      <c r="F26" s="156">
        <v>5</v>
      </c>
      <c r="G26" s="156">
        <v>0.15</v>
      </c>
      <c r="H26" s="156">
        <v>1.2</v>
      </c>
      <c r="I26" s="156">
        <v>0</v>
      </c>
      <c r="J26" s="156">
        <v>7.6999999999999993</v>
      </c>
      <c r="K26" s="156">
        <v>0.17</v>
      </c>
      <c r="L26" s="156">
        <v>0.15</v>
      </c>
      <c r="M26" s="227"/>
      <c r="N26" s="156"/>
      <c r="O26" s="156"/>
    </row>
    <row r="27" spans="1:15" ht="10.199999999999999" customHeight="1" x14ac:dyDescent="0.3">
      <c r="A27" s="156" t="s">
        <v>486</v>
      </c>
      <c r="B27" s="155" t="s">
        <v>698</v>
      </c>
      <c r="C27" s="156">
        <v>187.73</v>
      </c>
      <c r="D27" s="156">
        <v>236.45999999999998</v>
      </c>
      <c r="E27" s="156">
        <v>48.73</v>
      </c>
      <c r="F27" s="156">
        <v>5</v>
      </c>
      <c r="G27" s="156">
        <v>0.15</v>
      </c>
      <c r="H27" s="156">
        <v>1.2</v>
      </c>
      <c r="I27" s="156">
        <v>0</v>
      </c>
      <c r="J27" s="156">
        <v>7.6999999999999993</v>
      </c>
      <c r="K27" s="156">
        <v>0.17</v>
      </c>
      <c r="L27" s="156">
        <v>0.15</v>
      </c>
      <c r="M27" s="227"/>
      <c r="N27" s="156"/>
      <c r="O27" s="156"/>
    </row>
    <row r="28" spans="1:15" ht="10.199999999999999" customHeight="1" x14ac:dyDescent="0.3">
      <c r="A28" s="156" t="s">
        <v>192</v>
      </c>
      <c r="B28" s="155" t="s">
        <v>881</v>
      </c>
      <c r="C28" s="156">
        <v>236.45999999999998</v>
      </c>
      <c r="D28" s="156">
        <v>239.45999999999998</v>
      </c>
      <c r="E28" s="156">
        <v>3</v>
      </c>
      <c r="F28" s="156">
        <v>5</v>
      </c>
      <c r="G28" s="156">
        <v>0.15</v>
      </c>
      <c r="H28" s="156">
        <v>1.2</v>
      </c>
      <c r="I28" s="156">
        <v>0</v>
      </c>
      <c r="J28" s="156">
        <v>7.6999999999999993</v>
      </c>
      <c r="K28" s="156">
        <v>0.17</v>
      </c>
      <c r="L28" s="156">
        <v>0.15</v>
      </c>
      <c r="M28" s="227"/>
      <c r="N28" s="156"/>
      <c r="O28" s="156"/>
    </row>
    <row r="29" spans="1:15" ht="10.199999999999999" customHeight="1" x14ac:dyDescent="0.3">
      <c r="A29" s="158" t="s">
        <v>598</v>
      </c>
      <c r="B29" s="154" t="s">
        <v>674</v>
      </c>
      <c r="C29" s="154"/>
      <c r="D29" s="154"/>
      <c r="E29" s="158">
        <v>239.45999999999998</v>
      </c>
      <c r="F29" s="158">
        <v>5</v>
      </c>
      <c r="G29" s="158">
        <v>0.15</v>
      </c>
      <c r="H29" s="158">
        <v>1.2</v>
      </c>
      <c r="I29" s="158">
        <v>0</v>
      </c>
      <c r="J29" s="158">
        <v>7.6999999999999993</v>
      </c>
      <c r="K29" s="158">
        <v>0.17</v>
      </c>
      <c r="L29" s="158">
        <v>0.15</v>
      </c>
      <c r="M29" s="227"/>
      <c r="N29" s="156"/>
      <c r="O29" s="156"/>
    </row>
    <row r="30" spans="1:15" ht="10.199999999999999" customHeight="1" x14ac:dyDescent="0.3">
      <c r="A30" s="156" t="s">
        <v>487</v>
      </c>
      <c r="B30" s="155" t="s">
        <v>882</v>
      </c>
      <c r="C30" s="156">
        <v>0</v>
      </c>
      <c r="D30" s="156">
        <v>3</v>
      </c>
      <c r="E30" s="156">
        <v>3</v>
      </c>
      <c r="F30" s="156">
        <v>5</v>
      </c>
      <c r="G30" s="156">
        <v>0.15</v>
      </c>
      <c r="H30" s="156">
        <v>1.2</v>
      </c>
      <c r="I30" s="156">
        <v>0</v>
      </c>
      <c r="J30" s="156">
        <v>7.6999999999999993</v>
      </c>
      <c r="K30" s="156">
        <v>0.17</v>
      </c>
      <c r="L30" s="156">
        <v>0.15</v>
      </c>
      <c r="M30" s="227"/>
      <c r="N30" s="156"/>
      <c r="O30" s="156"/>
    </row>
    <row r="31" spans="1:15" ht="10.199999999999999" customHeight="1" x14ac:dyDescent="0.3">
      <c r="A31" s="156" t="s">
        <v>398</v>
      </c>
      <c r="B31" s="155" t="s">
        <v>678</v>
      </c>
      <c r="C31" s="156">
        <v>3</v>
      </c>
      <c r="D31" s="156">
        <v>47.93</v>
      </c>
      <c r="E31" s="156">
        <v>44.93</v>
      </c>
      <c r="F31" s="156">
        <v>5</v>
      </c>
      <c r="G31" s="156">
        <v>0.15</v>
      </c>
      <c r="H31" s="156">
        <v>1.2</v>
      </c>
      <c r="I31" s="156">
        <v>0</v>
      </c>
      <c r="J31" s="156">
        <v>7.6999999999999993</v>
      </c>
      <c r="K31" s="156">
        <v>0.17</v>
      </c>
      <c r="L31" s="156">
        <v>0.15</v>
      </c>
      <c r="M31" s="227"/>
      <c r="N31" s="156"/>
      <c r="O31" s="156"/>
    </row>
    <row r="32" spans="1:15" ht="10.199999999999999" customHeight="1" x14ac:dyDescent="0.3">
      <c r="A32" s="156" t="s">
        <v>488</v>
      </c>
      <c r="B32" s="155" t="s">
        <v>883</v>
      </c>
      <c r="C32" s="156">
        <v>47.93</v>
      </c>
      <c r="D32" s="156">
        <v>47.93</v>
      </c>
      <c r="E32" s="156">
        <v>0</v>
      </c>
      <c r="F32" s="156">
        <v>5</v>
      </c>
      <c r="G32" s="156">
        <v>0.15</v>
      </c>
      <c r="H32" s="156">
        <v>1.2</v>
      </c>
      <c r="I32" s="156">
        <v>0</v>
      </c>
      <c r="J32" s="156">
        <v>7.6999999999999993</v>
      </c>
      <c r="K32" s="156">
        <v>0.17</v>
      </c>
      <c r="L32" s="156">
        <v>0.15</v>
      </c>
      <c r="M32" s="227"/>
      <c r="N32" s="156"/>
      <c r="O32" s="156"/>
    </row>
    <row r="33" spans="1:15" ht="10.199999999999999" customHeight="1" x14ac:dyDescent="0.3">
      <c r="A33" s="156" t="s">
        <v>529</v>
      </c>
      <c r="B33" s="155" t="s">
        <v>679</v>
      </c>
      <c r="C33" s="156">
        <v>47.93</v>
      </c>
      <c r="D33" s="156">
        <v>90.72999999999999</v>
      </c>
      <c r="E33" s="156">
        <v>42.8</v>
      </c>
      <c r="F33" s="156">
        <v>5</v>
      </c>
      <c r="G33" s="156">
        <v>0.15</v>
      </c>
      <c r="H33" s="156">
        <v>1.2</v>
      </c>
      <c r="I33" s="156">
        <v>0</v>
      </c>
      <c r="J33" s="156">
        <v>7.6999999999999993</v>
      </c>
      <c r="K33" s="156">
        <v>0.17</v>
      </c>
      <c r="L33" s="156">
        <v>0.15</v>
      </c>
      <c r="M33" s="227"/>
      <c r="N33" s="156"/>
      <c r="O33" s="156"/>
    </row>
    <row r="34" spans="1:15" ht="10.199999999999999" customHeight="1" x14ac:dyDescent="0.3">
      <c r="A34" s="156" t="s">
        <v>530</v>
      </c>
      <c r="B34" s="155" t="s">
        <v>884</v>
      </c>
      <c r="C34" s="156">
        <v>90.72999999999999</v>
      </c>
      <c r="D34" s="156">
        <v>93.72999999999999</v>
      </c>
      <c r="E34" s="156">
        <v>3</v>
      </c>
      <c r="F34" s="156">
        <v>5</v>
      </c>
      <c r="G34" s="156">
        <v>0.15</v>
      </c>
      <c r="H34" s="156">
        <v>1.2</v>
      </c>
      <c r="I34" s="156">
        <v>0</v>
      </c>
      <c r="J34" s="156">
        <v>7.6999999999999993</v>
      </c>
      <c r="K34" s="156">
        <v>0.17</v>
      </c>
      <c r="L34" s="156">
        <v>0.15</v>
      </c>
      <c r="M34" s="227"/>
      <c r="N34" s="156"/>
      <c r="O34" s="156"/>
    </row>
    <row r="35" spans="1:15" ht="10.199999999999999" customHeight="1" x14ac:dyDescent="0.3">
      <c r="A35" s="158" t="s">
        <v>601</v>
      </c>
      <c r="B35" s="154" t="s">
        <v>677</v>
      </c>
      <c r="C35" s="154"/>
      <c r="D35" s="154"/>
      <c r="E35" s="158">
        <v>93.72999999999999</v>
      </c>
      <c r="F35" s="158">
        <v>5</v>
      </c>
      <c r="G35" s="158">
        <v>0.15</v>
      </c>
      <c r="H35" s="158">
        <v>1.2</v>
      </c>
      <c r="I35" s="158">
        <v>0</v>
      </c>
      <c r="J35" s="158">
        <v>7.6999999999999993</v>
      </c>
      <c r="K35" s="158">
        <v>0.17</v>
      </c>
      <c r="L35" s="158">
        <v>0.15</v>
      </c>
      <c r="M35" s="227"/>
      <c r="N35" s="156"/>
      <c r="O35" s="156"/>
    </row>
    <row r="36" spans="1:15" ht="10.199999999999999" customHeight="1" x14ac:dyDescent="0.3">
      <c r="A36" s="156" t="s">
        <v>531</v>
      </c>
      <c r="B36" s="155" t="s">
        <v>886</v>
      </c>
      <c r="C36" s="156">
        <v>0</v>
      </c>
      <c r="D36" s="156">
        <v>3</v>
      </c>
      <c r="E36" s="156">
        <v>3</v>
      </c>
      <c r="F36" s="156">
        <v>5</v>
      </c>
      <c r="G36" s="156">
        <v>0.15</v>
      </c>
      <c r="H36" s="156">
        <v>1.2</v>
      </c>
      <c r="I36" s="156">
        <v>0</v>
      </c>
      <c r="J36" s="156">
        <v>7.6999999999999993</v>
      </c>
      <c r="K36" s="156">
        <v>0.17</v>
      </c>
      <c r="L36" s="156">
        <v>0.15</v>
      </c>
      <c r="M36" s="227"/>
      <c r="N36" s="156"/>
      <c r="O36" s="156"/>
    </row>
    <row r="37" spans="1:15" ht="10.199999999999999" customHeight="1" x14ac:dyDescent="0.3">
      <c r="A37" s="156" t="s">
        <v>532</v>
      </c>
      <c r="B37" s="155" t="s">
        <v>885</v>
      </c>
      <c r="C37" s="156">
        <v>3</v>
      </c>
      <c r="D37" s="156">
        <v>48</v>
      </c>
      <c r="E37" s="156">
        <v>45</v>
      </c>
      <c r="F37" s="156">
        <v>5</v>
      </c>
      <c r="G37" s="156">
        <v>0.15</v>
      </c>
      <c r="H37" s="156">
        <v>1.2</v>
      </c>
      <c r="I37" s="156">
        <v>0</v>
      </c>
      <c r="J37" s="156">
        <v>7.6999999999999993</v>
      </c>
      <c r="K37" s="156">
        <v>0.17</v>
      </c>
      <c r="L37" s="156">
        <v>0.15</v>
      </c>
      <c r="M37" s="227"/>
      <c r="N37" s="156"/>
      <c r="O37" s="156"/>
    </row>
    <row r="38" spans="1:15" ht="10.199999999999999" customHeight="1" x14ac:dyDescent="0.3">
      <c r="A38" s="156" t="s">
        <v>533</v>
      </c>
      <c r="B38" s="155" t="s">
        <v>887</v>
      </c>
      <c r="C38" s="156">
        <v>48</v>
      </c>
      <c r="D38" s="156">
        <v>54</v>
      </c>
      <c r="E38" s="156">
        <v>6</v>
      </c>
      <c r="F38" s="156">
        <v>5</v>
      </c>
      <c r="G38" s="156">
        <v>0.15</v>
      </c>
      <c r="H38" s="156">
        <v>1.2</v>
      </c>
      <c r="I38" s="156">
        <v>0</v>
      </c>
      <c r="J38" s="156">
        <v>7.6999999999999993</v>
      </c>
      <c r="K38" s="156">
        <v>0.17</v>
      </c>
      <c r="L38" s="156">
        <v>0.15</v>
      </c>
      <c r="M38" s="227"/>
      <c r="N38" s="156"/>
      <c r="O38" s="156"/>
    </row>
    <row r="39" spans="1:15" ht="10.199999999999999" customHeight="1" x14ac:dyDescent="0.3">
      <c r="A39" s="156" t="s">
        <v>534</v>
      </c>
      <c r="B39" s="155" t="s">
        <v>682</v>
      </c>
      <c r="C39" s="156">
        <v>54</v>
      </c>
      <c r="D39" s="156">
        <v>94.57</v>
      </c>
      <c r="E39" s="156">
        <v>40.57</v>
      </c>
      <c r="F39" s="156">
        <v>5</v>
      </c>
      <c r="G39" s="156">
        <v>0.15</v>
      </c>
      <c r="H39" s="156">
        <v>1.2</v>
      </c>
      <c r="I39" s="156">
        <v>0</v>
      </c>
      <c r="J39" s="156">
        <v>7.6999999999999993</v>
      </c>
      <c r="K39" s="156">
        <v>0.17</v>
      </c>
      <c r="L39" s="156">
        <v>0.15</v>
      </c>
      <c r="M39" s="227"/>
      <c r="N39" s="156"/>
      <c r="O39" s="156"/>
    </row>
    <row r="40" spans="1:15" ht="10.199999999999999" customHeight="1" x14ac:dyDescent="0.3">
      <c r="A40" s="156" t="s">
        <v>535</v>
      </c>
      <c r="B40" s="155" t="s">
        <v>888</v>
      </c>
      <c r="C40" s="156">
        <v>94.57</v>
      </c>
      <c r="D40" s="156">
        <v>97.57</v>
      </c>
      <c r="E40" s="156">
        <v>3</v>
      </c>
      <c r="F40" s="156">
        <v>5</v>
      </c>
      <c r="G40" s="156">
        <v>0.15</v>
      </c>
      <c r="H40" s="156">
        <v>1.2</v>
      </c>
      <c r="I40" s="156">
        <v>0</v>
      </c>
      <c r="J40" s="156">
        <v>7.6999999999999993</v>
      </c>
      <c r="K40" s="156">
        <v>0.17</v>
      </c>
      <c r="L40" s="156">
        <v>0.15</v>
      </c>
      <c r="M40" s="227"/>
      <c r="N40" s="156"/>
      <c r="O40" s="156"/>
    </row>
    <row r="41" spans="1:15" ht="10.199999999999999" customHeight="1" x14ac:dyDescent="0.3">
      <c r="A41" s="158" t="s">
        <v>602</v>
      </c>
      <c r="B41" s="154" t="s">
        <v>681</v>
      </c>
      <c r="C41" s="154"/>
      <c r="D41" s="154"/>
      <c r="E41" s="158">
        <v>97.57</v>
      </c>
      <c r="F41" s="158">
        <v>5</v>
      </c>
      <c r="G41" s="158">
        <v>0.15</v>
      </c>
      <c r="H41" s="158">
        <v>1.2</v>
      </c>
      <c r="I41" s="158">
        <v>0</v>
      </c>
      <c r="J41" s="158">
        <v>7.6999999999999993</v>
      </c>
      <c r="K41" s="158">
        <v>0.17</v>
      </c>
      <c r="L41" s="158">
        <v>0.15</v>
      </c>
      <c r="M41" s="227"/>
      <c r="N41" s="156"/>
      <c r="O41" s="156"/>
    </row>
    <row r="42" spans="1:15" ht="10.199999999999999" customHeight="1" x14ac:dyDescent="0.3">
      <c r="A42" s="156" t="s">
        <v>536</v>
      </c>
      <c r="B42" s="155" t="s">
        <v>889</v>
      </c>
      <c r="C42" s="156">
        <v>0</v>
      </c>
      <c r="D42" s="156">
        <v>3</v>
      </c>
      <c r="E42" s="156">
        <v>3</v>
      </c>
      <c r="F42" s="156">
        <v>5</v>
      </c>
      <c r="G42" s="156">
        <v>0.15</v>
      </c>
      <c r="H42" s="156">
        <v>1.2</v>
      </c>
      <c r="I42" s="156">
        <v>0</v>
      </c>
      <c r="J42" s="156">
        <v>7.6999999999999993</v>
      </c>
      <c r="K42" s="156">
        <v>0.17</v>
      </c>
      <c r="L42" s="156">
        <v>0.15</v>
      </c>
      <c r="M42" s="227"/>
      <c r="N42" s="156"/>
      <c r="O42" s="156"/>
    </row>
    <row r="43" spans="1:15" ht="10.199999999999999" customHeight="1" x14ac:dyDescent="0.3">
      <c r="A43" s="156" t="s">
        <v>537</v>
      </c>
      <c r="B43" s="155" t="s">
        <v>1110</v>
      </c>
      <c r="C43" s="156">
        <v>3</v>
      </c>
      <c r="D43" s="156">
        <v>105.75</v>
      </c>
      <c r="E43" s="156">
        <v>102.75</v>
      </c>
      <c r="F43" s="156">
        <v>5</v>
      </c>
      <c r="G43" s="156">
        <v>0.15</v>
      </c>
      <c r="H43" s="156">
        <v>1.2</v>
      </c>
      <c r="I43" s="156">
        <v>0</v>
      </c>
      <c r="J43" s="156">
        <v>7.6999999999999993</v>
      </c>
      <c r="K43" s="156">
        <v>0.17</v>
      </c>
      <c r="L43" s="156">
        <v>0.15</v>
      </c>
      <c r="M43" s="227"/>
      <c r="N43" s="156"/>
      <c r="O43" s="156"/>
    </row>
    <row r="44" spans="1:15" ht="10.199999999999999" customHeight="1" x14ac:dyDescent="0.3">
      <c r="A44" s="156" t="s">
        <v>538</v>
      </c>
      <c r="B44" s="155" t="s">
        <v>890</v>
      </c>
      <c r="C44" s="156">
        <v>105.75</v>
      </c>
      <c r="D44" s="156">
        <v>108.75</v>
      </c>
      <c r="E44" s="156">
        <v>3</v>
      </c>
      <c r="F44" s="156">
        <v>5</v>
      </c>
      <c r="G44" s="156">
        <v>0.15</v>
      </c>
      <c r="H44" s="156">
        <v>1.2</v>
      </c>
      <c r="I44" s="156">
        <v>0</v>
      </c>
      <c r="J44" s="156">
        <v>7.6999999999999993</v>
      </c>
      <c r="K44" s="156">
        <v>0.17</v>
      </c>
      <c r="L44" s="156">
        <v>0.15</v>
      </c>
      <c r="M44" s="227"/>
      <c r="N44" s="156"/>
      <c r="O44" s="156"/>
    </row>
    <row r="45" spans="1:15" ht="10.199999999999999" customHeight="1" x14ac:dyDescent="0.3">
      <c r="A45" s="158" t="s">
        <v>635</v>
      </c>
      <c r="B45" s="154" t="s">
        <v>1111</v>
      </c>
      <c r="C45" s="154"/>
      <c r="D45" s="154"/>
      <c r="E45" s="158">
        <v>108.75</v>
      </c>
      <c r="F45" s="158">
        <v>5</v>
      </c>
      <c r="G45" s="158">
        <v>0.15</v>
      </c>
      <c r="H45" s="158">
        <v>1.2</v>
      </c>
      <c r="I45" s="158">
        <v>0</v>
      </c>
      <c r="J45" s="158">
        <v>7.6999999999999993</v>
      </c>
      <c r="K45" s="158">
        <v>0.17</v>
      </c>
      <c r="L45" s="158">
        <v>0.15</v>
      </c>
      <c r="M45" s="227"/>
      <c r="N45" s="156"/>
      <c r="O45" s="156"/>
    </row>
    <row r="46" spans="1:15" ht="10.199999999999999" customHeight="1" x14ac:dyDescent="0.3">
      <c r="A46" s="158" t="s">
        <v>662</v>
      </c>
      <c r="B46" s="154" t="s">
        <v>685</v>
      </c>
      <c r="C46" s="154"/>
      <c r="D46" s="154"/>
      <c r="E46" s="274">
        <v>733.17999999999984</v>
      </c>
      <c r="F46" s="156">
        <v>5</v>
      </c>
      <c r="G46" s="156">
        <v>0.15</v>
      </c>
      <c r="H46" s="156">
        <v>1.2</v>
      </c>
      <c r="I46" s="156">
        <v>0</v>
      </c>
      <c r="J46" s="156">
        <v>7.6999999999999993</v>
      </c>
      <c r="K46" s="156">
        <v>0.17</v>
      </c>
      <c r="L46" s="156">
        <v>0.15</v>
      </c>
      <c r="M46" s="227"/>
      <c r="N46" s="156"/>
      <c r="O46" s="156"/>
    </row>
    <row r="47" spans="1:15" ht="10.199999999999999" customHeight="1" x14ac:dyDescent="0.3">
      <c r="A47" s="156" t="s">
        <v>539</v>
      </c>
      <c r="B47" s="155" t="s">
        <v>891</v>
      </c>
      <c r="C47" s="156">
        <v>0</v>
      </c>
      <c r="D47" s="156">
        <v>3</v>
      </c>
      <c r="E47" s="156">
        <v>3</v>
      </c>
      <c r="F47" s="156">
        <v>6</v>
      </c>
      <c r="G47" s="156">
        <v>0.15</v>
      </c>
      <c r="H47" s="156">
        <v>1.2</v>
      </c>
      <c r="I47" s="156">
        <v>0</v>
      </c>
      <c r="J47" s="156">
        <v>8.6999999999999993</v>
      </c>
      <c r="K47" s="156">
        <v>0.17</v>
      </c>
      <c r="L47" s="156">
        <v>0.15</v>
      </c>
      <c r="M47" s="227"/>
      <c r="N47" s="156"/>
      <c r="O47" s="156"/>
    </row>
    <row r="48" spans="1:15" ht="10.199999999999999" customHeight="1" x14ac:dyDescent="0.3">
      <c r="A48" s="156" t="s">
        <v>540</v>
      </c>
      <c r="B48" s="155" t="s">
        <v>708</v>
      </c>
      <c r="C48" s="156">
        <v>3</v>
      </c>
      <c r="D48" s="156">
        <v>183.84</v>
      </c>
      <c r="E48" s="156">
        <v>180.84</v>
      </c>
      <c r="F48" s="156">
        <v>6</v>
      </c>
      <c r="G48" s="156">
        <v>0.15</v>
      </c>
      <c r="H48" s="156">
        <v>1.2</v>
      </c>
      <c r="I48" s="156">
        <v>0</v>
      </c>
      <c r="J48" s="156">
        <v>8.6999999999999993</v>
      </c>
      <c r="K48" s="156">
        <v>0.17</v>
      </c>
      <c r="L48" s="156">
        <v>0.15</v>
      </c>
      <c r="M48" s="227">
        <f>+E46+E79+E132</f>
        <v>3402.45</v>
      </c>
      <c r="N48" s="156"/>
      <c r="O48" s="156"/>
    </row>
    <row r="49" spans="1:15" ht="10.199999999999999" customHeight="1" x14ac:dyDescent="0.3">
      <c r="A49" s="156" t="s">
        <v>541</v>
      </c>
      <c r="B49" s="155" t="s">
        <v>892</v>
      </c>
      <c r="C49" s="156">
        <v>183.84</v>
      </c>
      <c r="D49" s="156">
        <v>186.84</v>
      </c>
      <c r="E49" s="156">
        <v>3</v>
      </c>
      <c r="F49" s="156">
        <v>6</v>
      </c>
      <c r="G49" s="156">
        <v>0.15</v>
      </c>
      <c r="H49" s="156">
        <v>1.2</v>
      </c>
      <c r="I49" s="156">
        <v>0</v>
      </c>
      <c r="J49" s="156">
        <v>8.6999999999999993</v>
      </c>
      <c r="K49" s="156">
        <v>0.17</v>
      </c>
      <c r="L49" s="156">
        <v>0.15</v>
      </c>
      <c r="M49" s="227"/>
      <c r="N49" s="156"/>
      <c r="O49" s="156"/>
    </row>
    <row r="50" spans="1:15" ht="10.199999999999999" customHeight="1" x14ac:dyDescent="0.3">
      <c r="A50" s="158" t="s">
        <v>636</v>
      </c>
      <c r="B50" s="154" t="s">
        <v>710</v>
      </c>
      <c r="C50" s="154"/>
      <c r="D50" s="154"/>
      <c r="E50" s="158">
        <v>186.84</v>
      </c>
      <c r="F50" s="158">
        <v>6</v>
      </c>
      <c r="G50" s="158">
        <v>0.15</v>
      </c>
      <c r="H50" s="158">
        <v>1.2</v>
      </c>
      <c r="I50" s="158">
        <v>0</v>
      </c>
      <c r="J50" s="158">
        <v>8.6999999999999993</v>
      </c>
      <c r="K50" s="158">
        <v>0.17</v>
      </c>
      <c r="L50" s="158">
        <v>0.15</v>
      </c>
      <c r="M50" s="227"/>
      <c r="N50" s="156"/>
      <c r="O50" s="156"/>
    </row>
    <row r="51" spans="1:15" ht="10.199999999999999" customHeight="1" x14ac:dyDescent="0.3">
      <c r="A51" s="156" t="s">
        <v>542</v>
      </c>
      <c r="B51" s="155" t="s">
        <v>893</v>
      </c>
      <c r="C51" s="156">
        <v>0</v>
      </c>
      <c r="D51" s="156">
        <v>3</v>
      </c>
      <c r="E51" s="156">
        <v>3</v>
      </c>
      <c r="F51" s="156">
        <v>6</v>
      </c>
      <c r="G51" s="156">
        <v>0.15</v>
      </c>
      <c r="H51" s="156">
        <v>1.2</v>
      </c>
      <c r="I51" s="156">
        <v>0</v>
      </c>
      <c r="J51" s="156">
        <v>8.6999999999999993</v>
      </c>
      <c r="K51" s="156">
        <v>0.17</v>
      </c>
      <c r="L51" s="156">
        <v>0.15</v>
      </c>
      <c r="M51" s="227"/>
      <c r="N51" s="156"/>
      <c r="O51" s="156"/>
    </row>
    <row r="52" spans="1:15" ht="10.199999999999999" customHeight="1" x14ac:dyDescent="0.3">
      <c r="A52" s="156" t="s">
        <v>543</v>
      </c>
      <c r="B52" s="155" t="s">
        <v>707</v>
      </c>
      <c r="C52" s="156">
        <v>3</v>
      </c>
      <c r="D52" s="156">
        <v>132.94</v>
      </c>
      <c r="E52" s="156">
        <v>129.94</v>
      </c>
      <c r="F52" s="156">
        <v>6</v>
      </c>
      <c r="G52" s="156">
        <v>0.15</v>
      </c>
      <c r="H52" s="156">
        <v>1.2</v>
      </c>
      <c r="I52" s="156">
        <v>0</v>
      </c>
      <c r="J52" s="156">
        <v>8.6999999999999993</v>
      </c>
      <c r="K52" s="156">
        <v>0.17</v>
      </c>
      <c r="L52" s="156">
        <v>0.15</v>
      </c>
      <c r="M52" s="227"/>
      <c r="N52" s="156"/>
      <c r="O52" s="156"/>
    </row>
    <row r="53" spans="1:15" ht="10.199999999999999" customHeight="1" x14ac:dyDescent="0.3">
      <c r="A53" s="156" t="s">
        <v>544</v>
      </c>
      <c r="B53" s="155" t="s">
        <v>894</v>
      </c>
      <c r="C53" s="156">
        <v>132.94</v>
      </c>
      <c r="D53" s="156">
        <v>135.94</v>
      </c>
      <c r="E53" s="156">
        <v>3</v>
      </c>
      <c r="F53" s="156">
        <v>6</v>
      </c>
      <c r="G53" s="156">
        <v>0.15</v>
      </c>
      <c r="H53" s="156">
        <v>1.2</v>
      </c>
      <c r="I53" s="156">
        <v>0</v>
      </c>
      <c r="J53" s="156">
        <v>8.6999999999999993</v>
      </c>
      <c r="K53" s="156">
        <v>0.17</v>
      </c>
      <c r="L53" s="156">
        <v>0.15</v>
      </c>
      <c r="M53" s="227"/>
      <c r="N53" s="156"/>
      <c r="O53" s="156"/>
    </row>
    <row r="54" spans="1:15" ht="10.199999999999999" customHeight="1" x14ac:dyDescent="0.3">
      <c r="A54" s="158" t="s">
        <v>637</v>
      </c>
      <c r="B54" s="154" t="s">
        <v>709</v>
      </c>
      <c r="C54" s="154"/>
      <c r="D54" s="154"/>
      <c r="E54" s="158">
        <v>135.94</v>
      </c>
      <c r="F54" s="158">
        <v>6</v>
      </c>
      <c r="G54" s="158">
        <v>0.15</v>
      </c>
      <c r="H54" s="158">
        <v>1.2</v>
      </c>
      <c r="I54" s="158">
        <v>0</v>
      </c>
      <c r="J54" s="158">
        <v>8.6999999999999993</v>
      </c>
      <c r="K54" s="158">
        <v>0.17</v>
      </c>
      <c r="L54" s="158">
        <v>0.15</v>
      </c>
      <c r="M54" s="227"/>
      <c r="N54" s="156"/>
      <c r="O54" s="156"/>
    </row>
    <row r="55" spans="1:15" ht="10.199999999999999" customHeight="1" x14ac:dyDescent="0.3">
      <c r="A55" s="156" t="s">
        <v>545</v>
      </c>
      <c r="B55" s="155" t="s">
        <v>895</v>
      </c>
      <c r="C55" s="156">
        <v>0</v>
      </c>
      <c r="D55" s="156">
        <v>3</v>
      </c>
      <c r="E55" s="156">
        <v>3</v>
      </c>
      <c r="F55" s="156">
        <v>6</v>
      </c>
      <c r="G55" s="156">
        <v>0.15</v>
      </c>
      <c r="H55" s="156">
        <v>1.2</v>
      </c>
      <c r="I55" s="156">
        <v>0</v>
      </c>
      <c r="J55" s="156">
        <v>8.6999999999999993</v>
      </c>
      <c r="K55" s="156">
        <v>0.17</v>
      </c>
      <c r="L55" s="156">
        <v>0.15</v>
      </c>
      <c r="M55" s="227"/>
      <c r="N55" s="156"/>
      <c r="O55" s="156"/>
    </row>
    <row r="56" spans="1:15" ht="10.199999999999999" customHeight="1" x14ac:dyDescent="0.3">
      <c r="A56" s="156" t="s">
        <v>546</v>
      </c>
      <c r="B56" s="155" t="s">
        <v>712</v>
      </c>
      <c r="C56" s="156">
        <v>3</v>
      </c>
      <c r="D56" s="156">
        <v>146.56</v>
      </c>
      <c r="E56" s="156">
        <v>143.56</v>
      </c>
      <c r="F56" s="156">
        <v>6</v>
      </c>
      <c r="G56" s="156">
        <v>0.15</v>
      </c>
      <c r="H56" s="156">
        <v>1.2</v>
      </c>
      <c r="I56" s="156">
        <v>0</v>
      </c>
      <c r="J56" s="156">
        <v>8.6999999999999993</v>
      </c>
      <c r="K56" s="156">
        <v>0.17</v>
      </c>
      <c r="L56" s="156">
        <v>0.15</v>
      </c>
      <c r="M56" s="227"/>
      <c r="N56" s="156"/>
      <c r="O56" s="156"/>
    </row>
    <row r="57" spans="1:15" ht="10.95" customHeight="1" x14ac:dyDescent="0.3">
      <c r="A57" s="156" t="s">
        <v>547</v>
      </c>
      <c r="B57" s="155" t="s">
        <v>896</v>
      </c>
      <c r="C57" s="156">
        <v>146.56</v>
      </c>
      <c r="D57" s="156">
        <v>158.19999999999999</v>
      </c>
      <c r="E57" s="156">
        <v>11.64</v>
      </c>
      <c r="F57" s="156">
        <v>6</v>
      </c>
      <c r="G57" s="156">
        <v>0.15</v>
      </c>
      <c r="H57" s="156">
        <v>1.2</v>
      </c>
      <c r="I57" s="156">
        <v>0</v>
      </c>
      <c r="J57" s="156">
        <v>8.6999999999999993</v>
      </c>
      <c r="K57" s="156">
        <v>0.17</v>
      </c>
      <c r="L57" s="156">
        <v>0.15</v>
      </c>
      <c r="M57" s="227"/>
      <c r="N57" s="156"/>
      <c r="O57" s="156"/>
    </row>
    <row r="58" spans="1:15" ht="10.95" customHeight="1" x14ac:dyDescent="0.3">
      <c r="A58" s="156" t="s">
        <v>548</v>
      </c>
      <c r="B58" s="155" t="s">
        <v>713</v>
      </c>
      <c r="C58" s="156">
        <v>158.19999999999999</v>
      </c>
      <c r="D58" s="156">
        <v>244.32999999999998</v>
      </c>
      <c r="E58" s="156">
        <v>86.13</v>
      </c>
      <c r="F58" s="156">
        <v>6</v>
      </c>
      <c r="G58" s="156">
        <v>0.15</v>
      </c>
      <c r="H58" s="156">
        <v>1.2</v>
      </c>
      <c r="I58" s="156">
        <v>0</v>
      </c>
      <c r="J58" s="156">
        <v>8.6999999999999993</v>
      </c>
      <c r="K58" s="156">
        <v>0.17</v>
      </c>
      <c r="L58" s="156">
        <v>0.15</v>
      </c>
      <c r="M58" s="227"/>
      <c r="N58" s="156"/>
      <c r="O58" s="156"/>
    </row>
    <row r="59" spans="1:15" ht="10.95" customHeight="1" x14ac:dyDescent="0.3">
      <c r="A59" s="156" t="s">
        <v>549</v>
      </c>
      <c r="B59" s="155" t="s">
        <v>897</v>
      </c>
      <c r="C59" s="156">
        <v>244.32999999999998</v>
      </c>
      <c r="D59" s="156">
        <v>247.32999999999998</v>
      </c>
      <c r="E59" s="156">
        <v>3</v>
      </c>
      <c r="F59" s="156">
        <v>6</v>
      </c>
      <c r="G59" s="156">
        <v>0.15</v>
      </c>
      <c r="H59" s="156">
        <v>1.2</v>
      </c>
      <c r="I59" s="156">
        <v>0</v>
      </c>
      <c r="J59" s="156">
        <v>8.6999999999999993</v>
      </c>
      <c r="K59" s="156">
        <v>0.17</v>
      </c>
      <c r="L59" s="156">
        <v>0.15</v>
      </c>
      <c r="M59" s="227"/>
      <c r="N59" s="156"/>
      <c r="O59" s="156"/>
    </row>
    <row r="60" spans="1:15" ht="10.95" customHeight="1" x14ac:dyDescent="0.3">
      <c r="A60" s="158" t="s">
        <v>663</v>
      </c>
      <c r="B60" s="154" t="s">
        <v>711</v>
      </c>
      <c r="C60" s="154"/>
      <c r="D60" s="154"/>
      <c r="E60" s="158">
        <v>247.32999999999998</v>
      </c>
      <c r="F60" s="158">
        <v>6</v>
      </c>
      <c r="G60" s="158">
        <v>0.15</v>
      </c>
      <c r="H60" s="158">
        <v>1.2</v>
      </c>
      <c r="I60" s="158">
        <v>0</v>
      </c>
      <c r="J60" s="158">
        <v>8.6999999999999993</v>
      </c>
      <c r="K60" s="158">
        <v>0.17</v>
      </c>
      <c r="L60" s="158">
        <v>0.15</v>
      </c>
      <c r="M60" s="227"/>
      <c r="N60" s="156"/>
      <c r="O60" s="156"/>
    </row>
    <row r="61" spans="1:15" ht="10.95" customHeight="1" x14ac:dyDescent="0.3">
      <c r="A61" s="156" t="s">
        <v>550</v>
      </c>
      <c r="B61" s="155" t="s">
        <v>898</v>
      </c>
      <c r="C61" s="156">
        <v>0</v>
      </c>
      <c r="D61" s="156">
        <v>3</v>
      </c>
      <c r="E61" s="156">
        <v>3</v>
      </c>
      <c r="F61" s="156">
        <v>6</v>
      </c>
      <c r="G61" s="156">
        <v>0.15</v>
      </c>
      <c r="H61" s="156">
        <v>1.2</v>
      </c>
      <c r="I61" s="156">
        <v>0</v>
      </c>
      <c r="J61" s="156">
        <v>8.6999999999999993</v>
      </c>
      <c r="K61" s="156">
        <v>0.17</v>
      </c>
      <c r="L61" s="156">
        <v>0.15</v>
      </c>
      <c r="M61" s="227"/>
      <c r="N61" s="156"/>
      <c r="O61" s="156"/>
    </row>
    <row r="62" spans="1:15" ht="10.95" customHeight="1" x14ac:dyDescent="0.3">
      <c r="A62" s="156" t="s">
        <v>551</v>
      </c>
      <c r="B62" s="155" t="s">
        <v>714</v>
      </c>
      <c r="C62" s="156">
        <v>3</v>
      </c>
      <c r="D62" s="156">
        <v>158.94999999999999</v>
      </c>
      <c r="E62" s="156">
        <v>155.94999999999999</v>
      </c>
      <c r="F62" s="156">
        <v>6</v>
      </c>
      <c r="G62" s="156">
        <v>0.15</v>
      </c>
      <c r="H62" s="156">
        <v>1.2</v>
      </c>
      <c r="I62" s="156">
        <v>0</v>
      </c>
      <c r="J62" s="156">
        <v>8.6999999999999993</v>
      </c>
      <c r="K62" s="156">
        <v>0.17</v>
      </c>
      <c r="L62" s="156">
        <v>0.15</v>
      </c>
      <c r="M62" s="227"/>
      <c r="N62" s="156"/>
      <c r="O62" s="156"/>
    </row>
    <row r="63" spans="1:15" ht="10.95" customHeight="1" x14ac:dyDescent="0.3">
      <c r="A63" s="156" t="s">
        <v>552</v>
      </c>
      <c r="B63" s="155" t="s">
        <v>899</v>
      </c>
      <c r="C63" s="156">
        <v>158.94999999999999</v>
      </c>
      <c r="D63" s="156">
        <v>161.94999999999999</v>
      </c>
      <c r="E63" s="156">
        <v>3</v>
      </c>
      <c r="F63" s="156">
        <v>6</v>
      </c>
      <c r="G63" s="156">
        <v>0.15</v>
      </c>
      <c r="H63" s="156">
        <v>1.2</v>
      </c>
      <c r="I63" s="156">
        <v>0</v>
      </c>
      <c r="J63" s="156">
        <v>8.6999999999999993</v>
      </c>
      <c r="K63" s="156">
        <v>0.17</v>
      </c>
      <c r="L63" s="156">
        <v>0.15</v>
      </c>
      <c r="M63" s="227"/>
      <c r="N63" s="156"/>
      <c r="O63" s="156"/>
    </row>
    <row r="64" spans="1:15" ht="10.95" customHeight="1" x14ac:dyDescent="0.3">
      <c r="A64" s="158" t="s">
        <v>664</v>
      </c>
      <c r="B64" s="154" t="s">
        <v>715</v>
      </c>
      <c r="C64" s="154"/>
      <c r="D64" s="154"/>
      <c r="E64" s="158">
        <v>161.94999999999999</v>
      </c>
      <c r="F64" s="158">
        <v>6</v>
      </c>
      <c r="G64" s="158">
        <v>0.15</v>
      </c>
      <c r="H64" s="158">
        <v>1.2</v>
      </c>
      <c r="I64" s="158">
        <v>0</v>
      </c>
      <c r="J64" s="158">
        <v>8.6999999999999993</v>
      </c>
      <c r="K64" s="158">
        <v>0.17</v>
      </c>
      <c r="L64" s="158">
        <v>0.15</v>
      </c>
      <c r="M64" s="227"/>
      <c r="N64" s="156"/>
      <c r="O64" s="156"/>
    </row>
    <row r="65" spans="1:15" ht="10.95" customHeight="1" x14ac:dyDescent="0.3">
      <c r="A65" s="156" t="s">
        <v>553</v>
      </c>
      <c r="B65" s="155" t="s">
        <v>900</v>
      </c>
      <c r="C65" s="156">
        <v>0</v>
      </c>
      <c r="D65" s="156">
        <v>3</v>
      </c>
      <c r="E65" s="156">
        <v>3</v>
      </c>
      <c r="F65" s="156">
        <v>5</v>
      </c>
      <c r="G65" s="156">
        <v>0.15</v>
      </c>
      <c r="H65" s="156">
        <v>1.2</v>
      </c>
      <c r="I65" s="156">
        <v>0</v>
      </c>
      <c r="J65" s="156">
        <v>7.6999999999999993</v>
      </c>
      <c r="K65" s="156">
        <v>0.17</v>
      </c>
      <c r="L65" s="156">
        <v>0.15</v>
      </c>
      <c r="M65" s="227"/>
      <c r="N65" s="156"/>
      <c r="O65" s="156"/>
    </row>
    <row r="66" spans="1:15" ht="10.95" customHeight="1" x14ac:dyDescent="0.3">
      <c r="A66" s="156" t="s">
        <v>554</v>
      </c>
      <c r="B66" s="155" t="s">
        <v>722</v>
      </c>
      <c r="C66" s="156">
        <v>3</v>
      </c>
      <c r="D66" s="156">
        <v>47.239999999999995</v>
      </c>
      <c r="E66" s="156">
        <v>44.239999999999995</v>
      </c>
      <c r="F66" s="156">
        <v>5</v>
      </c>
      <c r="G66" s="156">
        <v>0.15</v>
      </c>
      <c r="H66" s="156">
        <v>1.2</v>
      </c>
      <c r="I66" s="156">
        <v>0</v>
      </c>
      <c r="J66" s="156">
        <v>7.6999999999999993</v>
      </c>
      <c r="K66" s="156">
        <v>0.17</v>
      </c>
      <c r="L66" s="156">
        <v>0.15</v>
      </c>
      <c r="M66" s="227"/>
      <c r="N66" s="156"/>
      <c r="O66" s="156"/>
    </row>
    <row r="67" spans="1:15" ht="10.95" customHeight="1" x14ac:dyDescent="0.3">
      <c r="A67" s="156" t="s">
        <v>555</v>
      </c>
      <c r="B67" s="155" t="s">
        <v>901</v>
      </c>
      <c r="C67" s="156">
        <v>47.239999999999995</v>
      </c>
      <c r="D67" s="156">
        <v>50.239999999999995</v>
      </c>
      <c r="E67" s="156">
        <v>3</v>
      </c>
      <c r="F67" s="156">
        <v>5</v>
      </c>
      <c r="G67" s="156">
        <v>0.15</v>
      </c>
      <c r="H67" s="156">
        <v>1.2</v>
      </c>
      <c r="I67" s="156">
        <v>0</v>
      </c>
      <c r="J67" s="156">
        <v>7.6999999999999993</v>
      </c>
      <c r="K67" s="156">
        <v>0.17</v>
      </c>
      <c r="L67" s="156">
        <v>0.15</v>
      </c>
      <c r="M67" s="227"/>
      <c r="N67" s="156"/>
      <c r="O67" s="156"/>
    </row>
    <row r="68" spans="1:15" ht="10.95" customHeight="1" x14ac:dyDescent="0.3">
      <c r="A68" s="158" t="s">
        <v>665</v>
      </c>
      <c r="B68" s="154" t="s">
        <v>1112</v>
      </c>
      <c r="C68" s="154"/>
      <c r="D68" s="154"/>
      <c r="E68" s="158">
        <v>50.239999999999995</v>
      </c>
      <c r="F68" s="158">
        <v>5</v>
      </c>
      <c r="G68" s="158">
        <v>0.15</v>
      </c>
      <c r="H68" s="158">
        <v>1.2</v>
      </c>
      <c r="I68" s="158">
        <v>0</v>
      </c>
      <c r="J68" s="158">
        <v>7.6999999999999993</v>
      </c>
      <c r="K68" s="158">
        <v>0.17</v>
      </c>
      <c r="L68" s="158">
        <v>0.15</v>
      </c>
      <c r="M68" s="227"/>
      <c r="N68" s="156"/>
      <c r="O68" s="156"/>
    </row>
    <row r="69" spans="1:15" ht="10.95" customHeight="1" x14ac:dyDescent="0.3">
      <c r="A69" s="156" t="s">
        <v>556</v>
      </c>
      <c r="B69" s="155" t="s">
        <v>902</v>
      </c>
      <c r="C69" s="156">
        <v>0</v>
      </c>
      <c r="D69" s="156">
        <v>3</v>
      </c>
      <c r="E69" s="156">
        <v>3</v>
      </c>
      <c r="F69" s="156">
        <v>5</v>
      </c>
      <c r="G69" s="156">
        <v>0.15</v>
      </c>
      <c r="H69" s="156">
        <v>1.2</v>
      </c>
      <c r="I69" s="156">
        <v>0</v>
      </c>
      <c r="J69" s="156">
        <v>7.6999999999999993</v>
      </c>
      <c r="K69" s="156">
        <v>0.17</v>
      </c>
      <c r="L69" s="156">
        <v>0.15</v>
      </c>
      <c r="M69" s="227"/>
      <c r="N69" s="156"/>
      <c r="O69" s="156"/>
    </row>
    <row r="70" spans="1:15" ht="10.95" customHeight="1" x14ac:dyDescent="0.3">
      <c r="A70" s="156" t="s">
        <v>557</v>
      </c>
      <c r="B70" s="155" t="s">
        <v>724</v>
      </c>
      <c r="C70" s="156">
        <v>3</v>
      </c>
      <c r="D70" s="156">
        <v>103.75</v>
      </c>
      <c r="E70" s="156">
        <v>100.75</v>
      </c>
      <c r="F70" s="156">
        <v>5</v>
      </c>
      <c r="G70" s="156">
        <v>0.15</v>
      </c>
      <c r="H70" s="156">
        <v>1.2</v>
      </c>
      <c r="I70" s="156">
        <v>0</v>
      </c>
      <c r="J70" s="156">
        <v>7.6999999999999993</v>
      </c>
      <c r="K70" s="156">
        <v>0.17</v>
      </c>
      <c r="L70" s="156">
        <v>0.15</v>
      </c>
      <c r="M70" s="227"/>
      <c r="N70" s="156"/>
      <c r="O70" s="156"/>
    </row>
    <row r="71" spans="1:15" ht="10.95" customHeight="1" x14ac:dyDescent="0.3">
      <c r="A71" s="156" t="s">
        <v>558</v>
      </c>
      <c r="B71" s="155" t="s">
        <v>903</v>
      </c>
      <c r="C71" s="156">
        <v>103.75</v>
      </c>
      <c r="D71" s="156">
        <v>117.28999999999999</v>
      </c>
      <c r="E71" s="156">
        <v>13.54</v>
      </c>
      <c r="F71" s="156">
        <v>6</v>
      </c>
      <c r="G71" s="156">
        <v>0.15</v>
      </c>
      <c r="H71" s="156">
        <v>1.2</v>
      </c>
      <c r="I71" s="156">
        <v>0</v>
      </c>
      <c r="J71" s="156">
        <v>8.6999999999999993</v>
      </c>
      <c r="K71" s="156">
        <v>0.17</v>
      </c>
      <c r="L71" s="156">
        <v>0.15</v>
      </c>
      <c r="M71" s="227"/>
      <c r="N71" s="156"/>
      <c r="O71" s="156"/>
    </row>
    <row r="72" spans="1:15" ht="10.95" customHeight="1" x14ac:dyDescent="0.3">
      <c r="A72" s="156" t="s">
        <v>559</v>
      </c>
      <c r="B72" s="155" t="s">
        <v>725</v>
      </c>
      <c r="C72" s="156">
        <v>117.28999999999999</v>
      </c>
      <c r="D72" s="156">
        <v>189.69</v>
      </c>
      <c r="E72" s="156">
        <v>72.400000000000006</v>
      </c>
      <c r="F72" s="156">
        <v>6</v>
      </c>
      <c r="G72" s="156">
        <v>0.15</v>
      </c>
      <c r="H72" s="156">
        <v>1.2</v>
      </c>
      <c r="I72" s="156">
        <v>0</v>
      </c>
      <c r="J72" s="156">
        <v>8.6999999999999993</v>
      </c>
      <c r="K72" s="156">
        <v>0.17</v>
      </c>
      <c r="L72" s="156">
        <v>0.15</v>
      </c>
      <c r="M72" s="227"/>
      <c r="N72" s="156"/>
      <c r="O72" s="156"/>
    </row>
    <row r="73" spans="1:15" ht="10.95" customHeight="1" x14ac:dyDescent="0.3">
      <c r="A73" s="156" t="s">
        <v>560</v>
      </c>
      <c r="B73" s="155" t="s">
        <v>904</v>
      </c>
      <c r="C73" s="156">
        <v>189.69</v>
      </c>
      <c r="D73" s="156">
        <v>208.22</v>
      </c>
      <c r="E73" s="156">
        <v>18.53</v>
      </c>
      <c r="F73" s="156">
        <v>6</v>
      </c>
      <c r="G73" s="156">
        <v>0.15</v>
      </c>
      <c r="H73" s="156">
        <v>1.2</v>
      </c>
      <c r="I73" s="156">
        <v>0</v>
      </c>
      <c r="J73" s="156">
        <v>8.6999999999999993</v>
      </c>
      <c r="K73" s="156">
        <v>0.17</v>
      </c>
      <c r="L73" s="156">
        <v>0.15</v>
      </c>
      <c r="M73" s="227"/>
      <c r="N73" s="156"/>
      <c r="O73" s="156"/>
    </row>
    <row r="74" spans="1:15" ht="10.95" customHeight="1" x14ac:dyDescent="0.3">
      <c r="A74" s="156" t="s">
        <v>561</v>
      </c>
      <c r="B74" s="155" t="s">
        <v>726</v>
      </c>
      <c r="C74" s="156">
        <v>208.22</v>
      </c>
      <c r="D74" s="156">
        <v>265.17</v>
      </c>
      <c r="E74" s="156">
        <v>56.95</v>
      </c>
      <c r="F74" s="156">
        <v>6</v>
      </c>
      <c r="G74" s="156">
        <v>0.15</v>
      </c>
      <c r="H74" s="156">
        <v>1.2</v>
      </c>
      <c r="I74" s="156">
        <v>0</v>
      </c>
      <c r="J74" s="156">
        <v>8.6999999999999993</v>
      </c>
      <c r="K74" s="156">
        <v>0.17</v>
      </c>
      <c r="L74" s="156">
        <v>0.15</v>
      </c>
      <c r="M74" s="227"/>
      <c r="N74" s="156"/>
      <c r="O74" s="156"/>
    </row>
    <row r="75" spans="1:15" ht="10.95" customHeight="1" x14ac:dyDescent="0.3">
      <c r="A75" s="156" t="s">
        <v>562</v>
      </c>
      <c r="B75" s="155" t="s">
        <v>905</v>
      </c>
      <c r="C75" s="156">
        <v>265.17</v>
      </c>
      <c r="D75" s="156">
        <v>279.57</v>
      </c>
      <c r="E75" s="156">
        <v>14.4</v>
      </c>
      <c r="F75" s="156">
        <v>6</v>
      </c>
      <c r="G75" s="156">
        <v>0.15</v>
      </c>
      <c r="H75" s="156">
        <v>1.2</v>
      </c>
      <c r="I75" s="156">
        <v>0</v>
      </c>
      <c r="J75" s="156">
        <v>8.6999999999999993</v>
      </c>
      <c r="K75" s="156">
        <v>0.17</v>
      </c>
      <c r="L75" s="156">
        <v>0.15</v>
      </c>
      <c r="M75" s="227"/>
      <c r="N75" s="156"/>
      <c r="O75" s="156"/>
    </row>
    <row r="76" spans="1:15" ht="10.95" customHeight="1" x14ac:dyDescent="0.3">
      <c r="A76" s="156" t="s">
        <v>563</v>
      </c>
      <c r="B76" s="155" t="s">
        <v>727</v>
      </c>
      <c r="C76" s="156">
        <v>279.57</v>
      </c>
      <c r="D76" s="156">
        <v>336.90999999999997</v>
      </c>
      <c r="E76" s="156">
        <v>57.339999999999996</v>
      </c>
      <c r="F76" s="156">
        <v>6</v>
      </c>
      <c r="G76" s="156">
        <v>0.15</v>
      </c>
      <c r="H76" s="156">
        <v>1.2</v>
      </c>
      <c r="I76" s="156">
        <v>0</v>
      </c>
      <c r="J76" s="156">
        <v>8.6999999999999993</v>
      </c>
      <c r="K76" s="156">
        <v>0.17</v>
      </c>
      <c r="L76" s="156">
        <v>0.15</v>
      </c>
      <c r="M76" s="227"/>
      <c r="N76" s="156"/>
      <c r="O76" s="156"/>
    </row>
    <row r="77" spans="1:15" ht="10.95" customHeight="1" x14ac:dyDescent="0.3">
      <c r="A77" s="156" t="s">
        <v>564</v>
      </c>
      <c r="B77" s="155" t="s">
        <v>906</v>
      </c>
      <c r="C77" s="156">
        <v>336.90999999999997</v>
      </c>
      <c r="D77" s="156">
        <v>339.90999999999997</v>
      </c>
      <c r="E77" s="156">
        <v>3</v>
      </c>
      <c r="F77" s="156">
        <v>6</v>
      </c>
      <c r="G77" s="156">
        <v>0.15</v>
      </c>
      <c r="H77" s="156">
        <v>1.2</v>
      </c>
      <c r="I77" s="156">
        <v>0</v>
      </c>
      <c r="J77" s="156">
        <v>8.6999999999999993</v>
      </c>
      <c r="K77" s="156">
        <v>0.17</v>
      </c>
      <c r="L77" s="156">
        <v>0.15</v>
      </c>
      <c r="M77" s="227"/>
      <c r="N77" s="156"/>
      <c r="O77" s="156"/>
    </row>
    <row r="78" spans="1:15" ht="10.95" customHeight="1" x14ac:dyDescent="0.3">
      <c r="A78" s="158" t="s">
        <v>667</v>
      </c>
      <c r="B78" s="154" t="s">
        <v>728</v>
      </c>
      <c r="C78" s="154"/>
      <c r="D78" s="154"/>
      <c r="E78" s="158">
        <v>339.90999999999997</v>
      </c>
      <c r="F78" s="158">
        <v>6</v>
      </c>
      <c r="G78" s="158">
        <v>0.15</v>
      </c>
      <c r="H78" s="158">
        <v>1.2</v>
      </c>
      <c r="I78" s="158">
        <v>0</v>
      </c>
      <c r="J78" s="158">
        <v>8.6999999999999993</v>
      </c>
      <c r="K78" s="156">
        <v>0.17</v>
      </c>
      <c r="L78" s="158">
        <v>0.15</v>
      </c>
      <c r="M78" s="227"/>
      <c r="N78" s="156"/>
      <c r="O78" s="156"/>
    </row>
    <row r="79" spans="1:15" ht="10.95" customHeight="1" x14ac:dyDescent="0.3">
      <c r="A79" s="158" t="s">
        <v>666</v>
      </c>
      <c r="B79" s="154" t="s">
        <v>729</v>
      </c>
      <c r="C79" s="154"/>
      <c r="D79" s="154"/>
      <c r="E79" s="274">
        <v>1122.21</v>
      </c>
      <c r="F79" s="156">
        <v>6</v>
      </c>
      <c r="G79" s="156">
        <v>0.15</v>
      </c>
      <c r="H79" s="156">
        <v>1.2</v>
      </c>
      <c r="I79" s="156">
        <v>0</v>
      </c>
      <c r="J79" s="156">
        <v>8.6999999999999993</v>
      </c>
      <c r="K79" s="156">
        <v>0.17</v>
      </c>
      <c r="L79" s="156">
        <v>0.15</v>
      </c>
      <c r="M79" s="227"/>
      <c r="N79" s="156"/>
      <c r="O79" s="156">
        <f>+E79+E46+E132</f>
        <v>3402.45</v>
      </c>
    </row>
    <row r="80" spans="1:15" ht="10.95" customHeight="1" x14ac:dyDescent="0.3">
      <c r="A80" s="156" t="s">
        <v>565</v>
      </c>
      <c r="B80" s="155" t="s">
        <v>908</v>
      </c>
      <c r="C80" s="156">
        <v>0</v>
      </c>
      <c r="D80" s="156">
        <v>3</v>
      </c>
      <c r="E80" s="156">
        <v>3</v>
      </c>
      <c r="F80" s="156">
        <v>5</v>
      </c>
      <c r="G80" s="156">
        <v>0.15</v>
      </c>
      <c r="H80" s="156">
        <v>1.2</v>
      </c>
      <c r="I80" s="156">
        <v>0</v>
      </c>
      <c r="J80" s="156">
        <v>7.6999999999999993</v>
      </c>
      <c r="K80" s="156">
        <v>0.17</v>
      </c>
      <c r="L80" s="156">
        <v>0.15</v>
      </c>
      <c r="M80" s="227"/>
      <c r="N80" s="156"/>
      <c r="O80" s="156"/>
    </row>
    <row r="81" spans="1:15" ht="10.95" customHeight="1" x14ac:dyDescent="0.3">
      <c r="A81" s="156" t="s">
        <v>566</v>
      </c>
      <c r="B81" s="155" t="s">
        <v>835</v>
      </c>
      <c r="C81" s="156">
        <v>3</v>
      </c>
      <c r="D81" s="156">
        <v>74.13</v>
      </c>
      <c r="E81" s="156">
        <v>71.13</v>
      </c>
      <c r="F81" s="156">
        <v>5</v>
      </c>
      <c r="G81" s="156">
        <v>0.15</v>
      </c>
      <c r="H81" s="156">
        <v>1.2</v>
      </c>
      <c r="I81" s="156">
        <v>0</v>
      </c>
      <c r="J81" s="156">
        <v>7.6999999999999993</v>
      </c>
      <c r="K81" s="156">
        <v>0.17</v>
      </c>
      <c r="L81" s="156">
        <v>0.15</v>
      </c>
      <c r="M81" s="227"/>
      <c r="N81" s="156"/>
      <c r="O81" s="156"/>
    </row>
    <row r="82" spans="1:15" ht="10.95" customHeight="1" x14ac:dyDescent="0.3">
      <c r="A82" s="156" t="s">
        <v>567</v>
      </c>
      <c r="B82" s="155" t="s">
        <v>907</v>
      </c>
      <c r="C82" s="156">
        <v>74.13</v>
      </c>
      <c r="D82" s="156">
        <v>86.16</v>
      </c>
      <c r="E82" s="156">
        <v>12.03</v>
      </c>
      <c r="F82" s="156">
        <v>5</v>
      </c>
      <c r="G82" s="156">
        <v>0.15</v>
      </c>
      <c r="H82" s="156">
        <v>1.2</v>
      </c>
      <c r="I82" s="156">
        <v>0</v>
      </c>
      <c r="J82" s="156">
        <v>7.6999999999999993</v>
      </c>
      <c r="K82" s="156">
        <v>0.17</v>
      </c>
      <c r="L82" s="156">
        <v>0.15</v>
      </c>
      <c r="M82" s="227"/>
      <c r="N82" s="156"/>
      <c r="O82" s="156"/>
    </row>
    <row r="83" spans="1:15" ht="10.95" customHeight="1" x14ac:dyDescent="0.3">
      <c r="A83" s="156" t="s">
        <v>568</v>
      </c>
      <c r="B83" s="155" t="s">
        <v>836</v>
      </c>
      <c r="C83" s="156">
        <v>86.16</v>
      </c>
      <c r="D83" s="156">
        <v>161.07</v>
      </c>
      <c r="E83" s="156">
        <v>74.91</v>
      </c>
      <c r="F83" s="156">
        <v>5</v>
      </c>
      <c r="G83" s="156">
        <v>0.15</v>
      </c>
      <c r="H83" s="156">
        <v>1.2</v>
      </c>
      <c r="I83" s="156">
        <v>0</v>
      </c>
      <c r="J83" s="156">
        <v>7.6999999999999993</v>
      </c>
      <c r="K83" s="156">
        <v>0.17</v>
      </c>
      <c r="L83" s="156">
        <v>0.15</v>
      </c>
      <c r="M83" s="227"/>
      <c r="N83" s="156"/>
      <c r="O83" s="156"/>
    </row>
    <row r="84" spans="1:15" ht="10.95" customHeight="1" x14ac:dyDescent="0.3">
      <c r="A84" s="156" t="s">
        <v>569</v>
      </c>
      <c r="B84" s="155" t="s">
        <v>909</v>
      </c>
      <c r="C84" s="156">
        <v>161.07</v>
      </c>
      <c r="D84" s="156">
        <v>164.07</v>
      </c>
      <c r="E84" s="156">
        <v>3</v>
      </c>
      <c r="F84" s="156">
        <v>5</v>
      </c>
      <c r="G84" s="156">
        <v>0.15</v>
      </c>
      <c r="H84" s="156">
        <v>1.2</v>
      </c>
      <c r="I84" s="156">
        <v>0</v>
      </c>
      <c r="J84" s="156">
        <v>7.6999999999999993</v>
      </c>
      <c r="K84" s="156">
        <v>0.17</v>
      </c>
      <c r="L84" s="156">
        <v>0.15</v>
      </c>
      <c r="M84" s="227"/>
      <c r="N84" s="156"/>
      <c r="O84" s="156"/>
    </row>
    <row r="85" spans="1:15" ht="10.95" customHeight="1" x14ac:dyDescent="0.3">
      <c r="A85" s="158" t="s">
        <v>668</v>
      </c>
      <c r="B85" s="154" t="s">
        <v>838</v>
      </c>
      <c r="C85" s="154"/>
      <c r="D85" s="154"/>
      <c r="E85" s="158">
        <v>164.07</v>
      </c>
      <c r="F85" s="158">
        <v>5</v>
      </c>
      <c r="G85" s="158">
        <v>0.15</v>
      </c>
      <c r="H85" s="158">
        <v>1.2</v>
      </c>
      <c r="I85" s="158">
        <v>0</v>
      </c>
      <c r="J85" s="158">
        <v>7.6999999999999993</v>
      </c>
      <c r="K85" s="156">
        <v>0.17</v>
      </c>
      <c r="L85" s="158">
        <v>0.15</v>
      </c>
      <c r="M85" s="227"/>
      <c r="N85" s="156"/>
      <c r="O85" s="156"/>
    </row>
    <row r="86" spans="1:15" ht="10.95" customHeight="1" x14ac:dyDescent="0.3">
      <c r="A86" s="156" t="s">
        <v>570</v>
      </c>
      <c r="B86" s="155" t="s">
        <v>910</v>
      </c>
      <c r="C86" s="156">
        <v>0</v>
      </c>
      <c r="D86" s="156">
        <v>3</v>
      </c>
      <c r="E86" s="156">
        <v>3</v>
      </c>
      <c r="F86" s="156">
        <v>5</v>
      </c>
      <c r="G86" s="156">
        <v>0.15</v>
      </c>
      <c r="H86" s="156">
        <v>1.2</v>
      </c>
      <c r="I86" s="156">
        <v>0</v>
      </c>
      <c r="J86" s="156">
        <v>7.6999999999999993</v>
      </c>
      <c r="K86" s="156">
        <v>0.17</v>
      </c>
      <c r="L86" s="156">
        <v>0.15</v>
      </c>
      <c r="M86" s="227"/>
      <c r="N86" s="156"/>
      <c r="O86" s="156"/>
    </row>
    <row r="87" spans="1:15" ht="10.95" customHeight="1" x14ac:dyDescent="0.3">
      <c r="A87" s="156" t="s">
        <v>571</v>
      </c>
      <c r="B87" s="155" t="s">
        <v>839</v>
      </c>
      <c r="C87" s="156">
        <v>3</v>
      </c>
      <c r="D87" s="156">
        <v>72.63</v>
      </c>
      <c r="E87" s="156">
        <v>69.63</v>
      </c>
      <c r="F87" s="156">
        <v>5</v>
      </c>
      <c r="G87" s="156">
        <v>0.15</v>
      </c>
      <c r="H87" s="156">
        <v>1.2</v>
      </c>
      <c r="I87" s="156">
        <v>0</v>
      </c>
      <c r="J87" s="156">
        <v>8.6999999999999993</v>
      </c>
      <c r="K87" s="156">
        <v>0.17</v>
      </c>
      <c r="L87" s="156">
        <v>0.15</v>
      </c>
      <c r="M87" s="227"/>
      <c r="N87" s="156"/>
      <c r="O87" s="156"/>
    </row>
    <row r="88" spans="1:15" ht="10.95" customHeight="1" x14ac:dyDescent="0.3">
      <c r="A88" s="156" t="s">
        <v>572</v>
      </c>
      <c r="B88" s="155" t="s">
        <v>911</v>
      </c>
      <c r="C88" s="156">
        <v>72.63</v>
      </c>
      <c r="D88" s="156">
        <v>75.63</v>
      </c>
      <c r="E88" s="156">
        <v>3</v>
      </c>
      <c r="F88" s="156">
        <v>5</v>
      </c>
      <c r="G88" s="156">
        <v>0.15</v>
      </c>
      <c r="H88" s="156">
        <v>1.2</v>
      </c>
      <c r="I88" s="156">
        <v>0</v>
      </c>
      <c r="J88" s="156">
        <v>8.6999999999999993</v>
      </c>
      <c r="K88" s="156">
        <v>0.17</v>
      </c>
      <c r="L88" s="156">
        <v>0.15</v>
      </c>
      <c r="M88" s="227"/>
      <c r="N88" s="156"/>
      <c r="O88" s="156"/>
    </row>
    <row r="89" spans="1:15" ht="10.95" customHeight="1" x14ac:dyDescent="0.3">
      <c r="A89" s="158" t="s">
        <v>669</v>
      </c>
      <c r="B89" s="154" t="s">
        <v>840</v>
      </c>
      <c r="C89" s="154"/>
      <c r="D89" s="154"/>
      <c r="E89" s="158">
        <v>75.63</v>
      </c>
      <c r="F89" s="158">
        <v>5</v>
      </c>
      <c r="G89" s="158">
        <v>0.15</v>
      </c>
      <c r="H89" s="158">
        <v>1.2</v>
      </c>
      <c r="I89" s="158">
        <v>0</v>
      </c>
      <c r="J89" s="158">
        <v>8.6999999999999993</v>
      </c>
      <c r="K89" s="156">
        <v>0.17</v>
      </c>
      <c r="L89" s="158">
        <v>0.15</v>
      </c>
      <c r="M89" s="227"/>
      <c r="N89" s="156"/>
      <c r="O89" s="156"/>
    </row>
    <row r="90" spans="1:15" ht="10.95" customHeight="1" x14ac:dyDescent="0.3">
      <c r="A90" s="156" t="s">
        <v>573</v>
      </c>
      <c r="B90" s="155" t="s">
        <v>912</v>
      </c>
      <c r="C90" s="156">
        <v>0</v>
      </c>
      <c r="D90" s="156">
        <v>3</v>
      </c>
      <c r="E90" s="156">
        <v>3</v>
      </c>
      <c r="F90" s="156">
        <v>3.5</v>
      </c>
      <c r="G90" s="156">
        <v>0.15</v>
      </c>
      <c r="H90" s="156">
        <v>1.2</v>
      </c>
      <c r="I90" s="156">
        <v>0</v>
      </c>
      <c r="J90" s="156">
        <v>8.6999999999999993</v>
      </c>
      <c r="K90" s="156">
        <v>0.17</v>
      </c>
      <c r="L90" s="156">
        <v>0.15</v>
      </c>
      <c r="M90" s="227"/>
      <c r="N90" s="156"/>
      <c r="O90" s="156"/>
    </row>
    <row r="91" spans="1:15" ht="10.95" customHeight="1" x14ac:dyDescent="0.3">
      <c r="A91" s="156" t="s">
        <v>574</v>
      </c>
      <c r="B91" s="155" t="s">
        <v>841</v>
      </c>
      <c r="C91" s="156">
        <v>3</v>
      </c>
      <c r="D91" s="156">
        <v>66.64</v>
      </c>
      <c r="E91" s="156">
        <v>63.64</v>
      </c>
      <c r="F91" s="156">
        <v>3.5</v>
      </c>
      <c r="G91" s="156">
        <v>0.15</v>
      </c>
      <c r="H91" s="156">
        <v>1.2</v>
      </c>
      <c r="I91" s="156">
        <v>0</v>
      </c>
      <c r="J91" s="156">
        <v>8.6999999999999993</v>
      </c>
      <c r="K91" s="156">
        <v>0.17</v>
      </c>
      <c r="L91" s="156">
        <v>0.15</v>
      </c>
      <c r="M91" s="227"/>
      <c r="N91" s="156"/>
      <c r="O91" s="156"/>
    </row>
    <row r="92" spans="1:15" ht="10.95" customHeight="1" x14ac:dyDescent="0.3">
      <c r="A92" s="156" t="s">
        <v>575</v>
      </c>
      <c r="B92" s="155" t="s">
        <v>913</v>
      </c>
      <c r="C92" s="156">
        <v>66.64</v>
      </c>
      <c r="D92" s="156">
        <v>69.64</v>
      </c>
      <c r="E92" s="156">
        <v>3</v>
      </c>
      <c r="F92" s="156">
        <v>3.5</v>
      </c>
      <c r="G92" s="156">
        <v>0.15</v>
      </c>
      <c r="H92" s="156">
        <v>1.2</v>
      </c>
      <c r="I92" s="156">
        <v>0</v>
      </c>
      <c r="J92" s="156">
        <v>8.6999999999999993</v>
      </c>
      <c r="K92" s="156">
        <v>0.17</v>
      </c>
      <c r="L92" s="156">
        <v>0.15</v>
      </c>
      <c r="M92" s="227"/>
      <c r="N92" s="156"/>
      <c r="O92" s="156"/>
    </row>
    <row r="93" spans="1:15" ht="10.95" customHeight="1" x14ac:dyDescent="0.3">
      <c r="A93" s="158" t="s">
        <v>670</v>
      </c>
      <c r="B93" s="154" t="s">
        <v>842</v>
      </c>
      <c r="C93" s="154"/>
      <c r="D93" s="154"/>
      <c r="E93" s="158">
        <v>69.64</v>
      </c>
      <c r="F93" s="158">
        <v>3.5</v>
      </c>
      <c r="G93" s="158">
        <v>0.15</v>
      </c>
      <c r="H93" s="158">
        <v>1.2</v>
      </c>
      <c r="I93" s="158">
        <v>0</v>
      </c>
      <c r="J93" s="158">
        <v>8.6999999999999993</v>
      </c>
      <c r="K93" s="156">
        <v>0.17</v>
      </c>
      <c r="L93" s="158">
        <v>0.15</v>
      </c>
      <c r="M93" s="227"/>
      <c r="N93" s="156"/>
      <c r="O93" s="156"/>
    </row>
    <row r="94" spans="1:15" ht="10.95" customHeight="1" x14ac:dyDescent="0.3">
      <c r="A94" s="156" t="s">
        <v>576</v>
      </c>
      <c r="B94" s="155" t="s">
        <v>837</v>
      </c>
      <c r="C94" s="156">
        <v>0</v>
      </c>
      <c r="D94" s="156">
        <v>3</v>
      </c>
      <c r="E94" s="156">
        <v>3</v>
      </c>
      <c r="F94" s="156">
        <v>3.5</v>
      </c>
      <c r="G94" s="156">
        <v>0.15</v>
      </c>
      <c r="H94" s="156">
        <v>1.2</v>
      </c>
      <c r="I94" s="156">
        <v>0</v>
      </c>
      <c r="J94" s="156">
        <v>8.6999999999999993</v>
      </c>
      <c r="K94" s="156">
        <v>0.17</v>
      </c>
      <c r="L94" s="156">
        <v>0.15</v>
      </c>
      <c r="M94" s="227"/>
      <c r="N94" s="156"/>
      <c r="O94" s="156"/>
    </row>
    <row r="95" spans="1:15" ht="10.95" customHeight="1" x14ac:dyDescent="0.3">
      <c r="A95" s="156" t="s">
        <v>577</v>
      </c>
      <c r="B95" s="155" t="s">
        <v>843</v>
      </c>
      <c r="C95" s="156">
        <v>3</v>
      </c>
      <c r="D95" s="156">
        <v>57.67</v>
      </c>
      <c r="E95" s="156">
        <v>54.67</v>
      </c>
      <c r="F95" s="156">
        <v>3.5</v>
      </c>
      <c r="G95" s="156">
        <v>0.15</v>
      </c>
      <c r="H95" s="156">
        <v>1.2</v>
      </c>
      <c r="I95" s="156">
        <v>0</v>
      </c>
      <c r="J95" s="156">
        <v>8.6999999999999993</v>
      </c>
      <c r="K95" s="156">
        <v>0.17</v>
      </c>
      <c r="L95" s="156">
        <v>0.15</v>
      </c>
      <c r="M95" s="227"/>
      <c r="N95" s="156"/>
      <c r="O95" s="156"/>
    </row>
    <row r="96" spans="1:15" ht="10.95" customHeight="1" x14ac:dyDescent="0.3">
      <c r="A96" s="156" t="s">
        <v>578</v>
      </c>
      <c r="B96" s="155" t="s">
        <v>915</v>
      </c>
      <c r="C96" s="156">
        <v>57.67</v>
      </c>
      <c r="D96" s="156">
        <v>60.67</v>
      </c>
      <c r="E96" s="156">
        <v>3</v>
      </c>
      <c r="F96" s="156">
        <v>3.5</v>
      </c>
      <c r="G96" s="156">
        <v>0.15</v>
      </c>
      <c r="H96" s="156">
        <v>1.2</v>
      </c>
      <c r="I96" s="156">
        <v>0</v>
      </c>
      <c r="J96" s="156">
        <v>8.6999999999999993</v>
      </c>
      <c r="K96" s="156">
        <v>0.17</v>
      </c>
      <c r="L96" s="156">
        <v>0.15</v>
      </c>
      <c r="M96" s="227"/>
      <c r="N96" s="156"/>
      <c r="O96" s="156"/>
    </row>
    <row r="97" spans="1:15" ht="10.95" customHeight="1" x14ac:dyDescent="0.3">
      <c r="A97" s="158" t="s">
        <v>671</v>
      </c>
      <c r="B97" s="154" t="s">
        <v>914</v>
      </c>
      <c r="C97" s="154"/>
      <c r="D97" s="154"/>
      <c r="E97" s="158">
        <v>60.67</v>
      </c>
      <c r="F97" s="158">
        <v>3.5</v>
      </c>
      <c r="G97" s="158">
        <v>0.15</v>
      </c>
      <c r="H97" s="158">
        <v>1.2</v>
      </c>
      <c r="I97" s="158">
        <v>0</v>
      </c>
      <c r="J97" s="158">
        <v>8.6999999999999993</v>
      </c>
      <c r="K97" s="156">
        <v>0.17</v>
      </c>
      <c r="L97" s="158">
        <v>0.15</v>
      </c>
      <c r="M97" s="227"/>
      <c r="N97" s="156"/>
      <c r="O97" s="156"/>
    </row>
    <row r="98" spans="1:15" ht="10.95" customHeight="1" x14ac:dyDescent="0.3">
      <c r="A98" s="156" t="s">
        <v>579</v>
      </c>
      <c r="B98" s="155" t="s">
        <v>916</v>
      </c>
      <c r="C98" s="156">
        <v>0</v>
      </c>
      <c r="D98" s="156">
        <v>3</v>
      </c>
      <c r="E98" s="156">
        <v>3</v>
      </c>
      <c r="F98" s="156">
        <v>6</v>
      </c>
      <c r="G98" s="156">
        <v>0.15</v>
      </c>
      <c r="H98" s="156">
        <v>1.2</v>
      </c>
      <c r="I98" s="156">
        <v>0</v>
      </c>
      <c r="J98" s="156">
        <v>8.6999999999999993</v>
      </c>
      <c r="K98" s="156">
        <v>0.17</v>
      </c>
      <c r="L98" s="156">
        <v>0.15</v>
      </c>
      <c r="M98" s="227"/>
      <c r="N98" s="156"/>
      <c r="O98" s="156"/>
    </row>
    <row r="99" spans="1:15" ht="10.95" customHeight="1" x14ac:dyDescent="0.3">
      <c r="A99" s="156" t="s">
        <v>580</v>
      </c>
      <c r="B99" s="155" t="s">
        <v>845</v>
      </c>
      <c r="C99" s="156">
        <v>3</v>
      </c>
      <c r="D99" s="156">
        <v>70</v>
      </c>
      <c r="E99" s="156">
        <v>67</v>
      </c>
      <c r="F99" s="156">
        <v>6</v>
      </c>
      <c r="G99" s="156">
        <v>0.15</v>
      </c>
      <c r="H99" s="156">
        <v>1.2</v>
      </c>
      <c r="I99" s="156">
        <v>0</v>
      </c>
      <c r="J99" s="156">
        <v>8.6999999999999993</v>
      </c>
      <c r="K99" s="156">
        <v>0.17</v>
      </c>
      <c r="L99" s="156">
        <v>0.15</v>
      </c>
      <c r="M99" s="227"/>
      <c r="N99" s="156"/>
      <c r="O99" s="156"/>
    </row>
    <row r="100" spans="1:15" ht="10.95" customHeight="1" x14ac:dyDescent="0.3">
      <c r="A100" s="156" t="s">
        <v>581</v>
      </c>
      <c r="B100" s="155" t="s">
        <v>917</v>
      </c>
      <c r="C100" s="156">
        <v>70</v>
      </c>
      <c r="D100" s="156">
        <v>84</v>
      </c>
      <c r="E100" s="156">
        <v>14</v>
      </c>
      <c r="F100" s="156">
        <v>6</v>
      </c>
      <c r="G100" s="156">
        <v>0.15</v>
      </c>
      <c r="H100" s="156">
        <v>1.2</v>
      </c>
      <c r="I100" s="156">
        <v>0</v>
      </c>
      <c r="J100" s="156">
        <v>8.6999999999999993</v>
      </c>
      <c r="K100" s="156">
        <v>0.17</v>
      </c>
      <c r="L100" s="156">
        <v>0.15</v>
      </c>
      <c r="M100" s="227"/>
      <c r="N100" s="156"/>
      <c r="O100" s="156"/>
    </row>
    <row r="101" spans="1:15" ht="10.95" customHeight="1" x14ac:dyDescent="0.3">
      <c r="A101" s="156" t="s">
        <v>582</v>
      </c>
      <c r="B101" s="155" t="s">
        <v>844</v>
      </c>
      <c r="C101" s="156">
        <v>84</v>
      </c>
      <c r="D101" s="156">
        <v>133.30000000000001</v>
      </c>
      <c r="E101" s="156">
        <v>49.3</v>
      </c>
      <c r="F101" s="156">
        <v>6</v>
      </c>
      <c r="G101" s="156">
        <v>0.15</v>
      </c>
      <c r="H101" s="156">
        <v>1.2</v>
      </c>
      <c r="I101" s="156">
        <v>0</v>
      </c>
      <c r="J101" s="156">
        <v>8.6999999999999993</v>
      </c>
      <c r="K101" s="156">
        <v>0.17</v>
      </c>
      <c r="L101" s="156">
        <v>0.15</v>
      </c>
      <c r="M101" s="227"/>
      <c r="N101" s="156"/>
      <c r="O101" s="156"/>
    </row>
    <row r="102" spans="1:15" ht="10.95" customHeight="1" x14ac:dyDescent="0.3">
      <c r="A102" s="156" t="s">
        <v>583</v>
      </c>
      <c r="B102" s="155" t="s">
        <v>918</v>
      </c>
      <c r="C102" s="156">
        <v>133.30000000000001</v>
      </c>
      <c r="D102" s="156">
        <v>146.48000000000002</v>
      </c>
      <c r="E102" s="156">
        <v>13.18</v>
      </c>
      <c r="F102" s="156">
        <v>6</v>
      </c>
      <c r="G102" s="156">
        <v>0.15</v>
      </c>
      <c r="H102" s="156">
        <v>1.2</v>
      </c>
      <c r="I102" s="156">
        <v>0</v>
      </c>
      <c r="J102" s="156">
        <v>8.6999999999999993</v>
      </c>
      <c r="K102" s="156">
        <v>0.17</v>
      </c>
      <c r="L102" s="156">
        <v>0.15</v>
      </c>
      <c r="M102" s="227"/>
      <c r="N102" s="156"/>
      <c r="O102" s="156"/>
    </row>
    <row r="103" spans="1:15" ht="10.95" customHeight="1" x14ac:dyDescent="0.3">
      <c r="A103" s="156" t="s">
        <v>584</v>
      </c>
      <c r="B103" s="155" t="s">
        <v>846</v>
      </c>
      <c r="C103" s="156">
        <v>146.48000000000002</v>
      </c>
      <c r="D103" s="156">
        <v>296.48</v>
      </c>
      <c r="E103" s="156">
        <v>150</v>
      </c>
      <c r="F103" s="156">
        <v>6</v>
      </c>
      <c r="G103" s="156">
        <v>0.15</v>
      </c>
      <c r="H103" s="156">
        <v>1.2</v>
      </c>
      <c r="I103" s="156">
        <v>0</v>
      </c>
      <c r="J103" s="156">
        <v>8.6999999999999993</v>
      </c>
      <c r="K103" s="156">
        <v>0.17</v>
      </c>
      <c r="L103" s="156">
        <v>0.15</v>
      </c>
      <c r="M103" s="227"/>
      <c r="N103" s="156"/>
      <c r="O103" s="156"/>
    </row>
    <row r="104" spans="1:15" ht="10.95" customHeight="1" x14ac:dyDescent="0.3">
      <c r="A104" s="156" t="s">
        <v>585</v>
      </c>
      <c r="B104" s="155" t="s">
        <v>919</v>
      </c>
      <c r="C104" s="156">
        <v>296.48</v>
      </c>
      <c r="D104" s="156">
        <v>299.48</v>
      </c>
      <c r="E104" s="156">
        <v>3</v>
      </c>
      <c r="F104" s="156">
        <v>6</v>
      </c>
      <c r="G104" s="156">
        <v>0.15</v>
      </c>
      <c r="H104" s="156">
        <v>1.2</v>
      </c>
      <c r="I104" s="156">
        <v>0</v>
      </c>
      <c r="J104" s="156">
        <v>8.6999999999999993</v>
      </c>
      <c r="K104" s="156">
        <v>0.17</v>
      </c>
      <c r="L104" s="156">
        <v>0.15</v>
      </c>
      <c r="M104" s="227"/>
      <c r="N104" s="156"/>
      <c r="O104" s="156"/>
    </row>
    <row r="105" spans="1:15" ht="10.95" customHeight="1" x14ac:dyDescent="0.3">
      <c r="A105" s="158" t="s">
        <v>680</v>
      </c>
      <c r="B105" s="154" t="s">
        <v>1048</v>
      </c>
      <c r="C105" s="154"/>
      <c r="D105" s="154"/>
      <c r="E105" s="158">
        <v>299.48</v>
      </c>
      <c r="F105" s="158">
        <v>6</v>
      </c>
      <c r="G105" s="158">
        <v>0.15</v>
      </c>
      <c r="H105" s="158">
        <v>1.2</v>
      </c>
      <c r="I105" s="158">
        <v>0</v>
      </c>
      <c r="J105" s="158">
        <v>8.6999999999999993</v>
      </c>
      <c r="K105" s="156">
        <v>0.17</v>
      </c>
      <c r="L105" s="158">
        <v>0.15</v>
      </c>
      <c r="M105" s="227"/>
      <c r="N105" s="156"/>
      <c r="O105" s="156"/>
    </row>
    <row r="106" spans="1:15" ht="10.95" customHeight="1" x14ac:dyDescent="0.3">
      <c r="A106" s="156" t="s">
        <v>586</v>
      </c>
      <c r="B106" s="155" t="s">
        <v>920</v>
      </c>
      <c r="C106" s="156">
        <v>0</v>
      </c>
      <c r="D106" s="156">
        <v>3</v>
      </c>
      <c r="E106" s="156">
        <v>3</v>
      </c>
      <c r="F106" s="156">
        <v>5</v>
      </c>
      <c r="G106" s="156">
        <v>0.15</v>
      </c>
      <c r="H106" s="156">
        <v>1.2</v>
      </c>
      <c r="I106" s="156">
        <v>0</v>
      </c>
      <c r="J106" s="156">
        <v>8.6999999999999993</v>
      </c>
      <c r="K106" s="156">
        <v>0.17</v>
      </c>
      <c r="L106" s="156">
        <v>0.15</v>
      </c>
      <c r="M106" s="227"/>
      <c r="N106" s="156"/>
      <c r="O106" s="156"/>
    </row>
    <row r="107" spans="1:15" ht="10.95" customHeight="1" x14ac:dyDescent="0.3">
      <c r="A107" s="156" t="s">
        <v>587</v>
      </c>
      <c r="B107" s="155" t="s">
        <v>847</v>
      </c>
      <c r="C107" s="156">
        <v>3</v>
      </c>
      <c r="D107" s="156">
        <v>153</v>
      </c>
      <c r="E107" s="156">
        <v>150</v>
      </c>
      <c r="F107" s="156">
        <v>5</v>
      </c>
      <c r="G107" s="156">
        <v>0.15</v>
      </c>
      <c r="H107" s="156">
        <v>1.2</v>
      </c>
      <c r="I107" s="156">
        <v>0</v>
      </c>
      <c r="J107" s="156">
        <v>8.6999999999999993</v>
      </c>
      <c r="K107" s="156">
        <v>0.17</v>
      </c>
      <c r="L107" s="156">
        <v>0.15</v>
      </c>
      <c r="M107" s="227"/>
      <c r="N107" s="156"/>
      <c r="O107" s="156"/>
    </row>
    <row r="108" spans="1:15" ht="10.95" customHeight="1" x14ac:dyDescent="0.3">
      <c r="A108" s="156" t="s">
        <v>588</v>
      </c>
      <c r="B108" s="155" t="s">
        <v>921</v>
      </c>
      <c r="C108" s="156">
        <v>153</v>
      </c>
      <c r="D108" s="156">
        <v>156</v>
      </c>
      <c r="E108" s="156">
        <v>3</v>
      </c>
      <c r="F108" s="156">
        <v>5</v>
      </c>
      <c r="G108" s="156">
        <v>0.15</v>
      </c>
      <c r="H108" s="156">
        <v>1.2</v>
      </c>
      <c r="I108" s="156">
        <v>0</v>
      </c>
      <c r="J108" s="156">
        <v>8.6999999999999993</v>
      </c>
      <c r="K108" s="156">
        <v>0.17</v>
      </c>
      <c r="L108" s="156">
        <v>0.15</v>
      </c>
      <c r="M108" s="227"/>
      <c r="N108" s="156"/>
      <c r="O108" s="156"/>
    </row>
    <row r="109" spans="1:15" ht="10.95" customHeight="1" x14ac:dyDescent="0.3">
      <c r="A109" s="158" t="s">
        <v>716</v>
      </c>
      <c r="B109" s="154" t="s">
        <v>848</v>
      </c>
      <c r="C109" s="154"/>
      <c r="D109" s="154"/>
      <c r="E109" s="158">
        <v>156</v>
      </c>
      <c r="F109" s="158">
        <v>5</v>
      </c>
      <c r="G109" s="158">
        <v>0.15</v>
      </c>
      <c r="H109" s="158">
        <v>1.2</v>
      </c>
      <c r="I109" s="158">
        <v>0</v>
      </c>
      <c r="J109" s="158">
        <v>8.6999999999999993</v>
      </c>
      <c r="K109" s="156">
        <v>0.17</v>
      </c>
      <c r="L109" s="158">
        <v>0.15</v>
      </c>
      <c r="M109" s="227"/>
      <c r="N109" s="156"/>
      <c r="O109" s="156"/>
    </row>
    <row r="110" spans="1:15" ht="10.95" customHeight="1" x14ac:dyDescent="0.3">
      <c r="A110" s="156" t="s">
        <v>589</v>
      </c>
      <c r="B110" s="155" t="s">
        <v>922</v>
      </c>
      <c r="C110" s="156">
        <v>0</v>
      </c>
      <c r="D110" s="156">
        <v>3</v>
      </c>
      <c r="E110" s="156">
        <v>3</v>
      </c>
      <c r="F110" s="156">
        <v>6</v>
      </c>
      <c r="G110" s="156">
        <v>0.15</v>
      </c>
      <c r="H110" s="156">
        <v>1.2</v>
      </c>
      <c r="I110" s="156">
        <v>0</v>
      </c>
      <c r="J110" s="156">
        <v>8.6999999999999993</v>
      </c>
      <c r="K110" s="156">
        <v>0.17</v>
      </c>
      <c r="L110" s="156">
        <v>0.15</v>
      </c>
      <c r="M110" s="227"/>
      <c r="N110" s="156"/>
      <c r="O110" s="156"/>
    </row>
    <row r="111" spans="1:15" ht="10.95" customHeight="1" x14ac:dyDescent="0.3">
      <c r="A111" s="156" t="s">
        <v>590</v>
      </c>
      <c r="B111" s="155" t="s">
        <v>849</v>
      </c>
      <c r="C111" s="156">
        <v>3</v>
      </c>
      <c r="D111" s="156">
        <v>57</v>
      </c>
      <c r="E111" s="156">
        <v>54</v>
      </c>
      <c r="F111" s="156">
        <v>6</v>
      </c>
      <c r="G111" s="156">
        <v>0.15</v>
      </c>
      <c r="H111" s="156">
        <v>1.2</v>
      </c>
      <c r="I111" s="156">
        <v>0</v>
      </c>
      <c r="J111" s="156">
        <v>8.6999999999999993</v>
      </c>
      <c r="K111" s="156">
        <v>0.17</v>
      </c>
      <c r="L111" s="156">
        <v>0.15</v>
      </c>
      <c r="M111" s="227"/>
      <c r="N111" s="156"/>
      <c r="O111" s="156"/>
    </row>
    <row r="112" spans="1:15" ht="10.95" customHeight="1" x14ac:dyDescent="0.3">
      <c r="A112" s="156" t="s">
        <v>591</v>
      </c>
      <c r="B112" s="155" t="s">
        <v>923</v>
      </c>
      <c r="C112" s="156">
        <v>57</v>
      </c>
      <c r="D112" s="156">
        <v>66.97</v>
      </c>
      <c r="E112" s="156">
        <v>9.9700000000000006</v>
      </c>
      <c r="F112" s="156">
        <v>6</v>
      </c>
      <c r="G112" s="156">
        <v>0.15</v>
      </c>
      <c r="H112" s="156">
        <v>1.2</v>
      </c>
      <c r="I112" s="156">
        <v>0</v>
      </c>
      <c r="J112" s="156">
        <v>8.6999999999999993</v>
      </c>
      <c r="K112" s="156">
        <v>0.17</v>
      </c>
      <c r="L112" s="156">
        <v>0.15</v>
      </c>
      <c r="M112" s="227"/>
      <c r="N112" s="156"/>
      <c r="O112" s="156"/>
    </row>
    <row r="113" spans="1:15" ht="10.95" customHeight="1" x14ac:dyDescent="0.3">
      <c r="A113" s="156" t="s">
        <v>592</v>
      </c>
      <c r="B113" s="155" t="s">
        <v>850</v>
      </c>
      <c r="C113" s="156">
        <v>66.97</v>
      </c>
      <c r="D113" s="156">
        <v>123.34</v>
      </c>
      <c r="E113" s="156">
        <v>56.37</v>
      </c>
      <c r="F113" s="156">
        <v>6</v>
      </c>
      <c r="G113" s="156">
        <v>0.15</v>
      </c>
      <c r="H113" s="156">
        <v>1.2</v>
      </c>
      <c r="I113" s="156">
        <v>0</v>
      </c>
      <c r="J113" s="156">
        <v>8.6999999999999993</v>
      </c>
      <c r="K113" s="156">
        <v>0.17</v>
      </c>
      <c r="L113" s="156">
        <v>0.15</v>
      </c>
      <c r="M113" s="227"/>
      <c r="N113" s="156"/>
      <c r="O113" s="156"/>
    </row>
    <row r="114" spans="1:15" ht="10.95" customHeight="1" x14ac:dyDescent="0.3">
      <c r="A114" s="156" t="s">
        <v>593</v>
      </c>
      <c r="B114" s="155" t="s">
        <v>924</v>
      </c>
      <c r="C114" s="156">
        <v>123.34</v>
      </c>
      <c r="D114" s="156">
        <v>135.34</v>
      </c>
      <c r="E114" s="156">
        <v>12</v>
      </c>
      <c r="F114" s="156">
        <v>6</v>
      </c>
      <c r="G114" s="156">
        <v>0.15</v>
      </c>
      <c r="H114" s="156">
        <v>1.2</v>
      </c>
      <c r="I114" s="156">
        <v>0</v>
      </c>
      <c r="J114" s="156">
        <v>8.6999999999999993</v>
      </c>
      <c r="K114" s="156">
        <v>0.17</v>
      </c>
      <c r="L114" s="156">
        <v>0.15</v>
      </c>
      <c r="M114" s="227"/>
      <c r="N114" s="156"/>
      <c r="O114" s="156"/>
    </row>
    <row r="115" spans="1:15" ht="10.95" customHeight="1" x14ac:dyDescent="0.3">
      <c r="A115" s="156" t="s">
        <v>594</v>
      </c>
      <c r="B115" s="155" t="s">
        <v>851</v>
      </c>
      <c r="C115" s="156">
        <v>135.34</v>
      </c>
      <c r="D115" s="156">
        <v>159.27000000000001</v>
      </c>
      <c r="E115" s="156">
        <v>23.93</v>
      </c>
      <c r="F115" s="156">
        <v>6</v>
      </c>
      <c r="G115" s="156">
        <v>0.15</v>
      </c>
      <c r="H115" s="156">
        <v>1.2</v>
      </c>
      <c r="I115" s="156">
        <v>0</v>
      </c>
      <c r="J115" s="156">
        <v>8.6999999999999993</v>
      </c>
      <c r="K115" s="156">
        <v>0.17</v>
      </c>
      <c r="L115" s="156">
        <v>0.15</v>
      </c>
      <c r="M115" s="227"/>
      <c r="N115" s="156"/>
      <c r="O115" s="156"/>
    </row>
    <row r="116" spans="1:15" ht="10.95" customHeight="1" x14ac:dyDescent="0.3">
      <c r="A116" s="156" t="s">
        <v>595</v>
      </c>
      <c r="B116" s="155" t="s">
        <v>925</v>
      </c>
      <c r="C116" s="156">
        <v>159.27000000000001</v>
      </c>
      <c r="D116" s="156">
        <v>165.38000000000002</v>
      </c>
      <c r="E116" s="156">
        <v>6.11</v>
      </c>
      <c r="F116" s="156">
        <v>6</v>
      </c>
      <c r="G116" s="156">
        <v>0.15</v>
      </c>
      <c r="H116" s="156">
        <v>1.2</v>
      </c>
      <c r="I116" s="156">
        <v>0</v>
      </c>
      <c r="J116" s="156">
        <v>8.6999999999999993</v>
      </c>
      <c r="K116" s="156">
        <v>0.17</v>
      </c>
      <c r="L116" s="156">
        <v>0.15</v>
      </c>
      <c r="M116" s="227"/>
      <c r="N116" s="156"/>
      <c r="O116" s="156"/>
    </row>
    <row r="117" spans="1:15" ht="10.95" customHeight="1" x14ac:dyDescent="0.3">
      <c r="A117" s="156" t="s">
        <v>596</v>
      </c>
      <c r="B117" s="155" t="s">
        <v>852</v>
      </c>
      <c r="C117" s="156">
        <v>165.38000000000002</v>
      </c>
      <c r="D117" s="156">
        <v>248.12000000000003</v>
      </c>
      <c r="E117" s="156">
        <v>82.740000000000009</v>
      </c>
      <c r="F117" s="156">
        <v>6</v>
      </c>
      <c r="G117" s="156">
        <v>0.15</v>
      </c>
      <c r="H117" s="156">
        <v>1.2</v>
      </c>
      <c r="I117" s="156">
        <v>0</v>
      </c>
      <c r="J117" s="156">
        <v>8.6999999999999993</v>
      </c>
      <c r="K117" s="156">
        <v>0.17</v>
      </c>
      <c r="L117" s="156">
        <v>0.15</v>
      </c>
      <c r="M117" s="227"/>
      <c r="N117" s="156"/>
      <c r="O117" s="156"/>
    </row>
    <row r="118" spans="1:15" ht="10.95" customHeight="1" x14ac:dyDescent="0.3">
      <c r="A118" s="156" t="s">
        <v>603</v>
      </c>
      <c r="B118" s="155" t="s">
        <v>926</v>
      </c>
      <c r="C118" s="156">
        <v>248.12000000000003</v>
      </c>
      <c r="D118" s="156">
        <v>256.32000000000005</v>
      </c>
      <c r="E118" s="156">
        <v>8.1999999999999993</v>
      </c>
      <c r="F118" s="156">
        <v>6</v>
      </c>
      <c r="G118" s="156">
        <v>0.15</v>
      </c>
      <c r="H118" s="156">
        <v>1.2</v>
      </c>
      <c r="I118" s="156">
        <v>0</v>
      </c>
      <c r="J118" s="156">
        <v>8.6999999999999993</v>
      </c>
      <c r="K118" s="156">
        <v>0.17</v>
      </c>
      <c r="L118" s="156">
        <v>0.15</v>
      </c>
      <c r="M118" s="227"/>
      <c r="N118" s="156"/>
      <c r="O118" s="156"/>
    </row>
    <row r="119" spans="1:15" ht="10.95" customHeight="1" x14ac:dyDescent="0.3">
      <c r="A119" s="156" t="s">
        <v>604</v>
      </c>
      <c r="B119" s="155" t="s">
        <v>853</v>
      </c>
      <c r="C119" s="156">
        <v>256.32000000000005</v>
      </c>
      <c r="D119" s="156">
        <v>293.93000000000006</v>
      </c>
      <c r="E119" s="156">
        <v>37.61</v>
      </c>
      <c r="F119" s="156">
        <v>6</v>
      </c>
      <c r="G119" s="156">
        <v>0.15</v>
      </c>
      <c r="H119" s="156">
        <v>1.2</v>
      </c>
      <c r="I119" s="156">
        <v>0</v>
      </c>
      <c r="J119" s="156">
        <v>8.6999999999999993</v>
      </c>
      <c r="K119" s="156">
        <v>0.17</v>
      </c>
      <c r="L119" s="156">
        <v>0.15</v>
      </c>
      <c r="M119" s="227"/>
      <c r="N119" s="156"/>
      <c r="O119" s="156"/>
    </row>
    <row r="120" spans="1:15" ht="10.95" customHeight="1" x14ac:dyDescent="0.3">
      <c r="A120" s="156" t="s">
        <v>605</v>
      </c>
      <c r="B120" s="155" t="s">
        <v>927</v>
      </c>
      <c r="C120" s="156">
        <v>293.93000000000006</v>
      </c>
      <c r="D120" s="156">
        <v>341.68000000000006</v>
      </c>
      <c r="E120" s="156">
        <v>47.75</v>
      </c>
      <c r="F120" s="156">
        <v>6</v>
      </c>
      <c r="G120" s="156">
        <v>0.15</v>
      </c>
      <c r="H120" s="156">
        <v>1.2</v>
      </c>
      <c r="I120" s="156">
        <v>0</v>
      </c>
      <c r="J120" s="156">
        <v>8.6999999999999993</v>
      </c>
      <c r="K120" s="156">
        <v>0.17</v>
      </c>
      <c r="L120" s="156">
        <v>0.15</v>
      </c>
      <c r="M120" s="227"/>
      <c r="N120" s="156"/>
      <c r="O120" s="156"/>
    </row>
    <row r="121" spans="1:15" ht="10.95" customHeight="1" x14ac:dyDescent="0.3">
      <c r="A121" s="156" t="s">
        <v>606</v>
      </c>
      <c r="B121" s="155" t="s">
        <v>854</v>
      </c>
      <c r="C121" s="156">
        <v>341.68000000000006</v>
      </c>
      <c r="D121" s="156">
        <v>415.68000000000006</v>
      </c>
      <c r="E121" s="156">
        <v>74</v>
      </c>
      <c r="F121" s="156">
        <v>6</v>
      </c>
      <c r="G121" s="156">
        <v>0.15</v>
      </c>
      <c r="H121" s="156">
        <v>1.2</v>
      </c>
      <c r="I121" s="156">
        <v>0</v>
      </c>
      <c r="J121" s="156">
        <v>8.6999999999999993</v>
      </c>
      <c r="K121" s="156">
        <v>0.17</v>
      </c>
      <c r="L121" s="156">
        <v>0.15</v>
      </c>
      <c r="M121" s="227"/>
      <c r="N121" s="156"/>
      <c r="O121" s="156"/>
    </row>
    <row r="122" spans="1:15" ht="10.95" customHeight="1" x14ac:dyDescent="0.3">
      <c r="A122" s="156" t="s">
        <v>607</v>
      </c>
      <c r="B122" s="155" t="s">
        <v>928</v>
      </c>
      <c r="C122" s="156">
        <v>415.68000000000006</v>
      </c>
      <c r="D122" s="156">
        <v>418.68000000000006</v>
      </c>
      <c r="E122" s="156">
        <v>3</v>
      </c>
      <c r="F122" s="156">
        <v>6</v>
      </c>
      <c r="G122" s="156">
        <v>0.15</v>
      </c>
      <c r="H122" s="156">
        <v>1.2</v>
      </c>
      <c r="I122" s="156">
        <v>0</v>
      </c>
      <c r="J122" s="156">
        <v>8.6999999999999993</v>
      </c>
      <c r="K122" s="156">
        <v>0.17</v>
      </c>
      <c r="L122" s="156">
        <v>0.15</v>
      </c>
      <c r="M122" s="227"/>
      <c r="N122" s="156"/>
      <c r="O122" s="156"/>
    </row>
    <row r="123" spans="1:15" ht="10.95" customHeight="1" x14ac:dyDescent="0.3">
      <c r="A123" s="158" t="s">
        <v>717</v>
      </c>
      <c r="B123" s="154" t="s">
        <v>1113</v>
      </c>
      <c r="C123" s="154"/>
      <c r="D123" s="154"/>
      <c r="E123" s="158">
        <v>418.68000000000006</v>
      </c>
      <c r="F123" s="158">
        <v>6</v>
      </c>
      <c r="G123" s="158">
        <v>0.15</v>
      </c>
      <c r="H123" s="158">
        <v>1.2</v>
      </c>
      <c r="I123" s="158">
        <v>0</v>
      </c>
      <c r="J123" s="158">
        <v>8.6999999999999993</v>
      </c>
      <c r="K123" s="156">
        <v>0.17</v>
      </c>
      <c r="L123" s="158">
        <v>0.15</v>
      </c>
      <c r="M123" s="227"/>
      <c r="N123" s="156"/>
      <c r="O123" s="156"/>
    </row>
    <row r="124" spans="1:15" ht="10.95" customHeight="1" x14ac:dyDescent="0.3">
      <c r="A124" s="156" t="s">
        <v>608</v>
      </c>
      <c r="B124" s="155" t="s">
        <v>1004</v>
      </c>
      <c r="C124" s="156">
        <v>0</v>
      </c>
      <c r="D124" s="156">
        <v>3</v>
      </c>
      <c r="E124" s="156">
        <v>3</v>
      </c>
      <c r="F124" s="156">
        <v>5</v>
      </c>
      <c r="G124" s="156">
        <v>0.15</v>
      </c>
      <c r="H124" s="156">
        <v>1.2</v>
      </c>
      <c r="I124" s="156">
        <v>0</v>
      </c>
      <c r="J124" s="156">
        <v>8.6999999999999993</v>
      </c>
      <c r="K124" s="156">
        <v>0.17</v>
      </c>
      <c r="L124" s="156">
        <v>0.15</v>
      </c>
      <c r="M124" s="227"/>
      <c r="N124" s="156"/>
      <c r="O124" s="156"/>
    </row>
    <row r="125" spans="1:15" ht="10.95" customHeight="1" x14ac:dyDescent="0.3">
      <c r="A125" s="156" t="s">
        <v>609</v>
      </c>
      <c r="B125" s="155" t="s">
        <v>1114</v>
      </c>
      <c r="C125" s="156">
        <v>3</v>
      </c>
      <c r="D125" s="156">
        <v>110.91</v>
      </c>
      <c r="E125" s="156">
        <v>107.91</v>
      </c>
      <c r="F125" s="156">
        <v>5</v>
      </c>
      <c r="G125" s="156">
        <v>0.15</v>
      </c>
      <c r="H125" s="156">
        <v>1.2</v>
      </c>
      <c r="I125" s="156">
        <v>0</v>
      </c>
      <c r="J125" s="156">
        <v>8.6999999999999993</v>
      </c>
      <c r="K125" s="156">
        <v>0.17</v>
      </c>
      <c r="L125" s="156">
        <v>0.15</v>
      </c>
      <c r="M125" s="227"/>
      <c r="N125" s="156"/>
      <c r="O125" s="156"/>
    </row>
    <row r="126" spans="1:15" ht="10.95" customHeight="1" x14ac:dyDescent="0.3">
      <c r="A126" s="156" t="s">
        <v>610</v>
      </c>
      <c r="B126" s="155" t="s">
        <v>929</v>
      </c>
      <c r="C126" s="156">
        <v>110.91</v>
      </c>
      <c r="D126" s="156">
        <v>123.91</v>
      </c>
      <c r="E126" s="156">
        <v>13</v>
      </c>
      <c r="F126" s="156">
        <v>5</v>
      </c>
      <c r="G126" s="156">
        <v>0.15</v>
      </c>
      <c r="H126" s="156">
        <v>1.2</v>
      </c>
      <c r="I126" s="156">
        <v>0</v>
      </c>
      <c r="J126" s="156">
        <v>8.6999999999999993</v>
      </c>
      <c r="K126" s="156">
        <v>0.17</v>
      </c>
      <c r="L126" s="156">
        <v>0.15</v>
      </c>
      <c r="M126" s="227"/>
      <c r="N126" s="156"/>
      <c r="O126" s="156"/>
    </row>
    <row r="127" spans="1:15" ht="10.95" customHeight="1" x14ac:dyDescent="0.3">
      <c r="A127" s="156" t="s">
        <v>611</v>
      </c>
      <c r="B127" s="155" t="s">
        <v>1115</v>
      </c>
      <c r="C127" s="156">
        <v>123.91</v>
      </c>
      <c r="D127" s="156">
        <v>246.27</v>
      </c>
      <c r="E127" s="156">
        <v>122.36000000000001</v>
      </c>
      <c r="F127" s="156">
        <v>5</v>
      </c>
      <c r="G127" s="156">
        <v>0.15</v>
      </c>
      <c r="H127" s="156">
        <v>1.2</v>
      </c>
      <c r="I127" s="156">
        <v>0</v>
      </c>
      <c r="J127" s="156">
        <v>8.6999999999999993</v>
      </c>
      <c r="K127" s="156">
        <v>0.17</v>
      </c>
      <c r="L127" s="156">
        <v>0.15</v>
      </c>
      <c r="M127" s="227"/>
      <c r="N127" s="156"/>
      <c r="O127" s="156"/>
    </row>
    <row r="128" spans="1:15" ht="10.95" customHeight="1" x14ac:dyDescent="0.3">
      <c r="A128" s="156" t="s">
        <v>612</v>
      </c>
      <c r="B128" s="155" t="s">
        <v>930</v>
      </c>
      <c r="C128" s="156">
        <v>246.27</v>
      </c>
      <c r="D128" s="156">
        <v>255.89000000000001</v>
      </c>
      <c r="E128" s="156">
        <v>9.6199999999999992</v>
      </c>
      <c r="F128" s="156">
        <v>5</v>
      </c>
      <c r="G128" s="156">
        <v>0.15</v>
      </c>
      <c r="H128" s="156">
        <v>1.2</v>
      </c>
      <c r="I128" s="156">
        <v>0</v>
      </c>
      <c r="J128" s="156">
        <v>8.6999999999999993</v>
      </c>
      <c r="K128" s="156">
        <v>0.17</v>
      </c>
      <c r="L128" s="156">
        <v>0.15</v>
      </c>
      <c r="M128" s="227"/>
      <c r="N128" s="156"/>
      <c r="O128" s="156"/>
    </row>
    <row r="129" spans="1:15" ht="10.95" customHeight="1" x14ac:dyDescent="0.3">
      <c r="A129" s="156" t="s">
        <v>613</v>
      </c>
      <c r="B129" s="155" t="s">
        <v>851</v>
      </c>
      <c r="C129" s="156">
        <v>255.89000000000001</v>
      </c>
      <c r="D129" s="156">
        <v>299.89</v>
      </c>
      <c r="E129" s="156">
        <v>44</v>
      </c>
      <c r="F129" s="156">
        <v>5</v>
      </c>
      <c r="G129" s="156">
        <v>0.15</v>
      </c>
      <c r="H129" s="156">
        <v>1.2</v>
      </c>
      <c r="I129" s="156">
        <v>0</v>
      </c>
      <c r="J129" s="156">
        <v>8.6999999999999993</v>
      </c>
      <c r="K129" s="156">
        <v>0.17</v>
      </c>
      <c r="L129" s="156">
        <v>0.15</v>
      </c>
      <c r="M129" s="227"/>
      <c r="N129" s="156"/>
      <c r="O129" s="156"/>
    </row>
    <row r="130" spans="1:15" ht="10.95" customHeight="1" x14ac:dyDescent="0.3">
      <c r="A130" s="156" t="s">
        <v>614</v>
      </c>
      <c r="B130" s="155" t="s">
        <v>931</v>
      </c>
      <c r="C130" s="156">
        <v>299.89</v>
      </c>
      <c r="D130" s="156">
        <v>302.89</v>
      </c>
      <c r="E130" s="156">
        <v>3</v>
      </c>
      <c r="F130" s="156">
        <v>5</v>
      </c>
      <c r="G130" s="156">
        <v>0.15</v>
      </c>
      <c r="H130" s="156">
        <v>1.2</v>
      </c>
      <c r="I130" s="156">
        <v>0</v>
      </c>
      <c r="J130" s="156">
        <v>8.6999999999999993</v>
      </c>
      <c r="K130" s="156">
        <v>0.17</v>
      </c>
      <c r="L130" s="156">
        <v>0.15</v>
      </c>
      <c r="M130" s="227"/>
      <c r="N130" s="156"/>
      <c r="O130" s="156"/>
    </row>
    <row r="131" spans="1:15" ht="10.95" customHeight="1" x14ac:dyDescent="0.3">
      <c r="A131" s="158" t="s">
        <v>718</v>
      </c>
      <c r="B131" s="154" t="s">
        <v>1116</v>
      </c>
      <c r="C131" s="154"/>
      <c r="D131" s="154"/>
      <c r="E131" s="158">
        <v>302.89</v>
      </c>
      <c r="F131" s="158">
        <v>5</v>
      </c>
      <c r="G131" s="158">
        <v>0.15</v>
      </c>
      <c r="H131" s="158">
        <v>1.2</v>
      </c>
      <c r="I131" s="158">
        <v>0</v>
      </c>
      <c r="J131" s="158">
        <v>8.6999999999999993</v>
      </c>
      <c r="K131" s="156">
        <v>0.17</v>
      </c>
      <c r="L131" s="158">
        <v>0.15</v>
      </c>
      <c r="M131" s="227"/>
      <c r="N131" s="156"/>
      <c r="O131" s="156"/>
    </row>
    <row r="132" spans="1:15" ht="10.95" customHeight="1" x14ac:dyDescent="0.3">
      <c r="A132" s="158" t="s">
        <v>683</v>
      </c>
      <c r="B132" s="154" t="s">
        <v>855</v>
      </c>
      <c r="C132" s="154"/>
      <c r="D132" s="154"/>
      <c r="E132" s="158">
        <v>1547.06</v>
      </c>
      <c r="F132" s="156">
        <v>5</v>
      </c>
      <c r="G132" s="156">
        <v>0.15</v>
      </c>
      <c r="H132" s="156">
        <v>1.2</v>
      </c>
      <c r="I132" s="156">
        <v>0</v>
      </c>
      <c r="J132" s="156">
        <v>8.6999999999999993</v>
      </c>
      <c r="K132" s="156">
        <v>0.17</v>
      </c>
      <c r="L132" s="156">
        <v>0.15</v>
      </c>
      <c r="M132" s="227"/>
      <c r="N132" s="156"/>
      <c r="O132" s="156"/>
    </row>
    <row r="133" spans="1:15" ht="10.95" customHeight="1" x14ac:dyDescent="0.3">
      <c r="A133" s="156" t="s">
        <v>615</v>
      </c>
      <c r="B133" s="155" t="s">
        <v>934</v>
      </c>
      <c r="C133" s="156">
        <v>0</v>
      </c>
      <c r="D133" s="156">
        <v>3</v>
      </c>
      <c r="E133" s="156">
        <v>3</v>
      </c>
      <c r="F133" s="156">
        <v>6</v>
      </c>
      <c r="G133" s="156">
        <v>0.15</v>
      </c>
      <c r="H133" s="156">
        <v>1.2</v>
      </c>
      <c r="I133" s="156">
        <v>0</v>
      </c>
      <c r="J133" s="156">
        <v>8.6999999999999993</v>
      </c>
      <c r="K133" s="156">
        <v>0.17</v>
      </c>
      <c r="L133" s="156">
        <v>0.15</v>
      </c>
      <c r="M133" s="227"/>
      <c r="N133" s="156"/>
      <c r="O133" s="156"/>
    </row>
    <row r="134" spans="1:15" ht="10.95" customHeight="1" x14ac:dyDescent="0.3">
      <c r="A134" s="156" t="s">
        <v>616</v>
      </c>
      <c r="B134" s="155" t="s">
        <v>734</v>
      </c>
      <c r="C134" s="156">
        <v>3</v>
      </c>
      <c r="D134" s="156">
        <v>105.49</v>
      </c>
      <c r="E134" s="156">
        <v>102.49</v>
      </c>
      <c r="F134" s="156">
        <v>6</v>
      </c>
      <c r="G134" s="156">
        <v>0.15</v>
      </c>
      <c r="H134" s="156">
        <v>1.2</v>
      </c>
      <c r="I134" s="156">
        <v>0</v>
      </c>
      <c r="J134" s="156">
        <v>8.6999999999999993</v>
      </c>
      <c r="K134" s="156">
        <v>0.17</v>
      </c>
      <c r="L134" s="156">
        <v>0.15</v>
      </c>
      <c r="M134" s="227"/>
      <c r="N134" s="156"/>
      <c r="O134" s="156"/>
    </row>
    <row r="135" spans="1:15" ht="10.95" customHeight="1" x14ac:dyDescent="0.3">
      <c r="A135" s="156" t="s">
        <v>617</v>
      </c>
      <c r="B135" s="155" t="s">
        <v>935</v>
      </c>
      <c r="C135" s="156">
        <v>105.49</v>
      </c>
      <c r="D135" s="156">
        <v>117.14</v>
      </c>
      <c r="E135" s="156">
        <v>11.65</v>
      </c>
      <c r="F135" s="156">
        <v>6</v>
      </c>
      <c r="G135" s="156">
        <v>0.15</v>
      </c>
      <c r="H135" s="156">
        <v>1.2</v>
      </c>
      <c r="I135" s="156">
        <v>0</v>
      </c>
      <c r="J135" s="156">
        <v>8.6999999999999993</v>
      </c>
      <c r="K135" s="156">
        <v>0.17</v>
      </c>
      <c r="L135" s="156">
        <v>0.15</v>
      </c>
      <c r="M135" s="227"/>
      <c r="N135" s="156"/>
      <c r="O135" s="156"/>
    </row>
    <row r="136" spans="1:15" ht="10.95" customHeight="1" x14ac:dyDescent="0.3">
      <c r="A136" s="156" t="s">
        <v>618</v>
      </c>
      <c r="B136" s="155" t="s">
        <v>735</v>
      </c>
      <c r="C136" s="156">
        <v>117.14</v>
      </c>
      <c r="D136" s="156">
        <v>213.87</v>
      </c>
      <c r="E136" s="156">
        <v>96.72999999999999</v>
      </c>
      <c r="F136" s="156">
        <v>6</v>
      </c>
      <c r="G136" s="156">
        <v>0.15</v>
      </c>
      <c r="H136" s="156">
        <v>1.2</v>
      </c>
      <c r="I136" s="156">
        <v>0</v>
      </c>
      <c r="J136" s="156">
        <v>8.6999999999999993</v>
      </c>
      <c r="K136" s="156">
        <v>0.17</v>
      </c>
      <c r="L136" s="156">
        <v>0.15</v>
      </c>
      <c r="M136" s="227"/>
      <c r="N136" s="156"/>
      <c r="O136" s="156"/>
    </row>
    <row r="137" spans="1:15" ht="10.95" customHeight="1" x14ac:dyDescent="0.3">
      <c r="A137" s="156" t="s">
        <v>619</v>
      </c>
      <c r="B137" s="155" t="s">
        <v>936</v>
      </c>
      <c r="C137" s="156">
        <v>213.87</v>
      </c>
      <c r="D137" s="156">
        <v>224.1</v>
      </c>
      <c r="E137" s="156">
        <v>10.23</v>
      </c>
      <c r="F137" s="156">
        <v>6</v>
      </c>
      <c r="G137" s="156">
        <v>0.15</v>
      </c>
      <c r="H137" s="156">
        <v>1.2</v>
      </c>
      <c r="I137" s="156">
        <v>0</v>
      </c>
      <c r="J137" s="156">
        <v>8.6999999999999993</v>
      </c>
      <c r="K137" s="156">
        <v>0.17</v>
      </c>
      <c r="L137" s="156">
        <v>0.15</v>
      </c>
      <c r="M137" s="227"/>
      <c r="N137" s="156"/>
      <c r="O137" s="156"/>
    </row>
    <row r="138" spans="1:15" ht="10.95" customHeight="1" x14ac:dyDescent="0.3">
      <c r="A138" s="156" t="s">
        <v>620</v>
      </c>
      <c r="B138" s="155" t="s">
        <v>736</v>
      </c>
      <c r="C138" s="156">
        <v>224.1</v>
      </c>
      <c r="D138" s="156">
        <v>326.97000000000003</v>
      </c>
      <c r="E138" s="156">
        <v>102.87</v>
      </c>
      <c r="F138" s="156">
        <v>6</v>
      </c>
      <c r="G138" s="156">
        <v>0.15</v>
      </c>
      <c r="H138" s="156">
        <v>1.2</v>
      </c>
      <c r="I138" s="156">
        <v>0</v>
      </c>
      <c r="J138" s="156">
        <v>8.6999999999999993</v>
      </c>
      <c r="K138" s="156">
        <v>0.17</v>
      </c>
      <c r="L138" s="156">
        <v>0.15</v>
      </c>
      <c r="M138" s="227"/>
      <c r="N138" s="156"/>
      <c r="O138" s="156"/>
    </row>
    <row r="139" spans="1:15" ht="10.95" customHeight="1" x14ac:dyDescent="0.3">
      <c r="A139" s="156" t="s">
        <v>621</v>
      </c>
      <c r="B139" s="155" t="s">
        <v>937</v>
      </c>
      <c r="C139" s="156">
        <v>326.97000000000003</v>
      </c>
      <c r="D139" s="156">
        <v>339.08000000000004</v>
      </c>
      <c r="E139" s="156">
        <v>12.11</v>
      </c>
      <c r="F139" s="156">
        <v>6</v>
      </c>
      <c r="G139" s="156">
        <v>0.15</v>
      </c>
      <c r="H139" s="156">
        <v>1.2</v>
      </c>
      <c r="I139" s="156">
        <v>0</v>
      </c>
      <c r="J139" s="156">
        <v>8.6999999999999993</v>
      </c>
      <c r="K139" s="156">
        <v>0.17</v>
      </c>
      <c r="L139" s="156">
        <v>0.15</v>
      </c>
      <c r="M139" s="227"/>
      <c r="N139" s="156"/>
      <c r="O139" s="156"/>
    </row>
    <row r="140" spans="1:15" ht="10.95" customHeight="1" x14ac:dyDescent="0.3">
      <c r="A140" s="158" t="s">
        <v>719</v>
      </c>
      <c r="B140" s="154" t="s">
        <v>739</v>
      </c>
      <c r="C140" s="154"/>
      <c r="D140" s="154"/>
      <c r="E140" s="158">
        <v>339.08000000000004</v>
      </c>
      <c r="F140" s="158">
        <v>6</v>
      </c>
      <c r="G140" s="158">
        <v>0.15</v>
      </c>
      <c r="H140" s="158">
        <v>1.2</v>
      </c>
      <c r="I140" s="158">
        <v>0</v>
      </c>
      <c r="J140" s="158">
        <v>8.6999999999999993</v>
      </c>
      <c r="K140" s="156">
        <v>0.17</v>
      </c>
      <c r="L140" s="158">
        <v>0.15</v>
      </c>
      <c r="M140" s="227"/>
      <c r="N140" s="156"/>
      <c r="O140" s="156"/>
    </row>
    <row r="141" spans="1:15" ht="10.95" customHeight="1" x14ac:dyDescent="0.3">
      <c r="A141" s="156" t="s">
        <v>622</v>
      </c>
      <c r="B141" s="155" t="s">
        <v>932</v>
      </c>
      <c r="C141" s="156">
        <v>0</v>
      </c>
      <c r="D141" s="156">
        <v>3</v>
      </c>
      <c r="E141" s="156">
        <v>3</v>
      </c>
      <c r="F141" s="156">
        <v>6</v>
      </c>
      <c r="G141" s="156">
        <v>0.15</v>
      </c>
      <c r="H141" s="156">
        <v>1.2</v>
      </c>
      <c r="I141" s="156">
        <v>0</v>
      </c>
      <c r="J141" s="156">
        <v>8.6999999999999993</v>
      </c>
      <c r="K141" s="156">
        <v>0.17</v>
      </c>
      <c r="L141" s="156">
        <v>0.15</v>
      </c>
      <c r="M141" s="227"/>
      <c r="N141" s="156"/>
      <c r="O141" s="156"/>
    </row>
    <row r="142" spans="1:15" ht="10.95" customHeight="1" x14ac:dyDescent="0.3">
      <c r="A142" s="156" t="s">
        <v>623</v>
      </c>
      <c r="B142" s="155" t="s">
        <v>755</v>
      </c>
      <c r="C142" s="156">
        <v>3</v>
      </c>
      <c r="D142" s="156">
        <v>69.39</v>
      </c>
      <c r="E142" s="156">
        <v>66.39</v>
      </c>
      <c r="F142" s="156">
        <v>6</v>
      </c>
      <c r="G142" s="156">
        <v>0.15</v>
      </c>
      <c r="H142" s="156">
        <v>1.2</v>
      </c>
      <c r="I142" s="156">
        <v>0</v>
      </c>
      <c r="J142" s="156">
        <v>8.6999999999999993</v>
      </c>
      <c r="K142" s="156">
        <v>0.17</v>
      </c>
      <c r="L142" s="156">
        <v>0.15</v>
      </c>
      <c r="M142" s="227"/>
      <c r="N142" s="156"/>
      <c r="O142" s="156"/>
    </row>
    <row r="143" spans="1:15" ht="10.95" customHeight="1" x14ac:dyDescent="0.3">
      <c r="A143" s="156" t="s">
        <v>624</v>
      </c>
      <c r="B143" s="155" t="s">
        <v>938</v>
      </c>
      <c r="C143" s="156">
        <v>69.39</v>
      </c>
      <c r="D143" s="156">
        <v>77.34</v>
      </c>
      <c r="E143" s="156">
        <v>7.95</v>
      </c>
      <c r="F143" s="156">
        <v>6</v>
      </c>
      <c r="G143" s="156">
        <v>0.15</v>
      </c>
      <c r="H143" s="156">
        <v>1.2</v>
      </c>
      <c r="I143" s="156">
        <v>0</v>
      </c>
      <c r="J143" s="156">
        <v>8.6999999999999993</v>
      </c>
      <c r="K143" s="156">
        <v>0.17</v>
      </c>
      <c r="L143" s="156">
        <v>0.15</v>
      </c>
      <c r="M143" s="227"/>
      <c r="N143" s="156"/>
      <c r="O143" s="156"/>
    </row>
    <row r="144" spans="1:15" ht="10.95" customHeight="1" x14ac:dyDescent="0.3">
      <c r="A144" s="156" t="s">
        <v>625</v>
      </c>
      <c r="B144" s="155" t="s">
        <v>758</v>
      </c>
      <c r="C144" s="156">
        <v>77.34</v>
      </c>
      <c r="D144" s="156">
        <v>124.49000000000001</v>
      </c>
      <c r="E144" s="156">
        <v>47.15</v>
      </c>
      <c r="F144" s="156">
        <v>6</v>
      </c>
      <c r="G144" s="156">
        <v>0.15</v>
      </c>
      <c r="H144" s="156">
        <v>1.2</v>
      </c>
      <c r="I144" s="156">
        <v>0</v>
      </c>
      <c r="J144" s="156">
        <v>8.6999999999999993</v>
      </c>
      <c r="K144" s="156">
        <v>0.17</v>
      </c>
      <c r="L144" s="156">
        <v>0.15</v>
      </c>
      <c r="M144" s="227"/>
      <c r="N144" s="156"/>
      <c r="O144" s="156"/>
    </row>
    <row r="145" spans="1:15" ht="10.95" customHeight="1" x14ac:dyDescent="0.3">
      <c r="A145" s="156" t="s">
        <v>626</v>
      </c>
      <c r="B145" s="155" t="s">
        <v>939</v>
      </c>
      <c r="C145" s="156">
        <v>124.49000000000001</v>
      </c>
      <c r="D145" s="156">
        <v>136.34</v>
      </c>
      <c r="E145" s="156">
        <v>11.85</v>
      </c>
      <c r="F145" s="156">
        <v>6</v>
      </c>
      <c r="G145" s="156">
        <v>0.15</v>
      </c>
      <c r="H145" s="156">
        <v>1.2</v>
      </c>
      <c r="I145" s="156">
        <v>0</v>
      </c>
      <c r="J145" s="156">
        <v>8.6999999999999993</v>
      </c>
      <c r="K145" s="156">
        <v>0.17</v>
      </c>
      <c r="L145" s="156">
        <v>0.15</v>
      </c>
      <c r="M145" s="227"/>
      <c r="N145" s="156"/>
      <c r="O145" s="156"/>
    </row>
    <row r="146" spans="1:15" ht="10.95" customHeight="1" x14ac:dyDescent="0.3">
      <c r="A146" s="156" t="s">
        <v>627</v>
      </c>
      <c r="B146" s="155" t="s">
        <v>761</v>
      </c>
      <c r="C146" s="156">
        <v>136.34</v>
      </c>
      <c r="D146" s="156">
        <v>247.97</v>
      </c>
      <c r="E146" s="156">
        <v>111.63</v>
      </c>
      <c r="F146" s="156">
        <v>6</v>
      </c>
      <c r="G146" s="156">
        <v>0.15</v>
      </c>
      <c r="H146" s="156">
        <v>1.2</v>
      </c>
      <c r="I146" s="156">
        <v>0</v>
      </c>
      <c r="J146" s="156">
        <v>8.6999999999999993</v>
      </c>
      <c r="K146" s="156">
        <v>0.17</v>
      </c>
      <c r="L146" s="156">
        <v>0.15</v>
      </c>
      <c r="M146" s="227"/>
      <c r="N146" s="156"/>
      <c r="O146" s="156"/>
    </row>
    <row r="147" spans="1:15" ht="10.95" customHeight="1" x14ac:dyDescent="0.3">
      <c r="A147" s="156" t="s">
        <v>628</v>
      </c>
      <c r="B147" s="155" t="s">
        <v>940</v>
      </c>
      <c r="C147" s="156">
        <v>247.97</v>
      </c>
      <c r="D147" s="156">
        <v>264.62</v>
      </c>
      <c r="E147" s="156">
        <v>16.649999999999999</v>
      </c>
      <c r="F147" s="156">
        <v>6</v>
      </c>
      <c r="G147" s="156">
        <v>0.15</v>
      </c>
      <c r="H147" s="156">
        <v>1.2</v>
      </c>
      <c r="I147" s="156">
        <v>0</v>
      </c>
      <c r="J147" s="156">
        <v>8.6999999999999993</v>
      </c>
      <c r="K147" s="156">
        <v>0.17</v>
      </c>
      <c r="L147" s="156">
        <v>0.15</v>
      </c>
      <c r="M147" s="227"/>
      <c r="N147" s="156"/>
      <c r="O147" s="156"/>
    </row>
    <row r="148" spans="1:15" ht="10.95" customHeight="1" x14ac:dyDescent="0.3">
      <c r="A148" s="156" t="s">
        <v>629</v>
      </c>
      <c r="B148" s="155" t="s">
        <v>752</v>
      </c>
      <c r="C148" s="156">
        <v>264.62</v>
      </c>
      <c r="D148" s="156">
        <v>362.93</v>
      </c>
      <c r="E148" s="156">
        <v>98.31</v>
      </c>
      <c r="F148" s="156">
        <v>6</v>
      </c>
      <c r="G148" s="156">
        <v>0.15</v>
      </c>
      <c r="H148" s="156">
        <v>1.2</v>
      </c>
      <c r="I148" s="156">
        <v>0</v>
      </c>
      <c r="J148" s="156">
        <v>8.6999999999999993</v>
      </c>
      <c r="K148" s="156">
        <v>0.17</v>
      </c>
      <c r="L148" s="156">
        <v>0.15</v>
      </c>
      <c r="M148" s="227"/>
      <c r="N148" s="156"/>
      <c r="O148" s="156"/>
    </row>
    <row r="149" spans="1:15" ht="10.95" customHeight="1" x14ac:dyDescent="0.3">
      <c r="A149" s="156" t="s">
        <v>630</v>
      </c>
      <c r="B149" s="155" t="s">
        <v>941</v>
      </c>
      <c r="C149" s="156">
        <v>362.93</v>
      </c>
      <c r="D149" s="156">
        <v>372.97</v>
      </c>
      <c r="E149" s="156">
        <v>10.039999999999999</v>
      </c>
      <c r="F149" s="156">
        <v>6</v>
      </c>
      <c r="G149" s="156">
        <v>0.15</v>
      </c>
      <c r="H149" s="156">
        <v>1.2</v>
      </c>
      <c r="I149" s="156">
        <v>0</v>
      </c>
      <c r="J149" s="156">
        <v>8.6999999999999993</v>
      </c>
      <c r="K149" s="156">
        <v>0.17</v>
      </c>
      <c r="L149" s="156">
        <v>0.15</v>
      </c>
      <c r="M149" s="227"/>
      <c r="N149" s="156"/>
      <c r="O149" s="156"/>
    </row>
    <row r="150" spans="1:15" ht="10.95" customHeight="1" x14ac:dyDescent="0.3">
      <c r="A150" s="156" t="s">
        <v>631</v>
      </c>
      <c r="B150" s="155" t="s">
        <v>759</v>
      </c>
      <c r="C150" s="156">
        <v>372.97</v>
      </c>
      <c r="D150" s="156">
        <v>474.70000000000005</v>
      </c>
      <c r="E150" s="156">
        <v>101.73</v>
      </c>
      <c r="F150" s="156">
        <v>6</v>
      </c>
      <c r="G150" s="156">
        <v>0.15</v>
      </c>
      <c r="H150" s="156">
        <v>1.2</v>
      </c>
      <c r="I150" s="156">
        <v>0</v>
      </c>
      <c r="J150" s="156">
        <v>8.6999999999999993</v>
      </c>
      <c r="K150" s="156">
        <v>0.17</v>
      </c>
      <c r="L150" s="156">
        <v>0.15</v>
      </c>
      <c r="M150" s="227"/>
      <c r="N150" s="156"/>
      <c r="O150" s="156"/>
    </row>
    <row r="151" spans="1:15" ht="10.95" customHeight="1" x14ac:dyDescent="0.3">
      <c r="A151" s="156" t="s">
        <v>632</v>
      </c>
      <c r="B151" s="155" t="s">
        <v>942</v>
      </c>
      <c r="C151" s="156">
        <v>474.70000000000005</v>
      </c>
      <c r="D151" s="156">
        <v>484.81000000000006</v>
      </c>
      <c r="E151" s="156">
        <v>10.11</v>
      </c>
      <c r="F151" s="156">
        <v>6</v>
      </c>
      <c r="G151" s="156">
        <v>0.15</v>
      </c>
      <c r="H151" s="156">
        <v>1.2</v>
      </c>
      <c r="I151" s="156">
        <v>0</v>
      </c>
      <c r="J151" s="156">
        <v>8.6999999999999993</v>
      </c>
      <c r="K151" s="156">
        <v>0.17</v>
      </c>
      <c r="L151" s="156">
        <v>0.15</v>
      </c>
      <c r="M151" s="227"/>
      <c r="N151" s="156"/>
      <c r="O151" s="156"/>
    </row>
    <row r="152" spans="1:15" ht="10.95" customHeight="1" x14ac:dyDescent="0.3">
      <c r="A152" s="156" t="s">
        <v>633</v>
      </c>
      <c r="B152" s="155" t="s">
        <v>760</v>
      </c>
      <c r="C152" s="156">
        <v>484.81000000000006</v>
      </c>
      <c r="D152" s="156">
        <v>585.85</v>
      </c>
      <c r="E152" s="156">
        <v>101.04</v>
      </c>
      <c r="F152" s="156">
        <v>6</v>
      </c>
      <c r="G152" s="156">
        <v>0.15</v>
      </c>
      <c r="H152" s="156">
        <v>1.2</v>
      </c>
      <c r="I152" s="156">
        <v>0</v>
      </c>
      <c r="J152" s="156">
        <v>8.6999999999999993</v>
      </c>
      <c r="K152" s="156">
        <v>0.17</v>
      </c>
      <c r="L152" s="156">
        <v>0.15</v>
      </c>
      <c r="M152" s="227"/>
      <c r="N152" s="156"/>
      <c r="O152" s="156"/>
    </row>
    <row r="153" spans="1:15" ht="10.95" customHeight="1" x14ac:dyDescent="0.3">
      <c r="A153" s="156" t="s">
        <v>634</v>
      </c>
      <c r="B153" s="155" t="s">
        <v>943</v>
      </c>
      <c r="C153" s="156">
        <v>585.85</v>
      </c>
      <c r="D153" s="156">
        <v>596.85</v>
      </c>
      <c r="E153" s="156">
        <v>11</v>
      </c>
      <c r="F153" s="156">
        <v>6</v>
      </c>
      <c r="G153" s="156">
        <v>0.15</v>
      </c>
      <c r="H153" s="156">
        <v>1.2</v>
      </c>
      <c r="I153" s="156">
        <v>0</v>
      </c>
      <c r="J153" s="156">
        <v>8.6999999999999993</v>
      </c>
      <c r="K153" s="156">
        <v>0.17</v>
      </c>
      <c r="L153" s="156">
        <v>0.15</v>
      </c>
      <c r="M153" s="227"/>
      <c r="N153" s="156"/>
      <c r="O153" s="156"/>
    </row>
    <row r="154" spans="1:15" ht="10.95" customHeight="1" x14ac:dyDescent="0.3">
      <c r="A154" s="158" t="s">
        <v>720</v>
      </c>
      <c r="B154" s="154" t="s">
        <v>782</v>
      </c>
      <c r="C154" s="154"/>
      <c r="D154" s="154"/>
      <c r="E154" s="158">
        <v>596.85</v>
      </c>
      <c r="F154" s="158">
        <v>6</v>
      </c>
      <c r="G154" s="158">
        <v>0.15</v>
      </c>
      <c r="H154" s="158">
        <v>1.2</v>
      </c>
      <c r="I154" s="158">
        <v>0</v>
      </c>
      <c r="J154" s="158">
        <v>8.6999999999999993</v>
      </c>
      <c r="K154" s="156">
        <v>0.17</v>
      </c>
      <c r="L154" s="158">
        <v>0.15</v>
      </c>
      <c r="M154" s="227"/>
      <c r="N154" s="156"/>
      <c r="O154" s="156"/>
    </row>
    <row r="155" spans="1:15" ht="10.95" customHeight="1" x14ac:dyDescent="0.3">
      <c r="A155" s="156" t="s">
        <v>638</v>
      </c>
      <c r="B155" s="155" t="s">
        <v>944</v>
      </c>
      <c r="C155" s="156">
        <v>0</v>
      </c>
      <c r="D155" s="156">
        <v>3</v>
      </c>
      <c r="E155" s="156">
        <v>3</v>
      </c>
      <c r="F155" s="156">
        <v>6</v>
      </c>
      <c r="G155" s="156">
        <v>0.15</v>
      </c>
      <c r="H155" s="156">
        <v>1.2</v>
      </c>
      <c r="I155" s="156">
        <v>0</v>
      </c>
      <c r="J155" s="156">
        <v>8.6999999999999993</v>
      </c>
      <c r="K155" s="156">
        <v>0.17</v>
      </c>
      <c r="L155" s="156">
        <v>0.15</v>
      </c>
      <c r="M155" s="227"/>
      <c r="N155" s="156"/>
      <c r="O155" s="156"/>
    </row>
    <row r="156" spans="1:15" ht="10.95" customHeight="1" x14ac:dyDescent="0.3">
      <c r="A156" s="156" t="s">
        <v>639</v>
      </c>
      <c r="B156" s="155" t="s">
        <v>792</v>
      </c>
      <c r="C156" s="156">
        <v>3</v>
      </c>
      <c r="D156" s="156">
        <v>114.7</v>
      </c>
      <c r="E156" s="156">
        <v>111.7</v>
      </c>
      <c r="F156" s="156">
        <v>6</v>
      </c>
      <c r="G156" s="156">
        <v>0.15</v>
      </c>
      <c r="H156" s="156">
        <v>1.2</v>
      </c>
      <c r="I156" s="156">
        <v>0</v>
      </c>
      <c r="J156" s="156">
        <v>8.6999999999999993</v>
      </c>
      <c r="K156" s="156">
        <v>0.17</v>
      </c>
      <c r="L156" s="156">
        <v>0.15</v>
      </c>
      <c r="M156" s="227"/>
      <c r="N156" s="156"/>
      <c r="O156" s="156"/>
    </row>
    <row r="157" spans="1:15" ht="10.95" customHeight="1" x14ac:dyDescent="0.3">
      <c r="A157" s="156" t="s">
        <v>640</v>
      </c>
      <c r="B157" s="155" t="s">
        <v>945</v>
      </c>
      <c r="C157" s="156">
        <v>114.7</v>
      </c>
      <c r="D157" s="156">
        <v>124.93</v>
      </c>
      <c r="E157" s="156">
        <v>10.23</v>
      </c>
      <c r="F157" s="156">
        <v>6</v>
      </c>
      <c r="G157" s="156">
        <v>0.15</v>
      </c>
      <c r="H157" s="156">
        <v>1.2</v>
      </c>
      <c r="I157" s="156">
        <v>0</v>
      </c>
      <c r="J157" s="156">
        <v>8.6999999999999993</v>
      </c>
      <c r="K157" s="156">
        <v>0.17</v>
      </c>
      <c r="L157" s="156">
        <v>0.15</v>
      </c>
      <c r="M157" s="227"/>
      <c r="N157" s="156"/>
      <c r="O157" s="156"/>
    </row>
    <row r="158" spans="1:15" ht="10.95" customHeight="1" x14ac:dyDescent="0.3">
      <c r="A158" s="156" t="s">
        <v>641</v>
      </c>
      <c r="B158" s="155" t="s">
        <v>778</v>
      </c>
      <c r="C158" s="156">
        <v>124.93</v>
      </c>
      <c r="D158" s="156">
        <v>233.07</v>
      </c>
      <c r="E158" s="156">
        <v>108.14</v>
      </c>
      <c r="F158" s="156">
        <v>6</v>
      </c>
      <c r="G158" s="156">
        <v>0.15</v>
      </c>
      <c r="H158" s="156">
        <v>1.2</v>
      </c>
      <c r="I158" s="156">
        <v>0</v>
      </c>
      <c r="J158" s="156">
        <v>8.6999999999999993</v>
      </c>
      <c r="K158" s="156">
        <v>0.17</v>
      </c>
      <c r="L158" s="156">
        <v>0.15</v>
      </c>
      <c r="M158" s="227"/>
      <c r="N158" s="156"/>
      <c r="O158" s="156"/>
    </row>
    <row r="159" spans="1:15" ht="10.95" customHeight="1" x14ac:dyDescent="0.3">
      <c r="A159" s="156" t="s">
        <v>642</v>
      </c>
      <c r="B159" s="155" t="s">
        <v>946</v>
      </c>
      <c r="C159" s="156">
        <v>233.07</v>
      </c>
      <c r="D159" s="156">
        <v>248.2</v>
      </c>
      <c r="E159" s="156">
        <v>15.13</v>
      </c>
      <c r="F159" s="156">
        <v>6</v>
      </c>
      <c r="G159" s="156">
        <v>0.15</v>
      </c>
      <c r="H159" s="156">
        <v>1.2</v>
      </c>
      <c r="I159" s="156">
        <v>0</v>
      </c>
      <c r="J159" s="156">
        <v>8.6999999999999993</v>
      </c>
      <c r="K159" s="156">
        <v>0.17</v>
      </c>
      <c r="L159" s="156">
        <v>0.15</v>
      </c>
      <c r="M159" s="227"/>
      <c r="N159" s="156"/>
      <c r="O159" s="156"/>
    </row>
    <row r="160" spans="1:15" ht="10.95" customHeight="1" x14ac:dyDescent="0.3">
      <c r="A160" s="156" t="s">
        <v>643</v>
      </c>
      <c r="B160" s="155" t="s">
        <v>779</v>
      </c>
      <c r="C160" s="156">
        <v>248.2</v>
      </c>
      <c r="D160" s="156">
        <v>347.21999999999997</v>
      </c>
      <c r="E160" s="156">
        <v>99.02</v>
      </c>
      <c r="F160" s="156">
        <v>6</v>
      </c>
      <c r="G160" s="156">
        <v>0.15</v>
      </c>
      <c r="H160" s="156">
        <v>1.2</v>
      </c>
      <c r="I160" s="156">
        <v>0</v>
      </c>
      <c r="J160" s="156">
        <v>8.6999999999999993</v>
      </c>
      <c r="K160" s="156">
        <v>0.17</v>
      </c>
      <c r="L160" s="156">
        <v>0.15</v>
      </c>
      <c r="M160" s="227"/>
      <c r="N160" s="156"/>
      <c r="O160" s="156"/>
    </row>
    <row r="161" spans="1:15" ht="10.95" customHeight="1" x14ac:dyDescent="0.3">
      <c r="A161" s="156" t="s">
        <v>644</v>
      </c>
      <c r="B161" s="155" t="s">
        <v>947</v>
      </c>
      <c r="C161" s="156">
        <v>347.21999999999997</v>
      </c>
      <c r="D161" s="156">
        <v>359.60999999999996</v>
      </c>
      <c r="E161" s="156">
        <v>12.39</v>
      </c>
      <c r="F161" s="156">
        <v>6</v>
      </c>
      <c r="G161" s="156">
        <v>0.15</v>
      </c>
      <c r="H161" s="156">
        <v>1.2</v>
      </c>
      <c r="I161" s="156">
        <v>0</v>
      </c>
      <c r="J161" s="156">
        <v>8.6999999999999993</v>
      </c>
      <c r="K161" s="156">
        <v>0.17</v>
      </c>
      <c r="L161" s="156">
        <v>0.15</v>
      </c>
      <c r="M161" s="227"/>
      <c r="N161" s="156"/>
      <c r="O161" s="156"/>
    </row>
    <row r="162" spans="1:15" ht="10.95" customHeight="1" x14ac:dyDescent="0.3">
      <c r="A162" s="156" t="s">
        <v>645</v>
      </c>
      <c r="B162" s="155" t="s">
        <v>780</v>
      </c>
      <c r="C162" s="156">
        <v>359.60999999999996</v>
      </c>
      <c r="D162" s="156">
        <v>460.92999999999995</v>
      </c>
      <c r="E162" s="156">
        <v>101.32</v>
      </c>
      <c r="F162" s="156">
        <v>6</v>
      </c>
      <c r="G162" s="156">
        <v>0.15</v>
      </c>
      <c r="H162" s="156">
        <v>1.2</v>
      </c>
      <c r="I162" s="156">
        <v>0</v>
      </c>
      <c r="J162" s="156">
        <v>8.6999999999999993</v>
      </c>
      <c r="K162" s="156">
        <v>0.17</v>
      </c>
      <c r="L162" s="156">
        <v>0.15</v>
      </c>
      <c r="M162" s="227"/>
      <c r="N162" s="156"/>
      <c r="O162" s="156"/>
    </row>
    <row r="163" spans="1:15" ht="10.95" customHeight="1" x14ac:dyDescent="0.3">
      <c r="A163" s="156" t="s">
        <v>646</v>
      </c>
      <c r="B163" s="155" t="s">
        <v>948</v>
      </c>
      <c r="C163" s="156">
        <v>460.92999999999995</v>
      </c>
      <c r="D163" s="156">
        <v>474.22999999999996</v>
      </c>
      <c r="E163" s="156">
        <v>13.3</v>
      </c>
      <c r="F163" s="156">
        <v>6</v>
      </c>
      <c r="G163" s="156">
        <v>0.15</v>
      </c>
      <c r="H163" s="156">
        <v>1.2</v>
      </c>
      <c r="I163" s="156">
        <v>0</v>
      </c>
      <c r="J163" s="156">
        <v>8.6999999999999993</v>
      </c>
      <c r="K163" s="156">
        <v>0.17</v>
      </c>
      <c r="L163" s="156">
        <v>0.15</v>
      </c>
      <c r="M163" s="227"/>
      <c r="N163" s="156"/>
      <c r="O163" s="156"/>
    </row>
    <row r="164" spans="1:15" ht="10.95" customHeight="1" x14ac:dyDescent="0.3">
      <c r="A164" s="156" t="s">
        <v>647</v>
      </c>
      <c r="B164" s="155" t="s">
        <v>781</v>
      </c>
      <c r="C164" s="156">
        <v>474.22999999999996</v>
      </c>
      <c r="D164" s="156">
        <v>573.42999999999995</v>
      </c>
      <c r="E164" s="156">
        <v>99.2</v>
      </c>
      <c r="F164" s="156">
        <v>6</v>
      </c>
      <c r="G164" s="156">
        <v>0.15</v>
      </c>
      <c r="H164" s="156">
        <v>1.2</v>
      </c>
      <c r="I164" s="156">
        <v>0</v>
      </c>
      <c r="J164" s="156">
        <v>8.6999999999999993</v>
      </c>
      <c r="K164" s="156">
        <v>0.17</v>
      </c>
      <c r="L164" s="156">
        <v>0.15</v>
      </c>
      <c r="M164" s="227"/>
      <c r="N164" s="156"/>
      <c r="O164" s="156"/>
    </row>
    <row r="165" spans="1:15" ht="10.95" customHeight="1" x14ac:dyDescent="0.3">
      <c r="A165" s="156" t="s">
        <v>648</v>
      </c>
      <c r="B165" s="155" t="s">
        <v>949</v>
      </c>
      <c r="C165" s="156">
        <v>573.42999999999995</v>
      </c>
      <c r="D165" s="156">
        <v>582.44999999999993</v>
      </c>
      <c r="E165" s="156">
        <v>9.02</v>
      </c>
      <c r="F165" s="156">
        <v>6</v>
      </c>
      <c r="G165" s="156">
        <v>0.15</v>
      </c>
      <c r="H165" s="156">
        <v>1.2</v>
      </c>
      <c r="I165" s="156">
        <v>0</v>
      </c>
      <c r="J165" s="156">
        <v>8.6999999999999993</v>
      </c>
      <c r="K165" s="156">
        <v>0.17</v>
      </c>
      <c r="L165" s="156">
        <v>0.15</v>
      </c>
      <c r="M165" s="227"/>
      <c r="N165" s="156"/>
      <c r="O165" s="156"/>
    </row>
    <row r="166" spans="1:15" ht="10.95" customHeight="1" x14ac:dyDescent="0.3">
      <c r="A166" s="158" t="s">
        <v>721</v>
      </c>
      <c r="B166" s="154" t="s">
        <v>784</v>
      </c>
      <c r="C166" s="154"/>
      <c r="D166" s="154"/>
      <c r="E166" s="158">
        <v>582.44999999999993</v>
      </c>
      <c r="F166" s="158">
        <v>6</v>
      </c>
      <c r="G166" s="158">
        <v>0.15</v>
      </c>
      <c r="H166" s="158">
        <v>1.2</v>
      </c>
      <c r="I166" s="158">
        <v>0</v>
      </c>
      <c r="J166" s="158">
        <v>8.6999999999999993</v>
      </c>
      <c r="K166" s="156">
        <v>0.17</v>
      </c>
      <c r="L166" s="158">
        <v>0.15</v>
      </c>
      <c r="M166" s="227"/>
      <c r="N166" s="156"/>
      <c r="O166" s="156"/>
    </row>
    <row r="167" spans="1:15" ht="10.95" customHeight="1" x14ac:dyDescent="0.3">
      <c r="A167" s="156" t="s">
        <v>649</v>
      </c>
      <c r="B167" s="155" t="s">
        <v>933</v>
      </c>
      <c r="C167" s="156">
        <v>0</v>
      </c>
      <c r="D167" s="156">
        <v>3</v>
      </c>
      <c r="E167" s="156">
        <v>3</v>
      </c>
      <c r="F167" s="156">
        <v>6</v>
      </c>
      <c r="G167" s="156">
        <v>0.15</v>
      </c>
      <c r="H167" s="156">
        <v>1.2</v>
      </c>
      <c r="I167" s="156">
        <v>0</v>
      </c>
      <c r="J167" s="156">
        <v>8.6999999999999993</v>
      </c>
      <c r="K167" s="156">
        <v>0.17</v>
      </c>
      <c r="L167" s="156">
        <v>0.15</v>
      </c>
      <c r="M167" s="227"/>
      <c r="N167" s="156"/>
      <c r="O167" s="156"/>
    </row>
    <row r="168" spans="1:15" ht="10.95" customHeight="1" x14ac:dyDescent="0.3">
      <c r="A168" s="156" t="s">
        <v>650</v>
      </c>
      <c r="B168" s="155" t="s">
        <v>793</v>
      </c>
      <c r="C168" s="156">
        <v>3</v>
      </c>
      <c r="D168" s="156">
        <v>103.5</v>
      </c>
      <c r="E168" s="156">
        <v>100.5</v>
      </c>
      <c r="F168" s="156">
        <v>6</v>
      </c>
      <c r="G168" s="156">
        <v>0.15</v>
      </c>
      <c r="H168" s="156">
        <v>1.2</v>
      </c>
      <c r="I168" s="156">
        <v>0</v>
      </c>
      <c r="J168" s="156">
        <v>8.6999999999999993</v>
      </c>
      <c r="K168" s="156">
        <v>0.17</v>
      </c>
      <c r="L168" s="156">
        <v>0.15</v>
      </c>
      <c r="M168" s="227"/>
      <c r="N168" s="156"/>
      <c r="O168" s="156"/>
    </row>
    <row r="169" spans="1:15" ht="10.95" customHeight="1" x14ac:dyDescent="0.3">
      <c r="A169" s="156" t="s">
        <v>651</v>
      </c>
      <c r="B169" s="155" t="s">
        <v>950</v>
      </c>
      <c r="C169" s="156">
        <v>103.5</v>
      </c>
      <c r="D169" s="156">
        <v>112.73</v>
      </c>
      <c r="E169" s="156">
        <v>9.23</v>
      </c>
      <c r="F169" s="156">
        <v>6</v>
      </c>
      <c r="G169" s="156">
        <v>0.15</v>
      </c>
      <c r="H169" s="156">
        <v>1.2</v>
      </c>
      <c r="I169" s="156">
        <v>0</v>
      </c>
      <c r="J169" s="156">
        <v>8.6999999999999993</v>
      </c>
      <c r="K169" s="156">
        <v>0.17</v>
      </c>
      <c r="L169" s="156">
        <v>0.15</v>
      </c>
      <c r="M169" s="227"/>
      <c r="N169" s="156"/>
      <c r="O169" s="156"/>
    </row>
    <row r="170" spans="1:15" ht="10.95" customHeight="1" x14ac:dyDescent="0.3">
      <c r="A170" s="156" t="s">
        <v>652</v>
      </c>
      <c r="B170" s="155" t="s">
        <v>794</v>
      </c>
      <c r="C170" s="156">
        <v>112.73</v>
      </c>
      <c r="D170" s="156">
        <v>223.64</v>
      </c>
      <c r="E170" s="156">
        <v>110.91</v>
      </c>
      <c r="F170" s="156">
        <v>6</v>
      </c>
      <c r="G170" s="156">
        <v>0.15</v>
      </c>
      <c r="H170" s="156">
        <v>1.2</v>
      </c>
      <c r="I170" s="156">
        <v>0</v>
      </c>
      <c r="J170" s="156">
        <v>8.6999999999999993</v>
      </c>
      <c r="K170" s="156">
        <v>0.17</v>
      </c>
      <c r="L170" s="156">
        <v>0.15</v>
      </c>
      <c r="M170" s="227"/>
      <c r="N170" s="156"/>
      <c r="O170" s="156"/>
    </row>
    <row r="171" spans="1:15" ht="10.95" customHeight="1" x14ac:dyDescent="0.3">
      <c r="A171" s="156" t="s">
        <v>653</v>
      </c>
      <c r="B171" s="155" t="s">
        <v>951</v>
      </c>
      <c r="C171" s="156">
        <v>223.64</v>
      </c>
      <c r="D171" s="156">
        <v>237.35</v>
      </c>
      <c r="E171" s="156">
        <v>13.71</v>
      </c>
      <c r="F171" s="156">
        <v>6</v>
      </c>
      <c r="G171" s="156">
        <v>0.15</v>
      </c>
      <c r="H171" s="156">
        <v>1.2</v>
      </c>
      <c r="I171" s="156">
        <v>0</v>
      </c>
      <c r="J171" s="156">
        <v>8.6999999999999993</v>
      </c>
      <c r="K171" s="156">
        <v>0.17</v>
      </c>
      <c r="L171" s="156">
        <v>0.15</v>
      </c>
      <c r="M171" s="227"/>
      <c r="N171" s="156"/>
      <c r="O171" s="156"/>
    </row>
    <row r="172" spans="1:15" ht="10.95" customHeight="1" x14ac:dyDescent="0.3">
      <c r="A172" s="156" t="s">
        <v>654</v>
      </c>
      <c r="B172" s="155" t="s">
        <v>795</v>
      </c>
      <c r="C172" s="156">
        <v>237.35</v>
      </c>
      <c r="D172" s="156">
        <v>337.47</v>
      </c>
      <c r="E172" s="156">
        <v>100.12</v>
      </c>
      <c r="F172" s="156">
        <v>6</v>
      </c>
      <c r="G172" s="156">
        <v>0.15</v>
      </c>
      <c r="H172" s="156">
        <v>1.2</v>
      </c>
      <c r="I172" s="156">
        <v>0</v>
      </c>
      <c r="J172" s="156">
        <v>8.6999999999999993</v>
      </c>
      <c r="K172" s="156">
        <v>0.17</v>
      </c>
      <c r="L172" s="156">
        <v>0.15</v>
      </c>
      <c r="M172" s="227"/>
      <c r="N172" s="156"/>
      <c r="O172" s="156"/>
    </row>
    <row r="173" spans="1:15" ht="10.95" customHeight="1" x14ac:dyDescent="0.3">
      <c r="A173" s="156" t="s">
        <v>655</v>
      </c>
      <c r="B173" s="155" t="s">
        <v>952</v>
      </c>
      <c r="C173" s="156">
        <v>337.47</v>
      </c>
      <c r="D173" s="156">
        <v>348.43</v>
      </c>
      <c r="E173" s="156">
        <v>10.96</v>
      </c>
      <c r="F173" s="156">
        <v>6</v>
      </c>
      <c r="G173" s="156">
        <v>0.15</v>
      </c>
      <c r="H173" s="156">
        <v>1.2</v>
      </c>
      <c r="I173" s="156">
        <v>0</v>
      </c>
      <c r="J173" s="156">
        <v>8.6999999999999993</v>
      </c>
      <c r="K173" s="156">
        <v>0.17</v>
      </c>
      <c r="L173" s="156">
        <v>0.15</v>
      </c>
      <c r="M173" s="227"/>
      <c r="N173" s="156"/>
      <c r="O173" s="156"/>
    </row>
    <row r="174" spans="1:15" ht="10.95" customHeight="1" x14ac:dyDescent="0.3">
      <c r="A174" s="156" t="s">
        <v>656</v>
      </c>
      <c r="B174" s="155" t="s">
        <v>796</v>
      </c>
      <c r="C174" s="156">
        <v>348.43</v>
      </c>
      <c r="D174" s="156">
        <v>450.81</v>
      </c>
      <c r="E174" s="156">
        <v>102.38</v>
      </c>
      <c r="F174" s="156">
        <v>6</v>
      </c>
      <c r="G174" s="156">
        <v>0.15</v>
      </c>
      <c r="H174" s="156">
        <v>1.2</v>
      </c>
      <c r="I174" s="156">
        <v>0</v>
      </c>
      <c r="J174" s="156">
        <v>8.6999999999999993</v>
      </c>
      <c r="K174" s="156">
        <v>0.17</v>
      </c>
      <c r="L174" s="156">
        <v>0.15</v>
      </c>
      <c r="M174" s="227"/>
      <c r="N174" s="156"/>
      <c r="O174" s="156"/>
    </row>
    <row r="175" spans="1:15" ht="10.95" customHeight="1" x14ac:dyDescent="0.3">
      <c r="A175" s="156" t="s">
        <v>657</v>
      </c>
      <c r="B175" s="155" t="s">
        <v>953</v>
      </c>
      <c r="C175" s="156">
        <v>450.81</v>
      </c>
      <c r="D175" s="156">
        <v>461.92</v>
      </c>
      <c r="E175" s="156">
        <v>11.11</v>
      </c>
      <c r="F175" s="156">
        <v>6</v>
      </c>
      <c r="G175" s="156">
        <v>0.15</v>
      </c>
      <c r="H175" s="156">
        <v>1.2</v>
      </c>
      <c r="I175" s="156">
        <v>0</v>
      </c>
      <c r="J175" s="156">
        <v>8.6999999999999993</v>
      </c>
      <c r="K175" s="156">
        <v>0.17</v>
      </c>
      <c r="L175" s="156">
        <v>0.15</v>
      </c>
      <c r="M175" s="227"/>
      <c r="N175" s="156"/>
      <c r="O175" s="156"/>
    </row>
    <row r="176" spans="1:15" ht="10.95" customHeight="1" x14ac:dyDescent="0.3">
      <c r="A176" s="156" t="s">
        <v>658</v>
      </c>
      <c r="B176" s="155" t="s">
        <v>797</v>
      </c>
      <c r="C176" s="156">
        <v>461.92</v>
      </c>
      <c r="D176" s="156">
        <v>563.32000000000005</v>
      </c>
      <c r="E176" s="156">
        <v>101.4</v>
      </c>
      <c r="F176" s="156">
        <v>6</v>
      </c>
      <c r="G176" s="156">
        <v>0.15</v>
      </c>
      <c r="H176" s="156">
        <v>1.2</v>
      </c>
      <c r="I176" s="156">
        <v>0</v>
      </c>
      <c r="J176" s="156">
        <v>8.6999999999999993</v>
      </c>
      <c r="K176" s="156">
        <v>0.17</v>
      </c>
      <c r="L176" s="156">
        <v>0.15</v>
      </c>
      <c r="M176" s="227"/>
      <c r="N176" s="156"/>
      <c r="O176" s="156"/>
    </row>
    <row r="177" spans="1:15" ht="10.95" customHeight="1" x14ac:dyDescent="0.3">
      <c r="A177" s="156" t="s">
        <v>659</v>
      </c>
      <c r="B177" s="155" t="s">
        <v>954</v>
      </c>
      <c r="C177" s="156">
        <v>563.32000000000005</v>
      </c>
      <c r="D177" s="156">
        <v>576.17000000000007</v>
      </c>
      <c r="E177" s="156">
        <v>12.85</v>
      </c>
      <c r="F177" s="156">
        <v>6</v>
      </c>
      <c r="G177" s="156">
        <v>0.15</v>
      </c>
      <c r="H177" s="156">
        <v>1.2</v>
      </c>
      <c r="I177" s="156">
        <v>0</v>
      </c>
      <c r="J177" s="156">
        <v>8.6999999999999993</v>
      </c>
      <c r="K177" s="156">
        <v>0.17</v>
      </c>
      <c r="L177" s="156">
        <v>0.15</v>
      </c>
      <c r="M177" s="227"/>
      <c r="N177" s="156"/>
      <c r="O177" s="156"/>
    </row>
    <row r="178" spans="1:15" ht="10.95" customHeight="1" x14ac:dyDescent="0.3">
      <c r="A178" s="158" t="s">
        <v>723</v>
      </c>
      <c r="B178" s="154" t="s">
        <v>783</v>
      </c>
      <c r="C178" s="154"/>
      <c r="D178" s="154"/>
      <c r="E178" s="158">
        <v>576.17000000000007</v>
      </c>
      <c r="F178" s="158">
        <v>6</v>
      </c>
      <c r="G178" s="158">
        <v>0.15</v>
      </c>
      <c r="H178" s="158">
        <v>1.2</v>
      </c>
      <c r="I178" s="158">
        <v>0</v>
      </c>
      <c r="J178" s="158">
        <v>8.6999999999999993</v>
      </c>
      <c r="K178" s="156">
        <v>0.17</v>
      </c>
      <c r="L178" s="158">
        <v>0.15</v>
      </c>
      <c r="M178" s="227"/>
      <c r="N178" s="156"/>
      <c r="O178" s="156"/>
    </row>
    <row r="179" spans="1:15" ht="10.95" customHeight="1" x14ac:dyDescent="0.3">
      <c r="A179" s="156" t="s">
        <v>660</v>
      </c>
      <c r="B179" s="155" t="s">
        <v>955</v>
      </c>
      <c r="C179" s="156">
        <v>0</v>
      </c>
      <c r="D179" s="156">
        <v>3</v>
      </c>
      <c r="E179" s="156">
        <v>3</v>
      </c>
      <c r="F179" s="156">
        <v>6</v>
      </c>
      <c r="G179" s="156">
        <v>0.15</v>
      </c>
      <c r="H179" s="156">
        <v>1.2</v>
      </c>
      <c r="I179" s="156">
        <v>0</v>
      </c>
      <c r="J179" s="156">
        <v>8.6999999999999993</v>
      </c>
      <c r="K179" s="156">
        <v>0.17</v>
      </c>
      <c r="L179" s="156">
        <v>0.15</v>
      </c>
      <c r="M179" s="227"/>
      <c r="N179" s="156"/>
      <c r="O179" s="156"/>
    </row>
    <row r="180" spans="1:15" ht="10.95" customHeight="1" x14ac:dyDescent="0.3">
      <c r="A180" s="156" t="s">
        <v>661</v>
      </c>
      <c r="B180" s="155" t="s">
        <v>800</v>
      </c>
      <c r="C180" s="156">
        <v>3</v>
      </c>
      <c r="D180" s="156">
        <v>102.98</v>
      </c>
      <c r="E180" s="156">
        <v>99.98</v>
      </c>
      <c r="F180" s="156">
        <v>6</v>
      </c>
      <c r="G180" s="156">
        <v>0.15</v>
      </c>
      <c r="H180" s="156">
        <v>1.2</v>
      </c>
      <c r="I180" s="156">
        <v>0</v>
      </c>
      <c r="J180" s="156">
        <v>8.6999999999999993</v>
      </c>
      <c r="K180" s="156">
        <v>0.17</v>
      </c>
      <c r="L180" s="156">
        <v>0.15</v>
      </c>
      <c r="M180" s="227"/>
      <c r="N180" s="156"/>
      <c r="O180" s="156"/>
    </row>
    <row r="181" spans="1:15" ht="10.95" customHeight="1" x14ac:dyDescent="0.3">
      <c r="A181" s="156" t="s">
        <v>686</v>
      </c>
      <c r="B181" s="155" t="s">
        <v>956</v>
      </c>
      <c r="C181" s="156">
        <v>102.98</v>
      </c>
      <c r="D181" s="156">
        <v>112.31</v>
      </c>
      <c r="E181" s="156">
        <v>9.33</v>
      </c>
      <c r="F181" s="156">
        <v>6</v>
      </c>
      <c r="G181" s="156">
        <v>0.15</v>
      </c>
      <c r="H181" s="156">
        <v>1.2</v>
      </c>
      <c r="I181" s="156">
        <v>0</v>
      </c>
      <c r="J181" s="156">
        <v>8.6999999999999993</v>
      </c>
      <c r="K181" s="156">
        <v>0.17</v>
      </c>
      <c r="L181" s="156">
        <v>0.15</v>
      </c>
      <c r="M181" s="227"/>
      <c r="N181" s="156"/>
      <c r="O181" s="156"/>
    </row>
    <row r="182" spans="1:15" ht="10.95" customHeight="1" x14ac:dyDescent="0.3">
      <c r="A182" s="156" t="s">
        <v>687</v>
      </c>
      <c r="B182" s="155" t="s">
        <v>801</v>
      </c>
      <c r="C182" s="156">
        <v>112.31</v>
      </c>
      <c r="D182" s="156">
        <v>214.46</v>
      </c>
      <c r="E182" s="156">
        <v>102.15</v>
      </c>
      <c r="F182" s="156">
        <v>6</v>
      </c>
      <c r="G182" s="156">
        <v>0.15</v>
      </c>
      <c r="H182" s="156">
        <v>1.2</v>
      </c>
      <c r="I182" s="156">
        <v>0</v>
      </c>
      <c r="J182" s="156">
        <v>8.6999999999999993</v>
      </c>
      <c r="K182" s="156">
        <v>0.17</v>
      </c>
      <c r="L182" s="156">
        <v>0.15</v>
      </c>
      <c r="M182" s="227"/>
      <c r="N182" s="156"/>
      <c r="O182" s="156"/>
    </row>
    <row r="183" spans="1:15" ht="10.95" customHeight="1" x14ac:dyDescent="0.3">
      <c r="A183" s="156" t="s">
        <v>688</v>
      </c>
      <c r="B183" s="155" t="s">
        <v>957</v>
      </c>
      <c r="C183" s="156">
        <v>214.46</v>
      </c>
      <c r="D183" s="156">
        <v>224.88</v>
      </c>
      <c r="E183" s="156">
        <v>10.42</v>
      </c>
      <c r="F183" s="156">
        <v>6</v>
      </c>
      <c r="G183" s="156">
        <v>0.15</v>
      </c>
      <c r="H183" s="156">
        <v>1.2</v>
      </c>
      <c r="I183" s="156">
        <v>0</v>
      </c>
      <c r="J183" s="156">
        <v>8.6999999999999993</v>
      </c>
      <c r="K183" s="156">
        <v>0.17</v>
      </c>
      <c r="L183" s="156">
        <v>0.15</v>
      </c>
      <c r="M183" s="227"/>
      <c r="N183" s="156"/>
      <c r="O183" s="156"/>
    </row>
    <row r="184" spans="1:15" ht="10.95" customHeight="1" x14ac:dyDescent="0.3">
      <c r="A184" s="156" t="s">
        <v>689</v>
      </c>
      <c r="B184" s="155" t="s">
        <v>802</v>
      </c>
      <c r="C184" s="156">
        <v>224.88</v>
      </c>
      <c r="D184" s="156">
        <v>325.51</v>
      </c>
      <c r="E184" s="156">
        <v>100.63</v>
      </c>
      <c r="F184" s="156">
        <v>6</v>
      </c>
      <c r="G184" s="156">
        <v>0.15</v>
      </c>
      <c r="H184" s="156">
        <v>1.2</v>
      </c>
      <c r="I184" s="156">
        <v>0</v>
      </c>
      <c r="J184" s="156">
        <v>8.6999999999999993</v>
      </c>
      <c r="K184" s="156">
        <v>0.17</v>
      </c>
      <c r="L184" s="156">
        <v>0.15</v>
      </c>
      <c r="M184" s="227"/>
      <c r="N184" s="156"/>
      <c r="O184" s="156"/>
    </row>
    <row r="185" spans="1:15" ht="10.95" customHeight="1" x14ac:dyDescent="0.3">
      <c r="A185" s="156" t="s">
        <v>690</v>
      </c>
      <c r="B185" s="155" t="s">
        <v>958</v>
      </c>
      <c r="C185" s="156">
        <v>325.51</v>
      </c>
      <c r="D185" s="156">
        <v>338.27</v>
      </c>
      <c r="E185" s="156">
        <v>12.76</v>
      </c>
      <c r="F185" s="156">
        <v>6</v>
      </c>
      <c r="G185" s="156">
        <v>0.15</v>
      </c>
      <c r="H185" s="156">
        <v>1.2</v>
      </c>
      <c r="I185" s="156">
        <v>0</v>
      </c>
      <c r="J185" s="156">
        <v>8.6999999999999993</v>
      </c>
      <c r="K185" s="156">
        <v>0.17</v>
      </c>
      <c r="L185" s="156">
        <v>0.15</v>
      </c>
      <c r="M185" s="227"/>
      <c r="N185" s="156"/>
      <c r="O185" s="156"/>
    </row>
    <row r="186" spans="1:15" ht="10.95" customHeight="1" x14ac:dyDescent="0.3">
      <c r="A186" s="158" t="s">
        <v>733</v>
      </c>
      <c r="B186" s="154" t="s">
        <v>804</v>
      </c>
      <c r="C186" s="154"/>
      <c r="D186" s="154"/>
      <c r="E186" s="158">
        <v>338.27</v>
      </c>
      <c r="F186" s="158">
        <v>6</v>
      </c>
      <c r="G186" s="158">
        <v>0.15</v>
      </c>
      <c r="H186" s="158">
        <v>1.2</v>
      </c>
      <c r="I186" s="158">
        <v>0</v>
      </c>
      <c r="J186" s="158">
        <v>8.6999999999999993</v>
      </c>
      <c r="K186" s="156">
        <v>0.17</v>
      </c>
      <c r="L186" s="158">
        <v>0.15</v>
      </c>
      <c r="M186" s="227"/>
      <c r="N186" s="156"/>
      <c r="O186" s="156"/>
    </row>
    <row r="187" spans="1:15" ht="10.95" customHeight="1" x14ac:dyDescent="0.3">
      <c r="A187" s="156" t="s">
        <v>691</v>
      </c>
      <c r="B187" s="155" t="s">
        <v>959</v>
      </c>
      <c r="C187" s="156">
        <v>0</v>
      </c>
      <c r="D187" s="156">
        <v>3</v>
      </c>
      <c r="E187" s="156">
        <v>3</v>
      </c>
      <c r="F187" s="156">
        <v>6</v>
      </c>
      <c r="G187" s="156">
        <v>0.15</v>
      </c>
      <c r="H187" s="156">
        <v>1.2</v>
      </c>
      <c r="I187" s="156">
        <v>0</v>
      </c>
      <c r="J187" s="156">
        <v>8.6999999999999993</v>
      </c>
      <c r="K187" s="156">
        <v>0.17</v>
      </c>
      <c r="L187" s="156">
        <v>0.15</v>
      </c>
      <c r="M187" s="227"/>
      <c r="N187" s="156"/>
      <c r="O187" s="156"/>
    </row>
    <row r="188" spans="1:15" ht="10.95" customHeight="1" x14ac:dyDescent="0.3">
      <c r="A188" s="156" t="s">
        <v>692</v>
      </c>
      <c r="B188" s="155" t="s">
        <v>805</v>
      </c>
      <c r="C188" s="156">
        <v>3</v>
      </c>
      <c r="D188" s="156">
        <v>105.03</v>
      </c>
      <c r="E188" s="156">
        <v>102.03</v>
      </c>
      <c r="F188" s="156">
        <v>6</v>
      </c>
      <c r="G188" s="156">
        <v>0.15</v>
      </c>
      <c r="H188" s="156">
        <v>1.2</v>
      </c>
      <c r="I188" s="156">
        <v>0</v>
      </c>
      <c r="J188" s="156">
        <v>8.6999999999999993</v>
      </c>
      <c r="K188" s="156">
        <v>0.17</v>
      </c>
      <c r="L188" s="156">
        <v>0.15</v>
      </c>
      <c r="M188" s="227"/>
      <c r="N188" s="156"/>
      <c r="O188" s="156"/>
    </row>
    <row r="189" spans="1:15" ht="10.95" customHeight="1" x14ac:dyDescent="0.3">
      <c r="A189" s="156" t="s">
        <v>693</v>
      </c>
      <c r="B189" s="155" t="s">
        <v>960</v>
      </c>
      <c r="C189" s="156">
        <v>105.03</v>
      </c>
      <c r="D189" s="156">
        <v>117.1</v>
      </c>
      <c r="E189" s="156">
        <v>12.07</v>
      </c>
      <c r="F189" s="156">
        <v>6</v>
      </c>
      <c r="G189" s="156">
        <v>0.15</v>
      </c>
      <c r="H189" s="156">
        <v>1.2</v>
      </c>
      <c r="I189" s="156">
        <v>0</v>
      </c>
      <c r="J189" s="156">
        <v>8.6999999999999993</v>
      </c>
      <c r="K189" s="156">
        <v>0.17</v>
      </c>
      <c r="L189" s="156">
        <v>0.15</v>
      </c>
      <c r="M189" s="227"/>
      <c r="N189" s="156"/>
      <c r="O189" s="156"/>
    </row>
    <row r="190" spans="1:15" ht="10.95" customHeight="1" x14ac:dyDescent="0.3">
      <c r="A190" s="156" t="s">
        <v>694</v>
      </c>
      <c r="B190" s="155" t="s">
        <v>806</v>
      </c>
      <c r="C190" s="156">
        <v>117.1</v>
      </c>
      <c r="D190" s="156">
        <v>215.45999999999998</v>
      </c>
      <c r="E190" s="156">
        <v>98.36</v>
      </c>
      <c r="F190" s="156">
        <v>6</v>
      </c>
      <c r="G190" s="156">
        <v>0.15</v>
      </c>
      <c r="H190" s="156">
        <v>1.2</v>
      </c>
      <c r="I190" s="156">
        <v>0</v>
      </c>
      <c r="J190" s="156">
        <v>8.6999999999999993</v>
      </c>
      <c r="K190" s="156">
        <v>0.17</v>
      </c>
      <c r="L190" s="156">
        <v>0.15</v>
      </c>
      <c r="M190" s="227"/>
      <c r="N190" s="156"/>
      <c r="O190" s="156"/>
    </row>
    <row r="191" spans="1:15" ht="10.95" customHeight="1" x14ac:dyDescent="0.3">
      <c r="A191" s="156" t="s">
        <v>695</v>
      </c>
      <c r="B191" s="155" t="s">
        <v>961</v>
      </c>
      <c r="C191" s="156">
        <v>215.45999999999998</v>
      </c>
      <c r="D191" s="156">
        <v>227.45999999999998</v>
      </c>
      <c r="E191" s="156">
        <v>12</v>
      </c>
      <c r="F191" s="156">
        <v>6</v>
      </c>
      <c r="G191" s="156">
        <v>0.15</v>
      </c>
      <c r="H191" s="156">
        <v>1.2</v>
      </c>
      <c r="I191" s="156">
        <v>0</v>
      </c>
      <c r="J191" s="156">
        <v>8.6999999999999993</v>
      </c>
      <c r="K191" s="156">
        <v>0.17</v>
      </c>
      <c r="L191" s="156">
        <v>0.15</v>
      </c>
      <c r="M191" s="227"/>
      <c r="N191" s="156"/>
      <c r="O191" s="156"/>
    </row>
    <row r="192" spans="1:15" ht="10.95" customHeight="1" x14ac:dyDescent="0.3">
      <c r="A192" s="156" t="s">
        <v>696</v>
      </c>
      <c r="B192" s="155" t="s">
        <v>807</v>
      </c>
      <c r="C192" s="156">
        <v>227.45999999999998</v>
      </c>
      <c r="D192" s="156">
        <v>328.25</v>
      </c>
      <c r="E192" s="156">
        <v>100.79</v>
      </c>
      <c r="F192" s="156">
        <v>6</v>
      </c>
      <c r="G192" s="156">
        <v>0.15</v>
      </c>
      <c r="H192" s="156">
        <v>1.2</v>
      </c>
      <c r="I192" s="156">
        <v>0</v>
      </c>
      <c r="J192" s="156">
        <v>8.6999999999999993</v>
      </c>
      <c r="K192" s="156">
        <v>0.17</v>
      </c>
      <c r="L192" s="156">
        <v>0.15</v>
      </c>
      <c r="M192" s="227"/>
      <c r="N192" s="156"/>
      <c r="O192" s="156"/>
    </row>
    <row r="193" spans="1:15" ht="10.95" customHeight="1" x14ac:dyDescent="0.3">
      <c r="A193" s="156" t="s">
        <v>697</v>
      </c>
      <c r="B193" s="155" t="s">
        <v>962</v>
      </c>
      <c r="C193" s="156">
        <v>328.25</v>
      </c>
      <c r="D193" s="156">
        <v>339.22</v>
      </c>
      <c r="E193" s="156">
        <v>10.97</v>
      </c>
      <c r="F193" s="156">
        <v>6</v>
      </c>
      <c r="G193" s="156">
        <v>0.15</v>
      </c>
      <c r="H193" s="156">
        <v>1.2</v>
      </c>
      <c r="I193" s="156">
        <v>0</v>
      </c>
      <c r="J193" s="156">
        <v>8.6999999999999993</v>
      </c>
      <c r="K193" s="156">
        <v>0.17</v>
      </c>
      <c r="L193" s="156">
        <v>0.15</v>
      </c>
      <c r="M193" s="227"/>
      <c r="N193" s="156"/>
      <c r="O193" s="156"/>
    </row>
    <row r="194" spans="1:15" ht="10.95" customHeight="1" x14ac:dyDescent="0.3">
      <c r="A194" s="158" t="s">
        <v>737</v>
      </c>
      <c r="B194" s="154" t="s">
        <v>808</v>
      </c>
      <c r="C194" s="154"/>
      <c r="D194" s="154"/>
      <c r="E194" s="158">
        <v>339.22</v>
      </c>
      <c r="F194" s="158">
        <v>6</v>
      </c>
      <c r="G194" s="158">
        <v>0.15</v>
      </c>
      <c r="H194" s="158">
        <v>1.2</v>
      </c>
      <c r="I194" s="158">
        <v>0</v>
      </c>
      <c r="J194" s="158">
        <v>8.6999999999999993</v>
      </c>
      <c r="K194" s="156">
        <v>0.17</v>
      </c>
      <c r="L194" s="158">
        <v>0.15</v>
      </c>
      <c r="M194" s="227"/>
      <c r="N194" s="156"/>
      <c r="O194" s="156"/>
    </row>
    <row r="195" spans="1:15" ht="10.95" customHeight="1" x14ac:dyDescent="0.3">
      <c r="A195" s="156" t="s">
        <v>699</v>
      </c>
      <c r="B195" s="155" t="s">
        <v>963</v>
      </c>
      <c r="C195" s="156">
        <v>0</v>
      </c>
      <c r="D195" s="156">
        <v>3</v>
      </c>
      <c r="E195" s="156">
        <v>3</v>
      </c>
      <c r="F195" s="156">
        <v>6</v>
      </c>
      <c r="G195" s="156">
        <v>0.15</v>
      </c>
      <c r="H195" s="156">
        <v>1.2</v>
      </c>
      <c r="I195" s="156">
        <v>0</v>
      </c>
      <c r="J195" s="156">
        <v>8.6999999999999993</v>
      </c>
      <c r="K195" s="156">
        <v>0.17</v>
      </c>
      <c r="L195" s="156">
        <v>0.15</v>
      </c>
      <c r="M195" s="227"/>
      <c r="N195" s="156"/>
      <c r="O195" s="156"/>
    </row>
    <row r="196" spans="1:15" ht="10.95" customHeight="1" x14ac:dyDescent="0.3">
      <c r="A196" s="156" t="s">
        <v>700</v>
      </c>
      <c r="B196" s="155" t="s">
        <v>809</v>
      </c>
      <c r="C196" s="156">
        <v>3</v>
      </c>
      <c r="D196" s="156">
        <v>108.65</v>
      </c>
      <c r="E196" s="156">
        <v>105.65</v>
      </c>
      <c r="F196" s="156">
        <v>6</v>
      </c>
      <c r="G196" s="156">
        <v>0.15</v>
      </c>
      <c r="H196" s="156">
        <v>1.2</v>
      </c>
      <c r="I196" s="156">
        <v>0</v>
      </c>
      <c r="J196" s="156">
        <v>8.6999999999999993</v>
      </c>
      <c r="K196" s="156">
        <v>0.17</v>
      </c>
      <c r="L196" s="156">
        <v>0.15</v>
      </c>
      <c r="M196" s="227"/>
      <c r="N196" s="156"/>
      <c r="O196" s="156"/>
    </row>
    <row r="197" spans="1:15" ht="10.95" customHeight="1" x14ac:dyDescent="0.3">
      <c r="A197" s="156" t="s">
        <v>701</v>
      </c>
      <c r="B197" s="155" t="s">
        <v>964</v>
      </c>
      <c r="C197" s="156">
        <v>108.65</v>
      </c>
      <c r="D197" s="156">
        <v>120.45</v>
      </c>
      <c r="E197" s="156">
        <v>11.8</v>
      </c>
      <c r="F197" s="156">
        <v>6</v>
      </c>
      <c r="G197" s="156">
        <v>0.15</v>
      </c>
      <c r="H197" s="156">
        <v>1.2</v>
      </c>
      <c r="I197" s="156">
        <v>0</v>
      </c>
      <c r="J197" s="156">
        <v>8.6999999999999993</v>
      </c>
      <c r="K197" s="156">
        <v>0.17</v>
      </c>
      <c r="L197" s="156">
        <v>0.15</v>
      </c>
      <c r="M197" s="227"/>
      <c r="N197" s="156"/>
      <c r="O197" s="156"/>
    </row>
    <row r="198" spans="1:15" ht="10.95" customHeight="1" x14ac:dyDescent="0.3">
      <c r="A198" s="156" t="s">
        <v>702</v>
      </c>
      <c r="B198" s="155" t="s">
        <v>810</v>
      </c>
      <c r="C198" s="156">
        <v>120.45</v>
      </c>
      <c r="D198" s="156">
        <v>192.15</v>
      </c>
      <c r="E198" s="156">
        <v>71.7</v>
      </c>
      <c r="F198" s="156">
        <v>6</v>
      </c>
      <c r="G198" s="156">
        <v>0.15</v>
      </c>
      <c r="H198" s="156">
        <v>1.2</v>
      </c>
      <c r="I198" s="156">
        <v>0</v>
      </c>
      <c r="J198" s="156">
        <v>8.6999999999999993</v>
      </c>
      <c r="K198" s="156">
        <v>0.17</v>
      </c>
      <c r="L198" s="156">
        <v>0.15</v>
      </c>
      <c r="M198" s="227"/>
      <c r="N198" s="156"/>
      <c r="O198" s="156"/>
    </row>
    <row r="199" spans="1:15" ht="10.95" customHeight="1" x14ac:dyDescent="0.3">
      <c r="A199" s="156" t="s">
        <v>703</v>
      </c>
      <c r="B199" s="155" t="s">
        <v>965</v>
      </c>
      <c r="C199" s="156">
        <v>192.15</v>
      </c>
      <c r="D199" s="156">
        <v>203.47</v>
      </c>
      <c r="E199" s="156">
        <v>11.32</v>
      </c>
      <c r="F199" s="156">
        <v>6</v>
      </c>
      <c r="G199" s="156">
        <v>0.15</v>
      </c>
      <c r="H199" s="156">
        <v>1.2</v>
      </c>
      <c r="I199" s="156">
        <v>0</v>
      </c>
      <c r="J199" s="156">
        <v>8.6999999999999993</v>
      </c>
      <c r="K199" s="156">
        <v>0.17</v>
      </c>
      <c r="L199" s="156">
        <v>0.15</v>
      </c>
      <c r="M199" s="227"/>
      <c r="N199" s="156"/>
      <c r="O199" s="156"/>
    </row>
    <row r="200" spans="1:15" ht="10.95" customHeight="1" x14ac:dyDescent="0.3">
      <c r="A200" s="156" t="s">
        <v>704</v>
      </c>
      <c r="B200" s="155" t="s">
        <v>811</v>
      </c>
      <c r="C200" s="156">
        <v>203.47</v>
      </c>
      <c r="D200" s="156">
        <v>305.28999999999996</v>
      </c>
      <c r="E200" s="156">
        <v>101.82</v>
      </c>
      <c r="F200" s="156">
        <v>6</v>
      </c>
      <c r="G200" s="156">
        <v>0.15</v>
      </c>
      <c r="H200" s="156">
        <v>1.2</v>
      </c>
      <c r="I200" s="156">
        <v>0</v>
      </c>
      <c r="J200" s="156">
        <v>8.6999999999999993</v>
      </c>
      <c r="K200" s="156">
        <v>0.17</v>
      </c>
      <c r="L200" s="156">
        <v>0.15</v>
      </c>
      <c r="M200" s="227"/>
      <c r="N200" s="156"/>
      <c r="O200" s="156"/>
    </row>
    <row r="201" spans="1:15" ht="10.95" customHeight="1" x14ac:dyDescent="0.3">
      <c r="A201" s="156" t="s">
        <v>705</v>
      </c>
      <c r="B201" s="155" t="s">
        <v>966</v>
      </c>
      <c r="C201" s="156">
        <v>305.28999999999996</v>
      </c>
      <c r="D201" s="156">
        <v>315.66999999999996</v>
      </c>
      <c r="E201" s="156">
        <v>10.38</v>
      </c>
      <c r="F201" s="156">
        <v>6</v>
      </c>
      <c r="G201" s="156">
        <v>0.15</v>
      </c>
      <c r="H201" s="156">
        <v>1.2</v>
      </c>
      <c r="I201" s="156">
        <v>0</v>
      </c>
      <c r="J201" s="156">
        <v>8.6999999999999993</v>
      </c>
      <c r="K201" s="156">
        <v>0.17</v>
      </c>
      <c r="L201" s="156">
        <v>0.15</v>
      </c>
      <c r="M201" s="227"/>
      <c r="N201" s="156"/>
      <c r="O201" s="156"/>
    </row>
    <row r="202" spans="1:15" ht="10.95" customHeight="1" x14ac:dyDescent="0.3">
      <c r="A202" s="156" t="s">
        <v>706</v>
      </c>
      <c r="B202" s="155" t="s">
        <v>812</v>
      </c>
      <c r="C202" s="156">
        <v>315.66999999999996</v>
      </c>
      <c r="D202" s="156">
        <v>415.19999999999993</v>
      </c>
      <c r="E202" s="156">
        <v>99.53</v>
      </c>
      <c r="F202" s="156">
        <v>6</v>
      </c>
      <c r="G202" s="156">
        <v>0.15</v>
      </c>
      <c r="H202" s="156">
        <v>1.2</v>
      </c>
      <c r="I202" s="156">
        <v>0</v>
      </c>
      <c r="J202" s="156">
        <v>8.6999999999999993</v>
      </c>
      <c r="K202" s="156">
        <v>0.17</v>
      </c>
      <c r="L202" s="156">
        <v>0.15</v>
      </c>
      <c r="M202" s="227"/>
      <c r="N202" s="156"/>
      <c r="O202" s="156"/>
    </row>
    <row r="203" spans="1:15" ht="10.95" customHeight="1" x14ac:dyDescent="0.3">
      <c r="A203" s="156" t="s">
        <v>730</v>
      </c>
      <c r="B203" s="155" t="s">
        <v>967</v>
      </c>
      <c r="C203" s="156">
        <v>415.19999999999993</v>
      </c>
      <c r="D203" s="156">
        <v>425.33999999999992</v>
      </c>
      <c r="E203" s="156">
        <v>10.14</v>
      </c>
      <c r="F203" s="156">
        <v>6</v>
      </c>
      <c r="G203" s="156">
        <v>0.15</v>
      </c>
      <c r="H203" s="156">
        <v>1.2</v>
      </c>
      <c r="I203" s="156">
        <v>0</v>
      </c>
      <c r="J203" s="156">
        <v>8.6999999999999993</v>
      </c>
      <c r="K203" s="156">
        <v>0.17</v>
      </c>
      <c r="L203" s="156">
        <v>0.15</v>
      </c>
      <c r="M203" s="227"/>
      <c r="N203" s="156"/>
      <c r="O203" s="156"/>
    </row>
    <row r="204" spans="1:15" ht="10.95" customHeight="1" x14ac:dyDescent="0.3">
      <c r="A204" s="156" t="s">
        <v>731</v>
      </c>
      <c r="B204" s="155" t="s">
        <v>813</v>
      </c>
      <c r="C204" s="156">
        <v>425.33999999999992</v>
      </c>
      <c r="D204" s="156">
        <v>528.62999999999988</v>
      </c>
      <c r="E204" s="156">
        <v>103.29</v>
      </c>
      <c r="F204" s="156">
        <v>6</v>
      </c>
      <c r="G204" s="156">
        <v>0.15</v>
      </c>
      <c r="H204" s="156">
        <v>1.2</v>
      </c>
      <c r="I204" s="156">
        <v>0</v>
      </c>
      <c r="J204" s="156">
        <v>8.6999999999999993</v>
      </c>
      <c r="K204" s="156">
        <v>0.17</v>
      </c>
      <c r="L204" s="156">
        <v>0.15</v>
      </c>
      <c r="M204" s="227"/>
      <c r="N204" s="156"/>
      <c r="O204" s="156"/>
    </row>
    <row r="205" spans="1:15" ht="10.95" customHeight="1" x14ac:dyDescent="0.3">
      <c r="A205" s="156" t="s">
        <v>732</v>
      </c>
      <c r="B205" s="155" t="s">
        <v>968</v>
      </c>
      <c r="C205" s="156">
        <v>528.62999999999988</v>
      </c>
      <c r="D205" s="156">
        <v>539.91999999999985</v>
      </c>
      <c r="E205" s="156">
        <v>11.29</v>
      </c>
      <c r="F205" s="156">
        <v>6</v>
      </c>
      <c r="G205" s="156">
        <v>0.15</v>
      </c>
      <c r="H205" s="156">
        <v>1.2</v>
      </c>
      <c r="I205" s="156">
        <v>0</v>
      </c>
      <c r="J205" s="156">
        <v>8.6999999999999993</v>
      </c>
      <c r="K205" s="156">
        <v>0.17</v>
      </c>
      <c r="L205" s="156">
        <v>0.15</v>
      </c>
      <c r="M205" s="227"/>
      <c r="N205" s="156"/>
      <c r="O205" s="156"/>
    </row>
    <row r="206" spans="1:15" ht="10.95" customHeight="1" x14ac:dyDescent="0.3">
      <c r="A206" s="158" t="s">
        <v>777</v>
      </c>
      <c r="B206" s="154" t="s">
        <v>814</v>
      </c>
      <c r="C206" s="154"/>
      <c r="D206" s="154"/>
      <c r="E206" s="158">
        <v>539.91999999999985</v>
      </c>
      <c r="F206" s="158">
        <v>6</v>
      </c>
      <c r="G206" s="158">
        <v>0.15</v>
      </c>
      <c r="H206" s="158">
        <v>1.2</v>
      </c>
      <c r="I206" s="158">
        <v>0</v>
      </c>
      <c r="J206" s="158">
        <v>8.6999999999999993</v>
      </c>
      <c r="K206" s="156">
        <v>0.17</v>
      </c>
      <c r="L206" s="158">
        <v>0.15</v>
      </c>
      <c r="M206" s="227"/>
      <c r="N206" s="156"/>
      <c r="O206" s="156"/>
    </row>
    <row r="207" spans="1:15" ht="10.95" customHeight="1" x14ac:dyDescent="0.3">
      <c r="A207" s="156" t="s">
        <v>740</v>
      </c>
      <c r="B207" s="155" t="s">
        <v>969</v>
      </c>
      <c r="C207" s="156">
        <v>0</v>
      </c>
      <c r="D207" s="156">
        <v>3</v>
      </c>
      <c r="E207" s="156">
        <v>3</v>
      </c>
      <c r="F207" s="156">
        <v>6</v>
      </c>
      <c r="G207" s="156">
        <v>0.15</v>
      </c>
      <c r="H207" s="156">
        <v>1.2</v>
      </c>
      <c r="I207" s="156">
        <v>0</v>
      </c>
      <c r="J207" s="156">
        <v>8.6999999999999993</v>
      </c>
      <c r="K207" s="156">
        <v>0.17</v>
      </c>
      <c r="L207" s="156">
        <v>0.15</v>
      </c>
      <c r="M207" s="227"/>
      <c r="N207" s="156"/>
      <c r="O207" s="156"/>
    </row>
    <row r="208" spans="1:15" ht="10.95" customHeight="1" x14ac:dyDescent="0.3">
      <c r="A208" s="156" t="s">
        <v>741</v>
      </c>
      <c r="B208" s="155" t="s">
        <v>815</v>
      </c>
      <c r="C208" s="156">
        <v>3</v>
      </c>
      <c r="D208" s="156">
        <v>53.06</v>
      </c>
      <c r="E208" s="156">
        <v>50.06</v>
      </c>
      <c r="F208" s="156">
        <v>6</v>
      </c>
      <c r="G208" s="156">
        <v>0.15</v>
      </c>
      <c r="H208" s="156">
        <v>1.2</v>
      </c>
      <c r="I208" s="156">
        <v>0</v>
      </c>
      <c r="J208" s="156">
        <v>8.6999999999999993</v>
      </c>
      <c r="K208" s="156">
        <v>0.17</v>
      </c>
      <c r="L208" s="156">
        <v>0.15</v>
      </c>
      <c r="M208" s="227"/>
      <c r="N208" s="156"/>
      <c r="O208" s="156"/>
    </row>
    <row r="209" spans="1:15" ht="10.95" customHeight="1" x14ac:dyDescent="0.3">
      <c r="A209" s="156" t="s">
        <v>742</v>
      </c>
      <c r="B209" s="155" t="s">
        <v>970</v>
      </c>
      <c r="C209" s="156">
        <v>53.06</v>
      </c>
      <c r="D209" s="156">
        <v>67.099999999999994</v>
      </c>
      <c r="E209" s="156">
        <v>14.04</v>
      </c>
      <c r="F209" s="156">
        <v>6</v>
      </c>
      <c r="G209" s="156">
        <v>0.15</v>
      </c>
      <c r="H209" s="156">
        <v>1.2</v>
      </c>
      <c r="I209" s="156">
        <v>0</v>
      </c>
      <c r="J209" s="156">
        <v>8.6999999999999993</v>
      </c>
      <c r="K209" s="156">
        <v>0.17</v>
      </c>
      <c r="L209" s="156">
        <v>0.15</v>
      </c>
      <c r="M209" s="227"/>
      <c r="N209" s="156"/>
      <c r="O209" s="156"/>
    </row>
    <row r="210" spans="1:15" ht="10.95" customHeight="1" x14ac:dyDescent="0.3">
      <c r="A210" s="156" t="s">
        <v>743</v>
      </c>
      <c r="B210" s="155" t="s">
        <v>816</v>
      </c>
      <c r="C210" s="156">
        <v>67.099999999999994</v>
      </c>
      <c r="D210" s="156">
        <v>107.34</v>
      </c>
      <c r="E210" s="156">
        <v>40.24</v>
      </c>
      <c r="F210" s="156">
        <v>6</v>
      </c>
      <c r="G210" s="156">
        <v>0.15</v>
      </c>
      <c r="H210" s="156">
        <v>1.2</v>
      </c>
      <c r="I210" s="156">
        <v>0</v>
      </c>
      <c r="J210" s="156">
        <v>8.6999999999999993</v>
      </c>
      <c r="K210" s="156">
        <v>0.17</v>
      </c>
      <c r="L210" s="156">
        <v>0.15</v>
      </c>
      <c r="M210" s="227"/>
      <c r="N210" s="156"/>
      <c r="O210" s="156"/>
    </row>
    <row r="211" spans="1:15" ht="10.95" customHeight="1" x14ac:dyDescent="0.3">
      <c r="A211" s="156" t="s">
        <v>744</v>
      </c>
      <c r="B211" s="155" t="s">
        <v>971</v>
      </c>
      <c r="C211" s="156">
        <v>107.34</v>
      </c>
      <c r="D211" s="156">
        <v>118.81</v>
      </c>
      <c r="E211" s="156">
        <v>11.47</v>
      </c>
      <c r="F211" s="156">
        <v>6</v>
      </c>
      <c r="G211" s="156">
        <v>0.15</v>
      </c>
      <c r="H211" s="156">
        <v>1.2</v>
      </c>
      <c r="I211" s="156">
        <v>0</v>
      </c>
      <c r="J211" s="156">
        <v>8.6999999999999993</v>
      </c>
      <c r="K211" s="156">
        <v>0.17</v>
      </c>
      <c r="L211" s="156">
        <v>0.15</v>
      </c>
      <c r="M211" s="227"/>
      <c r="N211" s="156"/>
      <c r="O211" s="156"/>
    </row>
    <row r="212" spans="1:15" ht="10.95" customHeight="1" x14ac:dyDescent="0.3">
      <c r="A212" s="156" t="s">
        <v>745</v>
      </c>
      <c r="B212" s="155" t="s">
        <v>817</v>
      </c>
      <c r="C212" s="156">
        <v>118.81</v>
      </c>
      <c r="D212" s="156">
        <v>165.25</v>
      </c>
      <c r="E212" s="156">
        <v>46.44</v>
      </c>
      <c r="F212" s="156">
        <v>6</v>
      </c>
      <c r="G212" s="156">
        <v>0.15</v>
      </c>
      <c r="H212" s="156">
        <v>1.2</v>
      </c>
      <c r="I212" s="156">
        <v>0</v>
      </c>
      <c r="J212" s="156">
        <v>8.6999999999999993</v>
      </c>
      <c r="K212" s="156">
        <v>0.17</v>
      </c>
      <c r="L212" s="156">
        <v>0.15</v>
      </c>
      <c r="M212" s="227"/>
      <c r="N212" s="156"/>
      <c r="O212" s="156"/>
    </row>
    <row r="213" spans="1:15" ht="10.95" customHeight="1" x14ac:dyDescent="0.3">
      <c r="A213" s="156" t="s">
        <v>746</v>
      </c>
      <c r="B213" s="155" t="s">
        <v>972</v>
      </c>
      <c r="C213" s="156">
        <v>165.25</v>
      </c>
      <c r="D213" s="156">
        <v>176.91</v>
      </c>
      <c r="E213" s="156">
        <v>11.66</v>
      </c>
      <c r="F213" s="156">
        <v>6</v>
      </c>
      <c r="G213" s="156">
        <v>0.15</v>
      </c>
      <c r="H213" s="156">
        <v>1.2</v>
      </c>
      <c r="I213" s="156">
        <v>0</v>
      </c>
      <c r="J213" s="156">
        <v>8.6999999999999993</v>
      </c>
      <c r="K213" s="156">
        <v>0.17</v>
      </c>
      <c r="L213" s="156">
        <v>0.15</v>
      </c>
      <c r="M213" s="227"/>
      <c r="N213" s="156"/>
      <c r="O213" s="156"/>
    </row>
    <row r="214" spans="1:15" ht="10.95" customHeight="1" x14ac:dyDescent="0.3">
      <c r="A214" s="156" t="s">
        <v>747</v>
      </c>
      <c r="B214" s="155" t="s">
        <v>818</v>
      </c>
      <c r="C214" s="156">
        <v>176.91</v>
      </c>
      <c r="D214" s="156">
        <v>217.29</v>
      </c>
      <c r="E214" s="156">
        <v>40.380000000000003</v>
      </c>
      <c r="F214" s="156">
        <v>6</v>
      </c>
      <c r="G214" s="156">
        <v>0.15</v>
      </c>
      <c r="H214" s="156">
        <v>1.2</v>
      </c>
      <c r="I214" s="156">
        <v>0</v>
      </c>
      <c r="J214" s="156">
        <v>8.6999999999999993</v>
      </c>
      <c r="K214" s="156">
        <v>0.17</v>
      </c>
      <c r="L214" s="156">
        <v>0.15</v>
      </c>
      <c r="M214" s="227"/>
      <c r="N214" s="156"/>
      <c r="O214" s="156"/>
    </row>
    <row r="215" spans="1:15" ht="10.95" customHeight="1" x14ac:dyDescent="0.3">
      <c r="A215" s="156" t="s">
        <v>748</v>
      </c>
      <c r="B215" s="155" t="s">
        <v>973</v>
      </c>
      <c r="C215" s="156">
        <v>217.29</v>
      </c>
      <c r="D215" s="156">
        <v>229.43</v>
      </c>
      <c r="E215" s="156">
        <v>12.14</v>
      </c>
      <c r="F215" s="156">
        <v>6</v>
      </c>
      <c r="G215" s="156">
        <v>0.15</v>
      </c>
      <c r="H215" s="156">
        <v>1.2</v>
      </c>
      <c r="I215" s="156">
        <v>0</v>
      </c>
      <c r="J215" s="156">
        <v>8.6999999999999993</v>
      </c>
      <c r="K215" s="156">
        <v>0.17</v>
      </c>
      <c r="L215" s="156">
        <v>0.15</v>
      </c>
      <c r="M215" s="227"/>
      <c r="N215" s="156"/>
      <c r="O215" s="156"/>
    </row>
    <row r="216" spans="1:15" ht="10.95" customHeight="1" x14ac:dyDescent="0.3">
      <c r="A216" s="156" t="s">
        <v>749</v>
      </c>
      <c r="B216" s="155" t="s">
        <v>819</v>
      </c>
      <c r="C216" s="156">
        <v>229.43</v>
      </c>
      <c r="D216" s="156">
        <v>281.06</v>
      </c>
      <c r="E216" s="156">
        <v>51.63</v>
      </c>
      <c r="F216" s="156">
        <v>6</v>
      </c>
      <c r="G216" s="156">
        <v>0.15</v>
      </c>
      <c r="H216" s="156">
        <v>1.2</v>
      </c>
      <c r="I216" s="156">
        <v>0</v>
      </c>
      <c r="J216" s="156">
        <v>8.6999999999999993</v>
      </c>
      <c r="K216" s="156">
        <v>0.17</v>
      </c>
      <c r="L216" s="156">
        <v>0.15</v>
      </c>
      <c r="M216" s="227"/>
      <c r="N216" s="156"/>
      <c r="O216" s="156"/>
    </row>
    <row r="217" spans="1:15" ht="10.95" customHeight="1" x14ac:dyDescent="0.3">
      <c r="A217" s="156" t="s">
        <v>750</v>
      </c>
      <c r="B217" s="155" t="s">
        <v>974</v>
      </c>
      <c r="C217" s="156">
        <v>281.06</v>
      </c>
      <c r="D217" s="156">
        <v>284.06</v>
      </c>
      <c r="E217" s="156">
        <v>3</v>
      </c>
      <c r="F217" s="156">
        <v>6</v>
      </c>
      <c r="G217" s="156">
        <v>0.15</v>
      </c>
      <c r="H217" s="156">
        <v>1.2</v>
      </c>
      <c r="I217" s="156">
        <v>0</v>
      </c>
      <c r="J217" s="156">
        <v>8.6999999999999993</v>
      </c>
      <c r="K217" s="156">
        <v>0.17</v>
      </c>
      <c r="L217" s="156">
        <v>0.15</v>
      </c>
      <c r="M217" s="227"/>
      <c r="N217" s="156"/>
      <c r="O217" s="156"/>
    </row>
    <row r="218" spans="1:15" ht="10.95" customHeight="1" x14ac:dyDescent="0.3">
      <c r="A218" s="158" t="s">
        <v>785</v>
      </c>
      <c r="B218" s="154" t="s">
        <v>820</v>
      </c>
      <c r="C218" s="154"/>
      <c r="D218" s="154"/>
      <c r="E218" s="158">
        <v>284.06</v>
      </c>
      <c r="F218" s="158">
        <v>6</v>
      </c>
      <c r="G218" s="158">
        <v>0.15</v>
      </c>
      <c r="H218" s="158">
        <v>1.2</v>
      </c>
      <c r="I218" s="158">
        <v>0</v>
      </c>
      <c r="J218" s="158">
        <v>8.6999999999999993</v>
      </c>
      <c r="K218" s="156">
        <v>0.17</v>
      </c>
      <c r="L218" s="158">
        <v>0.15</v>
      </c>
      <c r="M218" s="227"/>
      <c r="N218" s="156"/>
      <c r="O218" s="156"/>
    </row>
    <row r="219" spans="1:15" ht="10.95" customHeight="1" x14ac:dyDescent="0.3">
      <c r="A219" s="156" t="s">
        <v>751</v>
      </c>
      <c r="B219" s="155" t="s">
        <v>975</v>
      </c>
      <c r="C219" s="156">
        <v>0</v>
      </c>
      <c r="D219" s="156">
        <v>3</v>
      </c>
      <c r="E219" s="156">
        <v>3</v>
      </c>
      <c r="F219" s="156">
        <v>6</v>
      </c>
      <c r="G219" s="156">
        <v>0.15</v>
      </c>
      <c r="H219" s="156">
        <v>1.2</v>
      </c>
      <c r="I219" s="156">
        <v>0</v>
      </c>
      <c r="J219" s="156">
        <v>8.6999999999999993</v>
      </c>
      <c r="K219" s="156">
        <v>0.17</v>
      </c>
      <c r="L219" s="156">
        <v>0.15</v>
      </c>
      <c r="M219" s="227"/>
      <c r="N219" s="156"/>
      <c r="O219" s="156"/>
    </row>
    <row r="220" spans="1:15" ht="10.95" customHeight="1" x14ac:dyDescent="0.3">
      <c r="A220" s="156" t="s">
        <v>753</v>
      </c>
      <c r="B220" s="155" t="s">
        <v>821</v>
      </c>
      <c r="C220" s="156">
        <v>3</v>
      </c>
      <c r="D220" s="156">
        <v>31.89</v>
      </c>
      <c r="E220" s="156">
        <v>28.89</v>
      </c>
      <c r="F220" s="156">
        <v>6</v>
      </c>
      <c r="G220" s="156">
        <v>0.15</v>
      </c>
      <c r="H220" s="156">
        <v>1.2</v>
      </c>
      <c r="I220" s="156">
        <v>0</v>
      </c>
      <c r="J220" s="156">
        <v>8.6999999999999993</v>
      </c>
      <c r="K220" s="156">
        <v>0.17</v>
      </c>
      <c r="L220" s="156">
        <v>0.15</v>
      </c>
      <c r="M220" s="227"/>
      <c r="N220" s="156"/>
      <c r="O220" s="156"/>
    </row>
    <row r="221" spans="1:15" ht="10.95" customHeight="1" x14ac:dyDescent="0.3">
      <c r="A221" s="156" t="s">
        <v>754</v>
      </c>
      <c r="B221" s="155" t="s">
        <v>976</v>
      </c>
      <c r="C221" s="156">
        <v>31.89</v>
      </c>
      <c r="D221" s="156">
        <v>43.86</v>
      </c>
      <c r="E221" s="156">
        <v>11.97</v>
      </c>
      <c r="F221" s="156">
        <v>6</v>
      </c>
      <c r="G221" s="156">
        <v>0.15</v>
      </c>
      <c r="H221" s="156">
        <v>1.2</v>
      </c>
      <c r="I221" s="156">
        <v>0</v>
      </c>
      <c r="J221" s="156">
        <v>8.6999999999999993</v>
      </c>
      <c r="K221" s="156">
        <v>0.17</v>
      </c>
      <c r="L221" s="156">
        <v>0.15</v>
      </c>
      <c r="M221" s="227"/>
      <c r="N221" s="156"/>
      <c r="O221" s="156"/>
    </row>
    <row r="222" spans="1:15" ht="10.95" customHeight="1" x14ac:dyDescent="0.3">
      <c r="A222" s="156" t="s">
        <v>756</v>
      </c>
      <c r="B222" s="155" t="s">
        <v>822</v>
      </c>
      <c r="C222" s="156">
        <v>43.86</v>
      </c>
      <c r="D222" s="156">
        <v>83.45</v>
      </c>
      <c r="E222" s="156">
        <v>39.590000000000003</v>
      </c>
      <c r="F222" s="156">
        <v>6</v>
      </c>
      <c r="G222" s="156">
        <v>0.15</v>
      </c>
      <c r="H222" s="156">
        <v>1.2</v>
      </c>
      <c r="I222" s="156">
        <v>0</v>
      </c>
      <c r="J222" s="156">
        <v>8.6999999999999993</v>
      </c>
      <c r="K222" s="156">
        <v>0.17</v>
      </c>
      <c r="L222" s="156">
        <v>0.15</v>
      </c>
      <c r="M222" s="227"/>
      <c r="N222" s="156"/>
      <c r="O222" s="156"/>
    </row>
    <row r="223" spans="1:15" ht="10.95" customHeight="1" x14ac:dyDescent="0.3">
      <c r="A223" s="156" t="s">
        <v>757</v>
      </c>
      <c r="B223" s="155" t="s">
        <v>977</v>
      </c>
      <c r="C223" s="156">
        <v>83.45</v>
      </c>
      <c r="D223" s="156">
        <v>98.12</v>
      </c>
      <c r="E223" s="156">
        <v>14.67</v>
      </c>
      <c r="F223" s="156">
        <v>6</v>
      </c>
      <c r="G223" s="156">
        <v>0.15</v>
      </c>
      <c r="H223" s="156">
        <v>1.2</v>
      </c>
      <c r="I223" s="156">
        <v>0</v>
      </c>
      <c r="J223" s="156">
        <v>8.6999999999999993</v>
      </c>
      <c r="K223" s="156">
        <v>0.17</v>
      </c>
      <c r="L223" s="156">
        <v>0.15</v>
      </c>
      <c r="M223" s="227"/>
      <c r="N223" s="156"/>
      <c r="O223" s="156"/>
    </row>
    <row r="224" spans="1:15" ht="10.95" customHeight="1" x14ac:dyDescent="0.3">
      <c r="A224" s="156" t="s">
        <v>762</v>
      </c>
      <c r="B224" s="155" t="s">
        <v>823</v>
      </c>
      <c r="C224" s="156">
        <v>98.12</v>
      </c>
      <c r="D224" s="156">
        <v>139.89000000000001</v>
      </c>
      <c r="E224" s="156">
        <v>41.77</v>
      </c>
      <c r="F224" s="156">
        <v>6</v>
      </c>
      <c r="G224" s="156">
        <v>0.15</v>
      </c>
      <c r="H224" s="156">
        <v>1.2</v>
      </c>
      <c r="I224" s="156">
        <v>0</v>
      </c>
      <c r="J224" s="156">
        <v>8.6999999999999993</v>
      </c>
      <c r="K224" s="156">
        <v>0.17</v>
      </c>
      <c r="L224" s="156">
        <v>0.15</v>
      </c>
      <c r="M224" s="227"/>
      <c r="N224" s="156"/>
      <c r="O224" s="156"/>
    </row>
    <row r="225" spans="1:15" ht="10.95" customHeight="1" x14ac:dyDescent="0.3">
      <c r="A225" s="156" t="s">
        <v>763</v>
      </c>
      <c r="B225" s="155" t="s">
        <v>978</v>
      </c>
      <c r="C225" s="156">
        <v>139.89000000000001</v>
      </c>
      <c r="D225" s="156">
        <v>148.52000000000001</v>
      </c>
      <c r="E225" s="156">
        <v>8.6300000000000008</v>
      </c>
      <c r="F225" s="156">
        <v>6</v>
      </c>
      <c r="G225" s="156">
        <v>0.15</v>
      </c>
      <c r="H225" s="156">
        <v>1.2</v>
      </c>
      <c r="I225" s="156">
        <v>0</v>
      </c>
      <c r="J225" s="156">
        <v>8.6999999999999993</v>
      </c>
      <c r="K225" s="156">
        <v>0.17</v>
      </c>
      <c r="L225" s="156">
        <v>0.15</v>
      </c>
      <c r="M225" s="227"/>
      <c r="N225" s="156"/>
      <c r="O225" s="156"/>
    </row>
    <row r="226" spans="1:15" ht="10.95" customHeight="1" x14ac:dyDescent="0.3">
      <c r="A226" s="156" t="s">
        <v>764</v>
      </c>
      <c r="B226" s="155" t="s">
        <v>824</v>
      </c>
      <c r="C226" s="156">
        <v>148.52000000000001</v>
      </c>
      <c r="D226" s="156">
        <v>190.77</v>
      </c>
      <c r="E226" s="156">
        <v>42.25</v>
      </c>
      <c r="F226" s="156">
        <v>6</v>
      </c>
      <c r="G226" s="156">
        <v>0.15</v>
      </c>
      <c r="H226" s="156">
        <v>1.2</v>
      </c>
      <c r="I226" s="156">
        <v>0</v>
      </c>
      <c r="J226" s="156">
        <v>8.6999999999999993</v>
      </c>
      <c r="K226" s="156">
        <v>0.17</v>
      </c>
      <c r="L226" s="156">
        <v>0.15</v>
      </c>
      <c r="M226" s="227"/>
      <c r="N226" s="156"/>
      <c r="O226" s="156"/>
    </row>
    <row r="227" spans="1:15" ht="10.95" customHeight="1" x14ac:dyDescent="0.3">
      <c r="A227" s="156" t="s">
        <v>765</v>
      </c>
      <c r="B227" s="155" t="s">
        <v>979</v>
      </c>
      <c r="C227" s="156">
        <v>190.77</v>
      </c>
      <c r="D227" s="156">
        <v>201.49</v>
      </c>
      <c r="E227" s="156">
        <v>10.72</v>
      </c>
      <c r="F227" s="156">
        <v>6</v>
      </c>
      <c r="G227" s="156">
        <v>0.15</v>
      </c>
      <c r="H227" s="156">
        <v>1.2</v>
      </c>
      <c r="I227" s="156">
        <v>0</v>
      </c>
      <c r="J227" s="156">
        <v>8.6999999999999993</v>
      </c>
      <c r="K227" s="156">
        <v>0.17</v>
      </c>
      <c r="L227" s="156">
        <v>0.15</v>
      </c>
      <c r="M227" s="227"/>
      <c r="N227" s="156"/>
      <c r="O227" s="156"/>
    </row>
    <row r="228" spans="1:15" ht="10.95" customHeight="1" x14ac:dyDescent="0.3">
      <c r="A228" s="156" t="s">
        <v>766</v>
      </c>
      <c r="B228" s="155" t="s">
        <v>825</v>
      </c>
      <c r="C228" s="156">
        <v>201.49</v>
      </c>
      <c r="D228" s="156">
        <v>242.82</v>
      </c>
      <c r="E228" s="156">
        <v>41.33</v>
      </c>
      <c r="F228" s="156">
        <v>6</v>
      </c>
      <c r="G228" s="156">
        <v>0.15</v>
      </c>
      <c r="H228" s="156">
        <v>1.2</v>
      </c>
      <c r="I228" s="156">
        <v>0</v>
      </c>
      <c r="J228" s="156">
        <v>8.6999999999999993</v>
      </c>
      <c r="K228" s="156">
        <v>0.17</v>
      </c>
      <c r="L228" s="156">
        <v>0.15</v>
      </c>
      <c r="M228" s="227"/>
      <c r="N228" s="156"/>
      <c r="O228" s="156"/>
    </row>
    <row r="229" spans="1:15" ht="10.95" customHeight="1" x14ac:dyDescent="0.3">
      <c r="A229" s="156" t="s">
        <v>767</v>
      </c>
      <c r="B229" s="155" t="s">
        <v>980</v>
      </c>
      <c r="C229" s="156">
        <v>242.82</v>
      </c>
      <c r="D229" s="156">
        <v>256.46999999999997</v>
      </c>
      <c r="E229" s="156">
        <v>13.65</v>
      </c>
      <c r="F229" s="156">
        <v>6</v>
      </c>
      <c r="G229" s="156">
        <v>0.15</v>
      </c>
      <c r="H229" s="156">
        <v>1.2</v>
      </c>
      <c r="I229" s="156">
        <v>0</v>
      </c>
      <c r="J229" s="156">
        <v>8.6999999999999993</v>
      </c>
      <c r="K229" s="156">
        <v>0.17</v>
      </c>
      <c r="L229" s="156">
        <v>0.15</v>
      </c>
      <c r="M229" s="227"/>
      <c r="N229" s="156"/>
      <c r="O229" s="156"/>
    </row>
    <row r="230" spans="1:15" ht="10.95" customHeight="1" x14ac:dyDescent="0.3">
      <c r="A230" s="156" t="s">
        <v>768</v>
      </c>
      <c r="B230" s="155" t="s">
        <v>826</v>
      </c>
      <c r="C230" s="156">
        <v>256.46999999999997</v>
      </c>
      <c r="D230" s="156">
        <v>310.46999999999997</v>
      </c>
      <c r="E230" s="156">
        <v>54</v>
      </c>
      <c r="F230" s="156">
        <v>6</v>
      </c>
      <c r="G230" s="156">
        <v>0.15</v>
      </c>
      <c r="H230" s="156">
        <v>1.2</v>
      </c>
      <c r="I230" s="156">
        <v>0</v>
      </c>
      <c r="J230" s="156">
        <v>8.6999999999999993</v>
      </c>
      <c r="K230" s="156">
        <v>0.17</v>
      </c>
      <c r="L230" s="156">
        <v>0.15</v>
      </c>
      <c r="M230" s="227"/>
      <c r="N230" s="156"/>
      <c r="O230" s="156"/>
    </row>
    <row r="231" spans="1:15" ht="10.95" customHeight="1" x14ac:dyDescent="0.3">
      <c r="A231" s="156" t="s">
        <v>769</v>
      </c>
      <c r="B231" s="155" t="s">
        <v>981</v>
      </c>
      <c r="C231" s="156">
        <v>310.46999999999997</v>
      </c>
      <c r="D231" s="156">
        <v>313.46999999999997</v>
      </c>
      <c r="E231" s="156">
        <v>3</v>
      </c>
      <c r="F231" s="156">
        <v>6</v>
      </c>
      <c r="G231" s="156">
        <v>0.15</v>
      </c>
      <c r="H231" s="156">
        <v>1.2</v>
      </c>
      <c r="I231" s="156">
        <v>0</v>
      </c>
      <c r="J231" s="156">
        <v>8.6999999999999993</v>
      </c>
      <c r="K231" s="156">
        <v>0.17</v>
      </c>
      <c r="L231" s="156">
        <v>0.15</v>
      </c>
      <c r="M231" s="227"/>
      <c r="N231" s="156"/>
      <c r="O231" s="156"/>
    </row>
    <row r="232" spans="1:15" ht="10.95" customHeight="1" x14ac:dyDescent="0.3">
      <c r="A232" s="158" t="s">
        <v>798</v>
      </c>
      <c r="B232" s="154" t="s">
        <v>834</v>
      </c>
      <c r="C232" s="154"/>
      <c r="D232" s="154"/>
      <c r="E232" s="158">
        <v>313.46999999999997</v>
      </c>
      <c r="F232" s="158">
        <v>6</v>
      </c>
      <c r="G232" s="158">
        <v>0.15</v>
      </c>
      <c r="H232" s="158">
        <v>1.2</v>
      </c>
      <c r="I232" s="158">
        <v>0</v>
      </c>
      <c r="J232" s="158">
        <v>8.6999999999999993</v>
      </c>
      <c r="K232" s="156">
        <v>0.17</v>
      </c>
      <c r="L232" s="158">
        <v>0.15</v>
      </c>
      <c r="M232" s="227"/>
      <c r="N232" s="156"/>
      <c r="O232" s="156"/>
    </row>
    <row r="233" spans="1:15" ht="10.95" customHeight="1" x14ac:dyDescent="0.3">
      <c r="A233" s="156" t="s">
        <v>770</v>
      </c>
      <c r="B233" s="155" t="s">
        <v>982</v>
      </c>
      <c r="C233" s="156">
        <v>0</v>
      </c>
      <c r="D233" s="156">
        <v>3</v>
      </c>
      <c r="E233" s="156">
        <v>3</v>
      </c>
      <c r="F233" s="156">
        <v>5</v>
      </c>
      <c r="G233" s="156">
        <v>0.15</v>
      </c>
      <c r="H233" s="156">
        <v>1.2</v>
      </c>
      <c r="I233" s="156">
        <v>0</v>
      </c>
      <c r="J233" s="156">
        <v>7.6999999999999993</v>
      </c>
      <c r="K233" s="156">
        <v>0.17</v>
      </c>
      <c r="L233" s="156">
        <v>0.15</v>
      </c>
      <c r="M233" s="227"/>
      <c r="N233" s="156"/>
      <c r="O233" s="156"/>
    </row>
    <row r="234" spans="1:15" ht="10.95" customHeight="1" x14ac:dyDescent="0.3">
      <c r="A234" s="156" t="s">
        <v>771</v>
      </c>
      <c r="B234" s="155" t="s">
        <v>827</v>
      </c>
      <c r="C234" s="156">
        <v>3</v>
      </c>
      <c r="D234" s="156">
        <v>35.44</v>
      </c>
      <c r="E234" s="156">
        <v>32.44</v>
      </c>
      <c r="F234" s="156">
        <v>5</v>
      </c>
      <c r="G234" s="156">
        <v>0.15</v>
      </c>
      <c r="H234" s="156">
        <v>1.2</v>
      </c>
      <c r="I234" s="156">
        <v>0</v>
      </c>
      <c r="J234" s="156">
        <v>7.6999999999999993</v>
      </c>
      <c r="K234" s="156">
        <v>0.17</v>
      </c>
      <c r="L234" s="156">
        <v>0.15</v>
      </c>
      <c r="M234" s="227"/>
      <c r="N234" s="156"/>
      <c r="O234" s="156"/>
    </row>
    <row r="235" spans="1:15" ht="10.95" customHeight="1" x14ac:dyDescent="0.3">
      <c r="A235" s="156" t="s">
        <v>772</v>
      </c>
      <c r="B235" s="155" t="s">
        <v>983</v>
      </c>
      <c r="C235" s="156">
        <v>35.44</v>
      </c>
      <c r="D235" s="156">
        <v>46.58</v>
      </c>
      <c r="E235" s="156">
        <v>11.14</v>
      </c>
      <c r="F235" s="156">
        <v>5</v>
      </c>
      <c r="G235" s="156">
        <v>0.15</v>
      </c>
      <c r="H235" s="156">
        <v>1.2</v>
      </c>
      <c r="I235" s="156">
        <v>0</v>
      </c>
      <c r="J235" s="156">
        <v>7.6999999999999993</v>
      </c>
      <c r="K235" s="156">
        <v>0.17</v>
      </c>
      <c r="L235" s="156">
        <v>0.15</v>
      </c>
      <c r="M235" s="227"/>
      <c r="N235" s="156"/>
      <c r="O235" s="156"/>
    </row>
    <row r="236" spans="1:15" ht="10.95" customHeight="1" x14ac:dyDescent="0.3">
      <c r="A236" s="156" t="s">
        <v>773</v>
      </c>
      <c r="B236" s="155" t="s">
        <v>828</v>
      </c>
      <c r="C236" s="156">
        <v>46.58</v>
      </c>
      <c r="D236" s="156">
        <v>87.16</v>
      </c>
      <c r="E236" s="156">
        <v>40.58</v>
      </c>
      <c r="F236" s="156">
        <v>5</v>
      </c>
      <c r="G236" s="156">
        <v>0.15</v>
      </c>
      <c r="H236" s="156">
        <v>1.2</v>
      </c>
      <c r="I236" s="156">
        <v>0</v>
      </c>
      <c r="J236" s="156">
        <v>7.6999999999999993</v>
      </c>
      <c r="K236" s="156">
        <v>0.17</v>
      </c>
      <c r="L236" s="156">
        <v>0.15</v>
      </c>
      <c r="M236" s="227"/>
      <c r="N236" s="156"/>
      <c r="O236" s="156"/>
    </row>
    <row r="237" spans="1:15" ht="10.95" customHeight="1" x14ac:dyDescent="0.3">
      <c r="A237" s="156" t="s">
        <v>774</v>
      </c>
      <c r="B237" s="155" t="s">
        <v>984</v>
      </c>
      <c r="C237" s="156">
        <v>87.16</v>
      </c>
      <c r="D237" s="156">
        <v>97.69</v>
      </c>
      <c r="E237" s="156">
        <v>10.53</v>
      </c>
      <c r="F237" s="156">
        <v>5</v>
      </c>
      <c r="G237" s="156">
        <v>0.15</v>
      </c>
      <c r="H237" s="156">
        <v>1.2</v>
      </c>
      <c r="I237" s="156">
        <v>0</v>
      </c>
      <c r="J237" s="156">
        <v>7.6999999999999993</v>
      </c>
      <c r="K237" s="156">
        <v>0.17</v>
      </c>
      <c r="L237" s="156">
        <v>0.15</v>
      </c>
      <c r="M237" s="227"/>
      <c r="N237" s="156"/>
      <c r="O237" s="156"/>
    </row>
    <row r="238" spans="1:15" ht="10.95" customHeight="1" x14ac:dyDescent="0.3">
      <c r="A238" s="156" t="s">
        <v>775</v>
      </c>
      <c r="B238" s="155" t="s">
        <v>829</v>
      </c>
      <c r="C238" s="156">
        <v>97.69</v>
      </c>
      <c r="D238" s="156">
        <v>140.12</v>
      </c>
      <c r="E238" s="156">
        <v>42.43</v>
      </c>
      <c r="F238" s="156">
        <v>5</v>
      </c>
      <c r="G238" s="156">
        <v>0.15</v>
      </c>
      <c r="H238" s="156">
        <v>1.2</v>
      </c>
      <c r="I238" s="156">
        <v>0</v>
      </c>
      <c r="J238" s="156">
        <v>7.6999999999999993</v>
      </c>
      <c r="K238" s="156">
        <v>0.17</v>
      </c>
      <c r="L238" s="156">
        <v>0.15</v>
      </c>
      <c r="M238" s="227"/>
      <c r="N238" s="156"/>
      <c r="O238" s="156"/>
    </row>
    <row r="239" spans="1:15" ht="10.95" customHeight="1" x14ac:dyDescent="0.3">
      <c r="A239" s="156" t="s">
        <v>776</v>
      </c>
      <c r="B239" s="155" t="s">
        <v>985</v>
      </c>
      <c r="C239" s="156">
        <v>140.12</v>
      </c>
      <c r="D239" s="156">
        <v>150.76</v>
      </c>
      <c r="E239" s="156">
        <v>10.64</v>
      </c>
      <c r="F239" s="156">
        <v>5</v>
      </c>
      <c r="G239" s="156">
        <v>0.15</v>
      </c>
      <c r="H239" s="156">
        <v>1.2</v>
      </c>
      <c r="I239" s="156">
        <v>0</v>
      </c>
      <c r="J239" s="156">
        <v>7.6999999999999993</v>
      </c>
      <c r="K239" s="156">
        <v>0.17</v>
      </c>
      <c r="L239" s="156">
        <v>0.15</v>
      </c>
      <c r="M239" s="227"/>
      <c r="N239" s="156"/>
      <c r="O239" s="156"/>
    </row>
    <row r="240" spans="1:15" ht="10.95" customHeight="1" x14ac:dyDescent="0.3">
      <c r="A240" s="156" t="s">
        <v>786</v>
      </c>
      <c r="B240" s="155" t="s">
        <v>830</v>
      </c>
      <c r="C240" s="156">
        <v>150.76</v>
      </c>
      <c r="D240" s="156">
        <v>190.76999999999998</v>
      </c>
      <c r="E240" s="156">
        <v>40.01</v>
      </c>
      <c r="F240" s="156">
        <v>5</v>
      </c>
      <c r="G240" s="156">
        <v>0.15</v>
      </c>
      <c r="H240" s="156">
        <v>1.2</v>
      </c>
      <c r="I240" s="156">
        <v>0</v>
      </c>
      <c r="J240" s="156">
        <v>7.6999999999999993</v>
      </c>
      <c r="K240" s="156">
        <v>0.17</v>
      </c>
      <c r="L240" s="156">
        <v>0.15</v>
      </c>
      <c r="M240" s="227"/>
      <c r="N240" s="156"/>
      <c r="O240" s="156"/>
    </row>
    <row r="241" spans="1:15" ht="10.95" customHeight="1" x14ac:dyDescent="0.3">
      <c r="A241" s="156" t="s">
        <v>787</v>
      </c>
      <c r="B241" s="155" t="s">
        <v>986</v>
      </c>
      <c r="C241" s="156">
        <v>190.76999999999998</v>
      </c>
      <c r="D241" s="156">
        <v>201.32</v>
      </c>
      <c r="E241" s="156">
        <v>10.55</v>
      </c>
      <c r="F241" s="156">
        <v>5</v>
      </c>
      <c r="G241" s="156">
        <v>0.15</v>
      </c>
      <c r="H241" s="156">
        <v>1.2</v>
      </c>
      <c r="I241" s="156">
        <v>0</v>
      </c>
      <c r="J241" s="156">
        <v>7.6999999999999993</v>
      </c>
      <c r="K241" s="156">
        <v>0.17</v>
      </c>
      <c r="L241" s="156">
        <v>0.15</v>
      </c>
      <c r="M241" s="227"/>
      <c r="N241" s="156"/>
      <c r="O241" s="156"/>
    </row>
    <row r="242" spans="1:15" ht="10.95" customHeight="1" x14ac:dyDescent="0.3">
      <c r="A242" s="156" t="s">
        <v>788</v>
      </c>
      <c r="B242" s="155" t="s">
        <v>831</v>
      </c>
      <c r="C242" s="156">
        <v>201.32</v>
      </c>
      <c r="D242" s="156">
        <v>244.19</v>
      </c>
      <c r="E242" s="156">
        <v>42.87</v>
      </c>
      <c r="F242" s="156">
        <v>5</v>
      </c>
      <c r="G242" s="156">
        <v>0.15</v>
      </c>
      <c r="H242" s="156">
        <v>1.2</v>
      </c>
      <c r="I242" s="156">
        <v>0</v>
      </c>
      <c r="J242" s="156">
        <v>7.6999999999999993</v>
      </c>
      <c r="K242" s="156">
        <v>0.17</v>
      </c>
      <c r="L242" s="156">
        <v>0.15</v>
      </c>
      <c r="M242" s="227"/>
      <c r="N242" s="156"/>
      <c r="O242" s="156"/>
    </row>
    <row r="243" spans="1:15" ht="10.95" customHeight="1" x14ac:dyDescent="0.3">
      <c r="A243" s="156" t="s">
        <v>789</v>
      </c>
      <c r="B243" s="155" t="s">
        <v>987</v>
      </c>
      <c r="C243" s="156">
        <v>244.19</v>
      </c>
      <c r="D243" s="156">
        <v>257.74</v>
      </c>
      <c r="E243" s="156">
        <v>13.55</v>
      </c>
      <c r="F243" s="156">
        <v>5</v>
      </c>
      <c r="G243" s="156">
        <v>0.15</v>
      </c>
      <c r="H243" s="156">
        <v>1.2</v>
      </c>
      <c r="I243" s="156">
        <v>0</v>
      </c>
      <c r="J243" s="156">
        <v>7.6999999999999993</v>
      </c>
      <c r="K243" s="156">
        <v>0.17</v>
      </c>
      <c r="L243" s="156">
        <v>0.15</v>
      </c>
      <c r="M243" s="227"/>
      <c r="N243" s="156"/>
      <c r="O243" s="156"/>
    </row>
    <row r="244" spans="1:15" ht="10.95" customHeight="1" x14ac:dyDescent="0.3">
      <c r="A244" s="156" t="s">
        <v>790</v>
      </c>
      <c r="B244" s="155" t="s">
        <v>832</v>
      </c>
      <c r="C244" s="156">
        <v>257.74</v>
      </c>
      <c r="D244" s="156">
        <v>310.47000000000003</v>
      </c>
      <c r="E244" s="156">
        <v>52.73</v>
      </c>
      <c r="F244" s="156">
        <v>5</v>
      </c>
      <c r="G244" s="156">
        <v>0.15</v>
      </c>
      <c r="H244" s="156">
        <v>1.2</v>
      </c>
      <c r="I244" s="156">
        <v>0</v>
      </c>
      <c r="J244" s="156">
        <v>7.6999999999999993</v>
      </c>
      <c r="K244" s="156">
        <v>0.17</v>
      </c>
      <c r="L244" s="156">
        <v>0.15</v>
      </c>
      <c r="M244" s="227"/>
      <c r="N244" s="156"/>
      <c r="O244" s="156"/>
    </row>
    <row r="245" spans="1:15" ht="10.95" customHeight="1" x14ac:dyDescent="0.3">
      <c r="A245" s="156" t="s">
        <v>791</v>
      </c>
      <c r="B245" s="155" t="s">
        <v>988</v>
      </c>
      <c r="C245" s="156">
        <v>310.47000000000003</v>
      </c>
      <c r="D245" s="156">
        <v>313.47000000000003</v>
      </c>
      <c r="E245" s="156">
        <v>3</v>
      </c>
      <c r="F245" s="156">
        <v>5</v>
      </c>
      <c r="G245" s="156">
        <v>0.15</v>
      </c>
      <c r="H245" s="156">
        <v>1.2</v>
      </c>
      <c r="I245" s="156">
        <v>0</v>
      </c>
      <c r="J245" s="156">
        <v>7.6999999999999993</v>
      </c>
      <c r="K245" s="156">
        <v>0.17</v>
      </c>
      <c r="L245" s="156">
        <v>0.15</v>
      </c>
      <c r="M245" s="227"/>
      <c r="N245" s="156"/>
      <c r="O245" s="156"/>
    </row>
    <row r="246" spans="1:15" ht="10.95" customHeight="1" x14ac:dyDescent="0.3">
      <c r="A246" s="158" t="s">
        <v>799</v>
      </c>
      <c r="B246" s="154" t="s">
        <v>833</v>
      </c>
      <c r="C246" s="154"/>
      <c r="D246" s="154"/>
      <c r="E246" s="158">
        <v>313.47000000000003</v>
      </c>
      <c r="F246" s="158">
        <v>5</v>
      </c>
      <c r="G246" s="158">
        <v>0.15</v>
      </c>
      <c r="H246" s="158">
        <v>1.2</v>
      </c>
      <c r="I246" s="158">
        <v>0</v>
      </c>
      <c r="J246" s="158">
        <v>7.6999999999999993</v>
      </c>
      <c r="K246" s="156">
        <v>0.17</v>
      </c>
      <c r="L246" s="158">
        <v>0.15</v>
      </c>
      <c r="M246" s="227"/>
      <c r="N246" s="156"/>
      <c r="O246" s="156"/>
    </row>
    <row r="247" spans="1:15" ht="10.95" customHeight="1" x14ac:dyDescent="0.3">
      <c r="A247" s="158" t="s">
        <v>684</v>
      </c>
      <c r="B247" s="154" t="s">
        <v>738</v>
      </c>
      <c r="C247" s="154"/>
      <c r="D247" s="154"/>
      <c r="E247" s="158">
        <v>4222.96</v>
      </c>
      <c r="F247" s="156">
        <v>5</v>
      </c>
      <c r="G247" s="156">
        <v>0.15</v>
      </c>
      <c r="H247" s="156">
        <v>1.2</v>
      </c>
      <c r="I247" s="156">
        <v>0</v>
      </c>
      <c r="J247" s="156">
        <v>7.6999999999999993</v>
      </c>
      <c r="K247" s="156">
        <v>0.17</v>
      </c>
      <c r="L247" s="156">
        <v>0.15</v>
      </c>
      <c r="M247" s="227"/>
      <c r="N247" s="156"/>
      <c r="O247" s="156"/>
    </row>
    <row r="248" spans="1:15" ht="10.95" customHeight="1" x14ac:dyDescent="0.3">
      <c r="A248" s="156" t="s">
        <v>1161</v>
      </c>
      <c r="B248" s="155" t="s">
        <v>1126</v>
      </c>
      <c r="C248" s="156">
        <v>0</v>
      </c>
      <c r="D248" s="156">
        <v>4</v>
      </c>
      <c r="E248" s="156">
        <v>4</v>
      </c>
      <c r="F248" s="156">
        <v>6</v>
      </c>
      <c r="G248" s="156">
        <v>0.15</v>
      </c>
      <c r="H248" s="156">
        <v>1.2</v>
      </c>
      <c r="I248" s="156">
        <v>0</v>
      </c>
      <c r="J248" s="156">
        <v>8.6999999999999993</v>
      </c>
      <c r="K248" s="156">
        <v>0.18</v>
      </c>
      <c r="L248" s="156">
        <v>0.15</v>
      </c>
      <c r="M248" s="227"/>
      <c r="N248" s="156"/>
      <c r="O248" s="156"/>
    </row>
    <row r="249" spans="1:15" ht="10.95" customHeight="1" x14ac:dyDescent="0.3">
      <c r="A249" s="156" t="s">
        <v>1162</v>
      </c>
      <c r="B249" s="155" t="s">
        <v>1127</v>
      </c>
      <c r="C249" s="156">
        <v>4</v>
      </c>
      <c r="D249" s="156">
        <v>72.86</v>
      </c>
      <c r="E249" s="156">
        <v>68.86</v>
      </c>
      <c r="F249" s="156">
        <v>6</v>
      </c>
      <c r="G249" s="156">
        <v>0.15</v>
      </c>
      <c r="H249" s="156">
        <v>1.2</v>
      </c>
      <c r="I249" s="156">
        <v>0</v>
      </c>
      <c r="J249" s="156">
        <v>8.6999999999999993</v>
      </c>
      <c r="K249" s="156">
        <v>0.18</v>
      </c>
      <c r="L249" s="156">
        <v>0.15</v>
      </c>
      <c r="M249" s="227"/>
      <c r="N249" s="156"/>
      <c r="O249" s="156"/>
    </row>
    <row r="250" spans="1:15" ht="10.95" customHeight="1" x14ac:dyDescent="0.3">
      <c r="A250" s="156" t="s">
        <v>1163</v>
      </c>
      <c r="B250" s="155" t="s">
        <v>1128</v>
      </c>
      <c r="C250" s="156">
        <v>72.86</v>
      </c>
      <c r="D250" s="156">
        <v>84.16</v>
      </c>
      <c r="E250" s="156">
        <v>11.3</v>
      </c>
      <c r="F250" s="156">
        <v>6</v>
      </c>
      <c r="G250" s="156">
        <v>0.15</v>
      </c>
      <c r="H250" s="156">
        <v>1.2</v>
      </c>
      <c r="I250" s="156">
        <v>0</v>
      </c>
      <c r="J250" s="156">
        <v>8.6999999999999993</v>
      </c>
      <c r="K250" s="156">
        <v>0.18</v>
      </c>
      <c r="L250" s="156">
        <v>0.15</v>
      </c>
      <c r="M250" s="227"/>
      <c r="N250" s="156"/>
      <c r="O250" s="156"/>
    </row>
    <row r="251" spans="1:15" ht="10.95" customHeight="1" x14ac:dyDescent="0.3">
      <c r="A251" s="156" t="s">
        <v>1164</v>
      </c>
      <c r="B251" s="155" t="s">
        <v>1129</v>
      </c>
      <c r="C251" s="156">
        <v>84.16</v>
      </c>
      <c r="D251" s="156">
        <v>136.58999999999997</v>
      </c>
      <c r="E251" s="156">
        <v>52.429999999999993</v>
      </c>
      <c r="F251" s="156">
        <v>6</v>
      </c>
      <c r="G251" s="156">
        <v>0.15</v>
      </c>
      <c r="H251" s="156">
        <v>1.2</v>
      </c>
      <c r="I251" s="156">
        <v>0</v>
      </c>
      <c r="J251" s="156">
        <v>8.6999999999999993</v>
      </c>
      <c r="K251" s="156">
        <v>0.18</v>
      </c>
      <c r="L251" s="156">
        <v>0.15</v>
      </c>
      <c r="M251" s="227"/>
      <c r="N251" s="156"/>
      <c r="O251" s="156"/>
    </row>
    <row r="252" spans="1:15" ht="10.95" customHeight="1" x14ac:dyDescent="0.3">
      <c r="A252" s="156" t="s">
        <v>1165</v>
      </c>
      <c r="B252" s="155" t="s">
        <v>1130</v>
      </c>
      <c r="C252" s="156">
        <v>136.58999999999997</v>
      </c>
      <c r="D252" s="156">
        <v>148.18999999999997</v>
      </c>
      <c r="E252" s="156">
        <v>11.6</v>
      </c>
      <c r="F252" s="156">
        <v>6</v>
      </c>
      <c r="G252" s="156">
        <v>0.15</v>
      </c>
      <c r="H252" s="156">
        <v>1.2</v>
      </c>
      <c r="I252" s="156">
        <v>0</v>
      </c>
      <c r="J252" s="156">
        <v>8.6999999999999993</v>
      </c>
      <c r="K252" s="156">
        <v>0.18</v>
      </c>
      <c r="L252" s="156">
        <v>0.15</v>
      </c>
      <c r="M252" s="227"/>
      <c r="N252" s="156"/>
      <c r="O252" s="156"/>
    </row>
    <row r="253" spans="1:15" ht="10.95" customHeight="1" x14ac:dyDescent="0.3">
      <c r="A253" s="156" t="s">
        <v>1166</v>
      </c>
      <c r="B253" s="155" t="s">
        <v>1131</v>
      </c>
      <c r="C253" s="156">
        <v>148.18999999999997</v>
      </c>
      <c r="D253" s="156">
        <v>262.62999999999994</v>
      </c>
      <c r="E253" s="156">
        <v>114.43999999999998</v>
      </c>
      <c r="F253" s="156">
        <v>6</v>
      </c>
      <c r="G253" s="156">
        <v>0.15</v>
      </c>
      <c r="H253" s="156">
        <v>1.2</v>
      </c>
      <c r="I253" s="156">
        <v>0</v>
      </c>
      <c r="J253" s="156">
        <v>8.6999999999999993</v>
      </c>
      <c r="K253" s="156">
        <v>0.18</v>
      </c>
      <c r="L253" s="156">
        <v>0.15</v>
      </c>
      <c r="M253" s="227"/>
      <c r="N253" s="156"/>
      <c r="O253" s="156"/>
    </row>
    <row r="254" spans="1:15" ht="10.95" customHeight="1" x14ac:dyDescent="0.3">
      <c r="A254" s="156" t="s">
        <v>1167</v>
      </c>
      <c r="B254" s="155" t="s">
        <v>1132</v>
      </c>
      <c r="C254" s="156">
        <v>262.62999999999994</v>
      </c>
      <c r="D254" s="156">
        <v>276.82999999999993</v>
      </c>
      <c r="E254" s="156">
        <v>14.2</v>
      </c>
      <c r="F254" s="156">
        <v>6</v>
      </c>
      <c r="G254" s="156">
        <v>0.15</v>
      </c>
      <c r="H254" s="156">
        <v>1.2</v>
      </c>
      <c r="I254" s="156">
        <v>0</v>
      </c>
      <c r="J254" s="156">
        <v>8.6999999999999993</v>
      </c>
      <c r="K254" s="156">
        <v>0.18</v>
      </c>
      <c r="L254" s="156">
        <v>0.15</v>
      </c>
      <c r="M254" s="227"/>
      <c r="N254" s="156"/>
      <c r="O254" s="156"/>
    </row>
    <row r="255" spans="1:15" ht="10.95" customHeight="1" x14ac:dyDescent="0.3">
      <c r="A255" s="156" t="s">
        <v>1168</v>
      </c>
      <c r="B255" s="155" t="s">
        <v>1133</v>
      </c>
      <c r="C255" s="156">
        <v>276.82999999999993</v>
      </c>
      <c r="D255" s="156">
        <v>350.17999999999995</v>
      </c>
      <c r="E255" s="156">
        <v>73.349999999999994</v>
      </c>
      <c r="F255" s="156">
        <v>6</v>
      </c>
      <c r="G255" s="156">
        <v>0.15</v>
      </c>
      <c r="H255" s="156">
        <v>1.2</v>
      </c>
      <c r="I255" s="156">
        <v>0</v>
      </c>
      <c r="J255" s="156">
        <v>8.6999999999999993</v>
      </c>
      <c r="K255" s="156">
        <v>0.18</v>
      </c>
      <c r="L255" s="156">
        <v>0.15</v>
      </c>
      <c r="M255" s="227"/>
      <c r="N255" s="156"/>
      <c r="O255" s="156"/>
    </row>
    <row r="256" spans="1:15" ht="10.95" customHeight="1" x14ac:dyDescent="0.3">
      <c r="A256" s="156" t="s">
        <v>1169</v>
      </c>
      <c r="B256" s="155" t="s">
        <v>1134</v>
      </c>
      <c r="C256" s="156">
        <v>350.17999999999995</v>
      </c>
      <c r="D256" s="156">
        <v>360.78999999999996</v>
      </c>
      <c r="E256" s="156">
        <v>10.61</v>
      </c>
      <c r="F256" s="156">
        <v>6</v>
      </c>
      <c r="G256" s="156">
        <v>0.15</v>
      </c>
      <c r="H256" s="156">
        <v>1.2</v>
      </c>
      <c r="I256" s="156">
        <v>0</v>
      </c>
      <c r="J256" s="156">
        <v>8.6999999999999993</v>
      </c>
      <c r="K256" s="156">
        <v>0.18</v>
      </c>
      <c r="L256" s="156">
        <v>0.15</v>
      </c>
      <c r="M256" s="227"/>
      <c r="N256" s="156"/>
      <c r="O256" s="156"/>
    </row>
    <row r="257" spans="1:15" ht="10.95" customHeight="1" x14ac:dyDescent="0.3">
      <c r="A257" s="156" t="s">
        <v>1170</v>
      </c>
      <c r="B257" s="155" t="s">
        <v>1135</v>
      </c>
      <c r="C257" s="156">
        <v>360.78999999999996</v>
      </c>
      <c r="D257" s="156">
        <v>481.66999999999996</v>
      </c>
      <c r="E257" s="156">
        <v>120.88</v>
      </c>
      <c r="F257" s="156">
        <v>6</v>
      </c>
      <c r="G257" s="156">
        <v>0.15</v>
      </c>
      <c r="H257" s="156">
        <v>1.2</v>
      </c>
      <c r="I257" s="156">
        <v>0</v>
      </c>
      <c r="J257" s="156">
        <v>8.6999999999999993</v>
      </c>
      <c r="K257" s="156">
        <v>0.18</v>
      </c>
      <c r="L257" s="156">
        <v>0.15</v>
      </c>
      <c r="M257" s="227"/>
      <c r="N257" s="156"/>
      <c r="O257" s="156"/>
    </row>
    <row r="258" spans="1:15" ht="10.95" customHeight="1" x14ac:dyDescent="0.3">
      <c r="A258" s="156" t="s">
        <v>1171</v>
      </c>
      <c r="B258" s="155" t="s">
        <v>1136</v>
      </c>
      <c r="C258" s="156">
        <v>481.66999999999996</v>
      </c>
      <c r="D258" s="156">
        <v>493.30999999999995</v>
      </c>
      <c r="E258" s="156">
        <v>11.64</v>
      </c>
      <c r="F258" s="156">
        <v>6</v>
      </c>
      <c r="G258" s="156">
        <v>0.15</v>
      </c>
      <c r="H258" s="156">
        <v>1.2</v>
      </c>
      <c r="I258" s="156">
        <v>0</v>
      </c>
      <c r="J258" s="156">
        <v>8.6999999999999993</v>
      </c>
      <c r="K258" s="156">
        <v>0.18</v>
      </c>
      <c r="L258" s="156">
        <v>0.15</v>
      </c>
      <c r="M258" s="227"/>
      <c r="N258" s="156"/>
      <c r="O258" s="156"/>
    </row>
    <row r="259" spans="1:15" ht="10.95" customHeight="1" x14ac:dyDescent="0.3">
      <c r="A259" s="156" t="s">
        <v>1172</v>
      </c>
      <c r="B259" s="155" t="s">
        <v>1137</v>
      </c>
      <c r="C259" s="156">
        <v>493.30999999999995</v>
      </c>
      <c r="D259" s="156">
        <v>668.91</v>
      </c>
      <c r="E259" s="156">
        <v>175.6</v>
      </c>
      <c r="F259" s="156">
        <v>6</v>
      </c>
      <c r="G259" s="156">
        <v>0.15</v>
      </c>
      <c r="H259" s="156">
        <v>1.2</v>
      </c>
      <c r="I259" s="156">
        <v>0</v>
      </c>
      <c r="J259" s="156">
        <v>8.6999999999999993</v>
      </c>
      <c r="K259" s="156">
        <v>0.18</v>
      </c>
      <c r="L259" s="156">
        <v>0.15</v>
      </c>
      <c r="M259" s="227"/>
      <c r="N259" s="156"/>
      <c r="O259" s="156"/>
    </row>
    <row r="260" spans="1:15" ht="10.95" customHeight="1" x14ac:dyDescent="0.3">
      <c r="A260" s="156" t="s">
        <v>1173</v>
      </c>
      <c r="B260" s="155" t="s">
        <v>1138</v>
      </c>
      <c r="C260" s="156">
        <v>668.91</v>
      </c>
      <c r="D260" s="156">
        <v>679.08999999999992</v>
      </c>
      <c r="E260" s="156">
        <v>10.18</v>
      </c>
      <c r="F260" s="156">
        <v>6</v>
      </c>
      <c r="G260" s="156">
        <v>0.15</v>
      </c>
      <c r="H260" s="156">
        <v>1.2</v>
      </c>
      <c r="I260" s="156">
        <v>0</v>
      </c>
      <c r="J260" s="156">
        <v>8.6999999999999993</v>
      </c>
      <c r="K260" s="156">
        <v>0.18</v>
      </c>
      <c r="L260" s="156">
        <v>0.15</v>
      </c>
      <c r="M260" s="227"/>
      <c r="N260" s="156"/>
      <c r="O260" s="156"/>
    </row>
    <row r="261" spans="1:15" ht="10.95" customHeight="1" x14ac:dyDescent="0.3">
      <c r="A261" s="156" t="s">
        <v>1174</v>
      </c>
      <c r="B261" s="155" t="s">
        <v>1139</v>
      </c>
      <c r="C261" s="156">
        <v>679.08999999999992</v>
      </c>
      <c r="D261" s="156">
        <v>711.84999999999991</v>
      </c>
      <c r="E261" s="156">
        <v>32.76</v>
      </c>
      <c r="F261" s="156">
        <v>6</v>
      </c>
      <c r="G261" s="156">
        <v>0.15</v>
      </c>
      <c r="H261" s="156">
        <v>1.2</v>
      </c>
      <c r="I261" s="156">
        <v>0</v>
      </c>
      <c r="J261" s="156">
        <v>8.6999999999999993</v>
      </c>
      <c r="K261" s="156">
        <v>0.18</v>
      </c>
      <c r="L261" s="156">
        <v>0.15</v>
      </c>
      <c r="M261" s="227"/>
      <c r="N261" s="156"/>
      <c r="O261" s="156"/>
    </row>
    <row r="262" spans="1:15" ht="10.95" customHeight="1" x14ac:dyDescent="0.3">
      <c r="A262" s="156" t="s">
        <v>1175</v>
      </c>
      <c r="B262" s="155" t="s">
        <v>1140</v>
      </c>
      <c r="C262" s="156">
        <v>711.84999999999991</v>
      </c>
      <c r="D262" s="156">
        <v>721.89999999999986</v>
      </c>
      <c r="E262" s="156">
        <v>10.050000000000001</v>
      </c>
      <c r="F262" s="156">
        <v>6</v>
      </c>
      <c r="G262" s="156">
        <v>0.15</v>
      </c>
      <c r="H262" s="156">
        <v>1.2</v>
      </c>
      <c r="I262" s="156">
        <v>0</v>
      </c>
      <c r="J262" s="156">
        <v>8.6999999999999993</v>
      </c>
      <c r="K262" s="156">
        <v>0.18</v>
      </c>
      <c r="L262" s="156">
        <v>0.15</v>
      </c>
      <c r="M262" s="227"/>
      <c r="N262" s="156"/>
      <c r="O262" s="156"/>
    </row>
    <row r="263" spans="1:15" ht="10.95" customHeight="1" x14ac:dyDescent="0.3">
      <c r="A263" s="275" t="s">
        <v>1176</v>
      </c>
      <c r="B263" s="155" t="s">
        <v>1141</v>
      </c>
      <c r="C263" s="156">
        <v>721.89999999999986</v>
      </c>
      <c r="D263" s="156">
        <v>758.41999999999985</v>
      </c>
      <c r="E263" s="156">
        <v>36.520000000000003</v>
      </c>
      <c r="F263" s="156">
        <v>6</v>
      </c>
      <c r="G263" s="156">
        <v>0.15</v>
      </c>
      <c r="H263" s="156">
        <v>1.2</v>
      </c>
      <c r="I263" s="156">
        <v>0</v>
      </c>
      <c r="J263" s="156">
        <v>8.6999999999999993</v>
      </c>
      <c r="K263" s="156">
        <v>0.18</v>
      </c>
      <c r="L263" s="156">
        <v>0.15</v>
      </c>
      <c r="M263" s="227"/>
      <c r="N263" s="156"/>
      <c r="O263" s="156"/>
    </row>
    <row r="264" spans="1:15" ht="10.95" customHeight="1" x14ac:dyDescent="0.3">
      <c r="A264" s="275" t="s">
        <v>1177</v>
      </c>
      <c r="B264" s="155" t="s">
        <v>1142</v>
      </c>
      <c r="C264" s="156">
        <v>758.41999999999985</v>
      </c>
      <c r="D264" s="156">
        <v>772.95999999999981</v>
      </c>
      <c r="E264" s="156">
        <v>14.54</v>
      </c>
      <c r="F264" s="156">
        <v>6</v>
      </c>
      <c r="G264" s="156">
        <v>0.15</v>
      </c>
      <c r="H264" s="156">
        <v>1.2</v>
      </c>
      <c r="I264" s="156">
        <v>0</v>
      </c>
      <c r="J264" s="156">
        <v>8.6999999999999993</v>
      </c>
      <c r="K264" s="156">
        <v>0.18</v>
      </c>
      <c r="L264" s="156">
        <v>0.15</v>
      </c>
      <c r="M264" s="227"/>
      <c r="N264" s="156"/>
      <c r="O264" s="156"/>
    </row>
    <row r="265" spans="1:15" ht="10.95" customHeight="1" x14ac:dyDescent="0.3">
      <c r="A265" s="275" t="s">
        <v>1178</v>
      </c>
      <c r="B265" s="155" t="s">
        <v>1143</v>
      </c>
      <c r="C265" s="156">
        <v>772.95999999999981</v>
      </c>
      <c r="D265" s="156">
        <v>784.24999999999977</v>
      </c>
      <c r="E265" s="156">
        <v>11.29</v>
      </c>
      <c r="F265" s="156">
        <v>6</v>
      </c>
      <c r="G265" s="156">
        <v>0.15</v>
      </c>
      <c r="H265" s="156">
        <v>1.2</v>
      </c>
      <c r="I265" s="156">
        <v>0</v>
      </c>
      <c r="J265" s="156">
        <v>8.6999999999999993</v>
      </c>
      <c r="K265" s="156">
        <v>0.18</v>
      </c>
      <c r="L265" s="156">
        <v>0.15</v>
      </c>
      <c r="M265" s="227"/>
      <c r="N265" s="156"/>
      <c r="O265" s="156"/>
    </row>
    <row r="266" spans="1:15" ht="10.95" customHeight="1" x14ac:dyDescent="0.3">
      <c r="A266" s="275" t="s">
        <v>1179</v>
      </c>
      <c r="B266" s="155" t="s">
        <v>1144</v>
      </c>
      <c r="C266" s="156">
        <v>784.24999999999977</v>
      </c>
      <c r="D266" s="156">
        <v>790.24999999999977</v>
      </c>
      <c r="E266" s="156">
        <v>6</v>
      </c>
      <c r="F266" s="156">
        <v>6</v>
      </c>
      <c r="G266" s="156">
        <v>0.15</v>
      </c>
      <c r="H266" s="156">
        <v>1.2</v>
      </c>
      <c r="I266" s="156">
        <v>0</v>
      </c>
      <c r="J266" s="156">
        <v>8.6999999999999993</v>
      </c>
      <c r="K266" s="156">
        <v>0.18</v>
      </c>
      <c r="L266" s="156">
        <v>0.15</v>
      </c>
      <c r="M266" s="227"/>
      <c r="N266" s="156"/>
      <c r="O266" s="156"/>
    </row>
    <row r="267" spans="1:15" ht="10.95" customHeight="1" x14ac:dyDescent="0.3">
      <c r="A267" s="275" t="s">
        <v>1180</v>
      </c>
      <c r="B267" s="155" t="s">
        <v>1145</v>
      </c>
      <c r="C267" s="156">
        <v>790.24999999999977</v>
      </c>
      <c r="D267" s="156">
        <v>817.29999999999973</v>
      </c>
      <c r="E267" s="156">
        <v>27.05</v>
      </c>
      <c r="F267" s="156">
        <v>6</v>
      </c>
      <c r="G267" s="156">
        <v>0.15</v>
      </c>
      <c r="H267" s="156">
        <v>1.2</v>
      </c>
      <c r="I267" s="156">
        <v>0</v>
      </c>
      <c r="J267" s="156">
        <v>8.6999999999999993</v>
      </c>
      <c r="K267" s="156">
        <v>0.18</v>
      </c>
      <c r="L267" s="156">
        <v>0.15</v>
      </c>
      <c r="M267" s="227"/>
      <c r="N267" s="156"/>
      <c r="O267" s="156"/>
    </row>
    <row r="268" spans="1:15" ht="10.95" customHeight="1" x14ac:dyDescent="0.3">
      <c r="A268" s="275" t="s">
        <v>1181</v>
      </c>
      <c r="B268" s="155" t="s">
        <v>1146</v>
      </c>
      <c r="C268" s="156">
        <v>817.29999999999973</v>
      </c>
      <c r="D268" s="156">
        <v>830.09999999999968</v>
      </c>
      <c r="E268" s="156">
        <v>12.8</v>
      </c>
      <c r="F268" s="156">
        <v>6</v>
      </c>
      <c r="G268" s="156">
        <v>0.15</v>
      </c>
      <c r="H268" s="156">
        <v>1.2</v>
      </c>
      <c r="I268" s="156">
        <v>0</v>
      </c>
      <c r="J268" s="156">
        <v>8.6999999999999993</v>
      </c>
      <c r="K268" s="156">
        <v>0.18</v>
      </c>
      <c r="L268" s="156">
        <v>0.15</v>
      </c>
      <c r="M268" s="227"/>
      <c r="N268" s="156"/>
      <c r="O268" s="156"/>
    </row>
    <row r="269" spans="1:15" ht="10.95" customHeight="1" x14ac:dyDescent="0.3">
      <c r="A269" s="275" t="s">
        <v>1182</v>
      </c>
      <c r="B269" s="155" t="s">
        <v>1147</v>
      </c>
      <c r="C269" s="156">
        <v>830.09999999999968</v>
      </c>
      <c r="D269" s="156">
        <v>924.30999999999972</v>
      </c>
      <c r="E269" s="156">
        <v>94.210000000000008</v>
      </c>
      <c r="F269" s="156">
        <v>6</v>
      </c>
      <c r="G269" s="156">
        <v>0.15</v>
      </c>
      <c r="H269" s="156">
        <v>1.2</v>
      </c>
      <c r="I269" s="156">
        <v>0</v>
      </c>
      <c r="J269" s="156">
        <v>8.6999999999999993</v>
      </c>
      <c r="K269" s="156">
        <v>0.18</v>
      </c>
      <c r="L269" s="156">
        <v>0.15</v>
      </c>
      <c r="M269" s="227"/>
      <c r="N269" s="156"/>
      <c r="O269" s="156"/>
    </row>
    <row r="270" spans="1:15" ht="10.95" customHeight="1" x14ac:dyDescent="0.3">
      <c r="A270" s="275" t="s">
        <v>1183</v>
      </c>
      <c r="B270" s="155" t="s">
        <v>1148</v>
      </c>
      <c r="C270" s="156">
        <v>924.30999999999972</v>
      </c>
      <c r="D270" s="156">
        <v>941.18999999999971</v>
      </c>
      <c r="E270" s="156">
        <v>16.88</v>
      </c>
      <c r="F270" s="156">
        <v>6</v>
      </c>
      <c r="G270" s="156">
        <v>0.15</v>
      </c>
      <c r="H270" s="156">
        <v>1.2</v>
      </c>
      <c r="I270" s="156">
        <v>0</v>
      </c>
      <c r="J270" s="156">
        <v>8.6999999999999993</v>
      </c>
      <c r="K270" s="156">
        <v>0.18</v>
      </c>
      <c r="L270" s="156">
        <v>0.15</v>
      </c>
      <c r="M270" s="227"/>
      <c r="N270" s="156"/>
      <c r="O270" s="156"/>
    </row>
    <row r="271" spans="1:15" ht="10.95" customHeight="1" x14ac:dyDescent="0.3">
      <c r="A271" s="275" t="s">
        <v>1184</v>
      </c>
      <c r="B271" s="155" t="s">
        <v>1149</v>
      </c>
      <c r="C271" s="156">
        <v>941.18999999999971</v>
      </c>
      <c r="D271" s="156">
        <v>1026.9699999999998</v>
      </c>
      <c r="E271" s="156">
        <v>85.78</v>
      </c>
      <c r="F271" s="156">
        <v>6</v>
      </c>
      <c r="G271" s="156">
        <v>0.15</v>
      </c>
      <c r="H271" s="156">
        <v>1.2</v>
      </c>
      <c r="I271" s="156">
        <v>0</v>
      </c>
      <c r="J271" s="156">
        <v>8.6999999999999993</v>
      </c>
      <c r="K271" s="156">
        <v>0.18</v>
      </c>
      <c r="L271" s="156">
        <v>0.15</v>
      </c>
      <c r="M271" s="227"/>
      <c r="N271" s="156"/>
      <c r="O271" s="156"/>
    </row>
    <row r="272" spans="1:15" ht="10.95" customHeight="1" x14ac:dyDescent="0.3">
      <c r="A272" s="275" t="s">
        <v>1185</v>
      </c>
      <c r="B272" s="155" t="s">
        <v>1150</v>
      </c>
      <c r="C272" s="156">
        <v>1026.9699999999998</v>
      </c>
      <c r="D272" s="156">
        <v>1037.9699999999998</v>
      </c>
      <c r="E272" s="156">
        <v>11</v>
      </c>
      <c r="F272" s="156">
        <v>6</v>
      </c>
      <c r="G272" s="156">
        <v>0.15</v>
      </c>
      <c r="H272" s="156">
        <v>1.2</v>
      </c>
      <c r="I272" s="156">
        <v>0</v>
      </c>
      <c r="J272" s="156">
        <v>8.6999999999999993</v>
      </c>
      <c r="K272" s="156">
        <v>0.18</v>
      </c>
      <c r="L272" s="156">
        <v>0.15</v>
      </c>
      <c r="M272" s="227"/>
      <c r="N272" s="156"/>
      <c r="O272" s="156"/>
    </row>
    <row r="273" spans="1:15" ht="10.95" customHeight="1" x14ac:dyDescent="0.3">
      <c r="A273" s="275" t="s">
        <v>1186</v>
      </c>
      <c r="B273" s="155" t="s">
        <v>1151</v>
      </c>
      <c r="C273" s="156">
        <v>1037.9699999999998</v>
      </c>
      <c r="D273" s="156">
        <v>1118.7199999999998</v>
      </c>
      <c r="E273" s="156">
        <v>80.75</v>
      </c>
      <c r="F273" s="156">
        <v>6</v>
      </c>
      <c r="G273" s="156">
        <v>0.15</v>
      </c>
      <c r="H273" s="156">
        <v>1.2</v>
      </c>
      <c r="I273" s="156">
        <v>0</v>
      </c>
      <c r="J273" s="156">
        <v>8.6999999999999993</v>
      </c>
      <c r="K273" s="156">
        <v>0.18</v>
      </c>
      <c r="L273" s="156">
        <v>0.15</v>
      </c>
      <c r="M273" s="227"/>
      <c r="N273" s="156"/>
      <c r="O273" s="156"/>
    </row>
    <row r="274" spans="1:15" ht="10.95" customHeight="1" x14ac:dyDescent="0.3">
      <c r="A274" s="275" t="s">
        <v>1187</v>
      </c>
      <c r="B274" s="155" t="s">
        <v>1152</v>
      </c>
      <c r="C274" s="156">
        <v>1118.7199999999998</v>
      </c>
      <c r="D274" s="156">
        <v>1133.8999999999999</v>
      </c>
      <c r="E274" s="156">
        <v>15.18</v>
      </c>
      <c r="F274" s="156">
        <v>6</v>
      </c>
      <c r="G274" s="156">
        <v>0.15</v>
      </c>
      <c r="H274" s="156">
        <v>1.2</v>
      </c>
      <c r="I274" s="156">
        <v>0</v>
      </c>
      <c r="J274" s="156">
        <v>8.6999999999999993</v>
      </c>
      <c r="K274" s="156">
        <v>0.18</v>
      </c>
      <c r="L274" s="156">
        <v>0.15</v>
      </c>
      <c r="M274" s="227"/>
      <c r="N274" s="156"/>
      <c r="O274" s="156"/>
    </row>
    <row r="275" spans="1:15" ht="10.95" customHeight="1" x14ac:dyDescent="0.3">
      <c r="A275" s="275" t="s">
        <v>1188</v>
      </c>
      <c r="B275" s="155" t="s">
        <v>1153</v>
      </c>
      <c r="C275" s="156">
        <v>1133.8999999999999</v>
      </c>
      <c r="D275" s="156">
        <v>1213.1499999999999</v>
      </c>
      <c r="E275" s="156">
        <v>79.25</v>
      </c>
      <c r="F275" s="156">
        <v>6</v>
      </c>
      <c r="G275" s="156">
        <v>0.15</v>
      </c>
      <c r="H275" s="156">
        <v>1.2</v>
      </c>
      <c r="I275" s="156">
        <v>0</v>
      </c>
      <c r="J275" s="156">
        <v>8.6999999999999993</v>
      </c>
      <c r="K275" s="156">
        <v>0.18</v>
      </c>
      <c r="L275" s="156">
        <v>0.15</v>
      </c>
      <c r="M275" s="227"/>
      <c r="N275" s="156"/>
      <c r="O275" s="156"/>
    </row>
    <row r="276" spans="1:15" ht="10.95" customHeight="1" x14ac:dyDescent="0.3">
      <c r="A276" s="275" t="s">
        <v>1189</v>
      </c>
      <c r="B276" s="155" t="s">
        <v>1154</v>
      </c>
      <c r="C276" s="156">
        <v>1213.1499999999999</v>
      </c>
      <c r="D276" s="156">
        <v>1222.9799999999998</v>
      </c>
      <c r="E276" s="156">
        <v>9.83</v>
      </c>
      <c r="F276" s="156">
        <v>6</v>
      </c>
      <c r="G276" s="156">
        <v>0.15</v>
      </c>
      <c r="H276" s="156">
        <v>1.2</v>
      </c>
      <c r="I276" s="156">
        <v>0</v>
      </c>
      <c r="J276" s="156">
        <v>8.6999999999999993</v>
      </c>
      <c r="K276" s="156">
        <v>0.18</v>
      </c>
      <c r="L276" s="156">
        <v>0.15</v>
      </c>
      <c r="M276" s="227"/>
      <c r="N276" s="156"/>
      <c r="O276" s="156"/>
    </row>
    <row r="277" spans="1:15" ht="10.95" customHeight="1" x14ac:dyDescent="0.3">
      <c r="A277" s="275" t="s">
        <v>1190</v>
      </c>
      <c r="B277" s="155" t="s">
        <v>1155</v>
      </c>
      <c r="C277" s="156">
        <v>1222.9799999999998</v>
      </c>
      <c r="D277" s="156">
        <v>1301.5799999999997</v>
      </c>
      <c r="E277" s="156">
        <v>78.599999999999994</v>
      </c>
      <c r="F277" s="156">
        <v>6</v>
      </c>
      <c r="G277" s="156">
        <v>0.15</v>
      </c>
      <c r="H277" s="156">
        <v>1.2</v>
      </c>
      <c r="I277" s="156">
        <v>0</v>
      </c>
      <c r="J277" s="156">
        <v>8.6999999999999993</v>
      </c>
      <c r="K277" s="156">
        <v>0.18</v>
      </c>
      <c r="L277" s="156">
        <v>0.15</v>
      </c>
      <c r="M277" s="227"/>
      <c r="N277" s="156"/>
      <c r="O277" s="156"/>
    </row>
    <row r="278" spans="1:15" ht="10.95" customHeight="1" x14ac:dyDescent="0.3">
      <c r="A278" s="275" t="s">
        <v>1191</v>
      </c>
      <c r="B278" s="155" t="s">
        <v>1156</v>
      </c>
      <c r="C278" s="156">
        <v>1301.5799999999997</v>
      </c>
      <c r="D278" s="156">
        <v>1312.2199999999998</v>
      </c>
      <c r="E278" s="156">
        <v>10.64</v>
      </c>
      <c r="F278" s="156">
        <v>6</v>
      </c>
      <c r="G278" s="156">
        <v>0.15</v>
      </c>
      <c r="H278" s="156">
        <v>1.2</v>
      </c>
      <c r="I278" s="156">
        <v>0</v>
      </c>
      <c r="J278" s="156">
        <v>8.6999999999999993</v>
      </c>
      <c r="K278" s="156">
        <v>0.18</v>
      </c>
      <c r="L278" s="156">
        <v>0.15</v>
      </c>
      <c r="M278" s="227"/>
      <c r="N278" s="156"/>
      <c r="O278" s="156"/>
    </row>
    <row r="279" spans="1:15" ht="10.95" customHeight="1" x14ac:dyDescent="0.3">
      <c r="A279" s="275" t="s">
        <v>1192</v>
      </c>
      <c r="B279" s="155" t="s">
        <v>1157</v>
      </c>
      <c r="C279" s="156">
        <v>1312.2199999999998</v>
      </c>
      <c r="D279" s="156">
        <v>1391.8199999999997</v>
      </c>
      <c r="E279" s="156">
        <v>79.599999999999994</v>
      </c>
      <c r="F279" s="156">
        <v>6</v>
      </c>
      <c r="G279" s="156">
        <v>0.15</v>
      </c>
      <c r="H279" s="156">
        <v>1.2</v>
      </c>
      <c r="I279" s="156">
        <v>0</v>
      </c>
      <c r="J279" s="156">
        <v>8.6999999999999993</v>
      </c>
      <c r="K279" s="156">
        <v>0.18</v>
      </c>
      <c r="L279" s="156">
        <v>0.15</v>
      </c>
      <c r="M279" s="227"/>
      <c r="N279" s="156"/>
      <c r="O279" s="156"/>
    </row>
    <row r="280" spans="1:15" ht="10.95" customHeight="1" x14ac:dyDescent="0.3">
      <c r="A280" s="275" t="s">
        <v>1193</v>
      </c>
      <c r="B280" s="155" t="s">
        <v>1158</v>
      </c>
      <c r="C280" s="156">
        <v>1391.8199999999997</v>
      </c>
      <c r="D280" s="156">
        <v>1405.1899999999996</v>
      </c>
      <c r="E280" s="156">
        <v>13.37</v>
      </c>
      <c r="F280" s="156">
        <v>6</v>
      </c>
      <c r="G280" s="156">
        <v>0.15</v>
      </c>
      <c r="H280" s="156">
        <v>1.2</v>
      </c>
      <c r="I280" s="156">
        <v>0</v>
      </c>
      <c r="J280" s="156">
        <v>8.6999999999999993</v>
      </c>
      <c r="K280" s="156">
        <v>0.18</v>
      </c>
      <c r="L280" s="156">
        <v>0.15</v>
      </c>
      <c r="M280" s="227"/>
      <c r="N280" s="156"/>
      <c r="O280" s="156"/>
    </row>
    <row r="281" spans="1:15" ht="10.95" customHeight="1" x14ac:dyDescent="0.3">
      <c r="A281" s="158" t="s">
        <v>1194</v>
      </c>
      <c r="B281" s="154" t="s">
        <v>1159</v>
      </c>
      <c r="C281" s="154"/>
      <c r="D281" s="154"/>
      <c r="E281" s="158">
        <v>1405.1899999999996</v>
      </c>
      <c r="F281" s="158">
        <v>6</v>
      </c>
      <c r="G281" s="158">
        <v>0.15</v>
      </c>
      <c r="H281" s="158">
        <v>1.2</v>
      </c>
      <c r="I281" s="158">
        <v>0</v>
      </c>
      <c r="J281" s="158">
        <v>8.6999999999999993</v>
      </c>
      <c r="K281" s="158">
        <v>0.18</v>
      </c>
      <c r="L281" s="158">
        <v>0.15</v>
      </c>
      <c r="M281" s="227"/>
      <c r="N281" s="156"/>
      <c r="O281" s="156"/>
    </row>
    <row r="282" spans="1:15" ht="10.95" customHeight="1" x14ac:dyDescent="0.3">
      <c r="A282" s="158" t="s">
        <v>1195</v>
      </c>
      <c r="B282" s="154" t="s">
        <v>1160</v>
      </c>
      <c r="C282" s="154"/>
      <c r="D282" s="154"/>
      <c r="E282" s="274">
        <v>1405.1899999999996</v>
      </c>
      <c r="F282" s="156">
        <v>6</v>
      </c>
      <c r="G282" s="156">
        <v>0.15</v>
      </c>
      <c r="H282" s="156">
        <v>1.2</v>
      </c>
      <c r="I282" s="156">
        <v>0</v>
      </c>
      <c r="J282" s="156">
        <v>8.6999999999999993</v>
      </c>
      <c r="K282" s="156">
        <v>0.18</v>
      </c>
      <c r="L282" s="156">
        <v>0.15</v>
      </c>
      <c r="M282" s="227"/>
      <c r="N282" s="156"/>
      <c r="O282" s="156"/>
    </row>
    <row r="283" spans="1:15" ht="12" customHeight="1" x14ac:dyDescent="0.3">
      <c r="A283" s="158" t="s">
        <v>199</v>
      </c>
      <c r="B283" s="154" t="s">
        <v>599</v>
      </c>
      <c r="C283" s="154"/>
      <c r="D283" s="154"/>
      <c r="E283" s="158">
        <v>9030.5999999999967</v>
      </c>
      <c r="F283" s="158"/>
      <c r="G283" s="158"/>
      <c r="H283" s="158"/>
      <c r="I283" s="158"/>
      <c r="J283" s="158"/>
      <c r="K283" s="158"/>
      <c r="L283" s="158"/>
      <c r="M283" s="227"/>
      <c r="N283" s="156"/>
      <c r="O283" s="156"/>
    </row>
    <row r="284" spans="1:15" ht="12" customHeight="1" x14ac:dyDescent="0.3">
      <c r="A284" s="156"/>
      <c r="B284" s="156"/>
      <c r="C284" s="156"/>
      <c r="D284" s="156"/>
      <c r="E284" s="156"/>
      <c r="F284" s="156"/>
      <c r="G284" s="158"/>
      <c r="H284" s="158"/>
      <c r="I284" s="158"/>
      <c r="J284" s="158"/>
      <c r="K284" s="158"/>
      <c r="L284" s="158"/>
      <c r="M284" s="156"/>
      <c r="N284" s="156"/>
      <c r="O284" s="156"/>
    </row>
    <row r="285" spans="1:15" ht="36.75" customHeight="1" x14ac:dyDescent="0.3">
      <c r="A285" s="226" t="s">
        <v>11</v>
      </c>
      <c r="B285" s="226" t="s">
        <v>25</v>
      </c>
      <c r="C285" s="701" t="s">
        <v>35</v>
      </c>
      <c r="D285" s="701"/>
      <c r="E285" s="702" t="s">
        <v>1250</v>
      </c>
      <c r="F285" s="702"/>
      <c r="G285" s="702"/>
      <c r="H285" s="702"/>
      <c r="I285" s="226" t="s">
        <v>105</v>
      </c>
      <c r="J285" s="226" t="s">
        <v>129</v>
      </c>
      <c r="K285" s="226" t="s">
        <v>13</v>
      </c>
      <c r="L285" s="231">
        <v>9031</v>
      </c>
    </row>
    <row r="286" spans="1:15" ht="12" customHeight="1" x14ac:dyDescent="0.3"/>
    <row r="287" spans="1:15" ht="18.75" customHeight="1" x14ac:dyDescent="0.3">
      <c r="A287" s="234" t="s">
        <v>201</v>
      </c>
      <c r="B287" s="703" t="s">
        <v>405</v>
      </c>
      <c r="C287" s="703"/>
      <c r="D287" s="704" t="s">
        <v>193</v>
      </c>
      <c r="E287" s="704"/>
      <c r="F287" s="704"/>
      <c r="G287" s="234" t="s">
        <v>12</v>
      </c>
      <c r="H287" s="234" t="s">
        <v>194</v>
      </c>
      <c r="I287" s="234" t="s">
        <v>196</v>
      </c>
      <c r="J287" s="234" t="s">
        <v>195</v>
      </c>
      <c r="K287" s="234" t="s">
        <v>197</v>
      </c>
      <c r="L287" s="234" t="s">
        <v>198</v>
      </c>
      <c r="M287" s="100"/>
    </row>
    <row r="288" spans="1:15" ht="10.95" customHeight="1" x14ac:dyDescent="0.3">
      <c r="A288" s="156" t="s">
        <v>185</v>
      </c>
      <c r="B288" s="227" t="s">
        <v>875</v>
      </c>
      <c r="C288" s="227" t="s">
        <v>662</v>
      </c>
      <c r="D288" s="701" t="s">
        <v>685</v>
      </c>
      <c r="E288" s="701"/>
      <c r="F288" s="701"/>
      <c r="G288" s="226" t="s">
        <v>129</v>
      </c>
      <c r="H288" s="226">
        <v>1</v>
      </c>
      <c r="I288" s="226">
        <v>3</v>
      </c>
      <c r="L288" s="226">
        <v>3</v>
      </c>
    </row>
    <row r="289" spans="1:15" ht="10.95" customHeight="1" x14ac:dyDescent="0.3">
      <c r="A289" s="156" t="s">
        <v>186</v>
      </c>
      <c r="B289" s="227" t="s">
        <v>672</v>
      </c>
      <c r="C289" s="227" t="s">
        <v>662</v>
      </c>
      <c r="D289" s="701" t="s">
        <v>685</v>
      </c>
      <c r="E289" s="701"/>
      <c r="F289" s="701"/>
      <c r="G289" s="226" t="s">
        <v>129</v>
      </c>
      <c r="H289" s="226">
        <v>1</v>
      </c>
      <c r="I289" s="226">
        <v>87.95</v>
      </c>
      <c r="L289" s="226">
        <v>87.95</v>
      </c>
    </row>
    <row r="290" spans="1:15" ht="10.95" customHeight="1" x14ac:dyDescent="0.3">
      <c r="A290" s="156" t="s">
        <v>187</v>
      </c>
      <c r="B290" s="227" t="s">
        <v>876</v>
      </c>
      <c r="C290" s="227" t="s">
        <v>662</v>
      </c>
      <c r="D290" s="701" t="s">
        <v>685</v>
      </c>
      <c r="E290" s="701"/>
      <c r="F290" s="701"/>
      <c r="G290" s="226" t="s">
        <v>129</v>
      </c>
      <c r="H290" s="226">
        <v>1</v>
      </c>
      <c r="I290" s="226">
        <v>6</v>
      </c>
      <c r="L290" s="226">
        <v>6</v>
      </c>
    </row>
    <row r="291" spans="1:15" ht="10.95" customHeight="1" x14ac:dyDescent="0.3">
      <c r="A291" s="156" t="s">
        <v>188</v>
      </c>
      <c r="B291" s="227" t="s">
        <v>1109</v>
      </c>
      <c r="C291" s="227" t="s">
        <v>662</v>
      </c>
      <c r="D291" s="701" t="s">
        <v>685</v>
      </c>
      <c r="E291" s="701"/>
      <c r="F291" s="701"/>
      <c r="G291" s="226" t="s">
        <v>129</v>
      </c>
      <c r="H291" s="226">
        <v>1</v>
      </c>
      <c r="I291" s="226">
        <v>93.72</v>
      </c>
      <c r="L291" s="226">
        <v>93.72</v>
      </c>
    </row>
    <row r="292" spans="1:15" ht="10.95" customHeight="1" x14ac:dyDescent="0.3">
      <c r="A292" s="156" t="s">
        <v>482</v>
      </c>
      <c r="B292" s="227" t="s">
        <v>877</v>
      </c>
      <c r="C292" s="227" t="s">
        <v>662</v>
      </c>
      <c r="D292" s="701" t="s">
        <v>685</v>
      </c>
      <c r="E292" s="701"/>
      <c r="F292" s="701"/>
      <c r="G292" s="226" t="s">
        <v>129</v>
      </c>
      <c r="H292" s="226">
        <v>1</v>
      </c>
      <c r="I292" s="226">
        <v>3</v>
      </c>
      <c r="L292" s="226">
        <v>3</v>
      </c>
    </row>
    <row r="293" spans="1:15" ht="10.95" customHeight="1" x14ac:dyDescent="0.3">
      <c r="A293" s="156" t="s">
        <v>189</v>
      </c>
      <c r="B293" s="227" t="s">
        <v>878</v>
      </c>
      <c r="C293" s="227" t="s">
        <v>662</v>
      </c>
      <c r="D293" s="701" t="s">
        <v>685</v>
      </c>
      <c r="E293" s="701"/>
      <c r="F293" s="701"/>
      <c r="G293" s="226" t="s">
        <v>129</v>
      </c>
      <c r="H293" s="226">
        <v>1</v>
      </c>
      <c r="I293" s="226">
        <v>3</v>
      </c>
      <c r="L293" s="226">
        <v>3</v>
      </c>
    </row>
    <row r="294" spans="1:15" ht="10.95" customHeight="1" x14ac:dyDescent="0.3">
      <c r="A294" s="156" t="s">
        <v>484</v>
      </c>
      <c r="B294" s="227" t="s">
        <v>675</v>
      </c>
      <c r="C294" s="227" t="s">
        <v>662</v>
      </c>
      <c r="D294" s="701" t="s">
        <v>685</v>
      </c>
      <c r="E294" s="701"/>
      <c r="F294" s="701"/>
      <c r="G294" s="226" t="s">
        <v>129</v>
      </c>
      <c r="H294" s="226">
        <v>1</v>
      </c>
      <c r="I294" s="226">
        <v>79.709999999999994</v>
      </c>
      <c r="L294" s="226">
        <v>79.709999999999994</v>
      </c>
    </row>
    <row r="295" spans="1:15" ht="10.95" customHeight="1" x14ac:dyDescent="0.3">
      <c r="A295" s="156" t="s">
        <v>190</v>
      </c>
      <c r="B295" s="227" t="s">
        <v>879</v>
      </c>
      <c r="C295" s="227" t="s">
        <v>662</v>
      </c>
      <c r="D295" s="701" t="s">
        <v>685</v>
      </c>
      <c r="E295" s="701"/>
      <c r="F295" s="701"/>
      <c r="G295" s="226" t="s">
        <v>129</v>
      </c>
      <c r="H295" s="226">
        <v>1</v>
      </c>
      <c r="I295" s="226">
        <v>6</v>
      </c>
      <c r="L295" s="226">
        <v>6</v>
      </c>
    </row>
    <row r="296" spans="1:15" ht="10.95" customHeight="1" x14ac:dyDescent="0.3">
      <c r="A296" s="156" t="s">
        <v>485</v>
      </c>
      <c r="B296" s="227" t="s">
        <v>676</v>
      </c>
      <c r="C296" s="227" t="s">
        <v>662</v>
      </c>
      <c r="D296" s="701" t="s">
        <v>685</v>
      </c>
      <c r="E296" s="701"/>
      <c r="F296" s="701"/>
      <c r="G296" s="226" t="s">
        <v>129</v>
      </c>
      <c r="H296" s="226">
        <v>1</v>
      </c>
      <c r="I296" s="226">
        <v>93.02</v>
      </c>
      <c r="L296" s="226">
        <v>93.02</v>
      </c>
    </row>
    <row r="297" spans="1:15" ht="10.95" customHeight="1" x14ac:dyDescent="0.3">
      <c r="A297" s="156" t="s">
        <v>191</v>
      </c>
      <c r="B297" s="227" t="s">
        <v>880</v>
      </c>
      <c r="C297" s="227" t="s">
        <v>662</v>
      </c>
      <c r="D297" s="701" t="s">
        <v>685</v>
      </c>
      <c r="E297" s="701"/>
      <c r="F297" s="701"/>
      <c r="G297" s="226" t="s">
        <v>129</v>
      </c>
      <c r="H297" s="226">
        <v>1</v>
      </c>
      <c r="I297" s="226">
        <v>6</v>
      </c>
      <c r="L297" s="226">
        <v>6</v>
      </c>
    </row>
    <row r="298" spans="1:15" ht="10.95" customHeight="1" x14ac:dyDescent="0.3">
      <c r="A298" s="156" t="s">
        <v>486</v>
      </c>
      <c r="B298" s="227" t="s">
        <v>698</v>
      </c>
      <c r="C298" s="227" t="s">
        <v>662</v>
      </c>
      <c r="D298" s="701" t="s">
        <v>685</v>
      </c>
      <c r="E298" s="701"/>
      <c r="F298" s="701"/>
      <c r="G298" s="226" t="s">
        <v>129</v>
      </c>
      <c r="H298" s="226">
        <v>1</v>
      </c>
      <c r="I298" s="226">
        <v>48.73</v>
      </c>
      <c r="L298" s="226">
        <v>48.73</v>
      </c>
    </row>
    <row r="299" spans="1:15" ht="10.95" customHeight="1" x14ac:dyDescent="0.3">
      <c r="A299" s="156" t="s">
        <v>192</v>
      </c>
      <c r="B299" s="227" t="s">
        <v>881</v>
      </c>
      <c r="C299" s="227" t="s">
        <v>662</v>
      </c>
      <c r="D299" s="701" t="s">
        <v>685</v>
      </c>
      <c r="E299" s="701"/>
      <c r="F299" s="701"/>
      <c r="G299" s="226" t="s">
        <v>129</v>
      </c>
      <c r="H299" s="226">
        <v>1</v>
      </c>
      <c r="I299" s="226">
        <v>3</v>
      </c>
      <c r="L299" s="226">
        <v>3</v>
      </c>
      <c r="M299" s="227"/>
      <c r="N299" s="227"/>
      <c r="O299" s="227"/>
    </row>
    <row r="300" spans="1:15" ht="10.95" customHeight="1" x14ac:dyDescent="0.3">
      <c r="A300" s="156" t="s">
        <v>487</v>
      </c>
      <c r="B300" s="227" t="s">
        <v>882</v>
      </c>
      <c r="C300" s="227" t="s">
        <v>662</v>
      </c>
      <c r="D300" s="701" t="s">
        <v>685</v>
      </c>
      <c r="E300" s="701"/>
      <c r="F300" s="701"/>
      <c r="G300" s="226" t="s">
        <v>129</v>
      </c>
      <c r="H300" s="226">
        <v>1</v>
      </c>
      <c r="I300" s="226">
        <v>3</v>
      </c>
      <c r="L300" s="226">
        <v>3</v>
      </c>
      <c r="M300" s="227"/>
      <c r="N300" s="227"/>
      <c r="O300" s="227"/>
    </row>
    <row r="301" spans="1:15" ht="10.95" customHeight="1" x14ac:dyDescent="0.3">
      <c r="A301" s="156" t="s">
        <v>398</v>
      </c>
      <c r="B301" s="227" t="s">
        <v>678</v>
      </c>
      <c r="C301" s="227" t="s">
        <v>662</v>
      </c>
      <c r="D301" s="701" t="s">
        <v>685</v>
      </c>
      <c r="E301" s="701"/>
      <c r="F301" s="701"/>
      <c r="G301" s="226" t="s">
        <v>129</v>
      </c>
      <c r="H301" s="226">
        <v>1</v>
      </c>
      <c r="I301" s="226">
        <v>44.93</v>
      </c>
      <c r="L301" s="226">
        <v>44.93</v>
      </c>
      <c r="M301" s="227"/>
      <c r="N301" s="227"/>
      <c r="O301" s="227"/>
    </row>
    <row r="302" spans="1:15" ht="10.95" customHeight="1" x14ac:dyDescent="0.3">
      <c r="A302" s="156" t="s">
        <v>488</v>
      </c>
      <c r="B302" s="227" t="s">
        <v>883</v>
      </c>
      <c r="C302" s="227" t="s">
        <v>662</v>
      </c>
      <c r="D302" s="701" t="s">
        <v>685</v>
      </c>
      <c r="E302" s="701"/>
      <c r="F302" s="701"/>
      <c r="G302" s="226" t="s">
        <v>129</v>
      </c>
      <c r="H302" s="226">
        <v>1</v>
      </c>
      <c r="I302" s="226">
        <v>0</v>
      </c>
      <c r="L302" s="226">
        <v>0</v>
      </c>
      <c r="M302" s="227"/>
      <c r="N302" s="227"/>
      <c r="O302" s="227"/>
    </row>
    <row r="303" spans="1:15" ht="10.95" customHeight="1" x14ac:dyDescent="0.3">
      <c r="A303" s="156" t="s">
        <v>529</v>
      </c>
      <c r="B303" s="227" t="s">
        <v>679</v>
      </c>
      <c r="C303" s="227" t="s">
        <v>662</v>
      </c>
      <c r="D303" s="701" t="s">
        <v>685</v>
      </c>
      <c r="E303" s="701"/>
      <c r="F303" s="701"/>
      <c r="G303" s="226" t="s">
        <v>129</v>
      </c>
      <c r="H303" s="226">
        <v>1</v>
      </c>
      <c r="I303" s="226">
        <v>42.8</v>
      </c>
      <c r="L303" s="226">
        <v>42.8</v>
      </c>
      <c r="M303" s="227"/>
      <c r="N303" s="227"/>
      <c r="O303" s="227"/>
    </row>
    <row r="304" spans="1:15" ht="10.95" customHeight="1" x14ac:dyDescent="0.3">
      <c r="A304" s="156" t="s">
        <v>530</v>
      </c>
      <c r="B304" s="227" t="s">
        <v>884</v>
      </c>
      <c r="C304" s="227" t="s">
        <v>662</v>
      </c>
      <c r="D304" s="701" t="s">
        <v>685</v>
      </c>
      <c r="E304" s="701"/>
      <c r="F304" s="701"/>
      <c r="G304" s="226" t="s">
        <v>129</v>
      </c>
      <c r="H304" s="226">
        <v>1</v>
      </c>
      <c r="I304" s="226">
        <v>3</v>
      </c>
      <c r="L304" s="226">
        <v>3</v>
      </c>
      <c r="M304" s="227"/>
      <c r="N304" s="227"/>
      <c r="O304" s="227"/>
    </row>
    <row r="305" spans="1:15" ht="10.95" customHeight="1" x14ac:dyDescent="0.3">
      <c r="A305" s="156" t="s">
        <v>531</v>
      </c>
      <c r="B305" s="227" t="s">
        <v>886</v>
      </c>
      <c r="C305" s="227" t="s">
        <v>662</v>
      </c>
      <c r="D305" s="701" t="s">
        <v>685</v>
      </c>
      <c r="E305" s="701"/>
      <c r="F305" s="701"/>
      <c r="G305" s="226" t="s">
        <v>129</v>
      </c>
      <c r="H305" s="226">
        <v>1</v>
      </c>
      <c r="I305" s="226">
        <v>3</v>
      </c>
      <c r="L305" s="226">
        <v>3</v>
      </c>
      <c r="M305" s="227"/>
      <c r="N305" s="227"/>
      <c r="O305" s="227"/>
    </row>
    <row r="306" spans="1:15" ht="10.95" customHeight="1" x14ac:dyDescent="0.3">
      <c r="A306" s="156" t="s">
        <v>532</v>
      </c>
      <c r="B306" s="227" t="s">
        <v>885</v>
      </c>
      <c r="C306" s="227" t="s">
        <v>662</v>
      </c>
      <c r="D306" s="701" t="s">
        <v>685</v>
      </c>
      <c r="E306" s="701"/>
      <c r="F306" s="701"/>
      <c r="G306" s="226" t="s">
        <v>129</v>
      </c>
      <c r="H306" s="226">
        <v>1</v>
      </c>
      <c r="I306" s="226">
        <v>45</v>
      </c>
      <c r="L306" s="226">
        <v>45</v>
      </c>
      <c r="M306" s="227"/>
      <c r="N306" s="227"/>
      <c r="O306" s="227"/>
    </row>
    <row r="307" spans="1:15" ht="10.95" customHeight="1" x14ac:dyDescent="0.3">
      <c r="A307" s="156" t="s">
        <v>533</v>
      </c>
      <c r="B307" s="227" t="s">
        <v>887</v>
      </c>
      <c r="C307" s="227" t="s">
        <v>662</v>
      </c>
      <c r="D307" s="701" t="s">
        <v>685</v>
      </c>
      <c r="E307" s="701"/>
      <c r="F307" s="701"/>
      <c r="G307" s="226" t="s">
        <v>129</v>
      </c>
      <c r="H307" s="226">
        <v>1</v>
      </c>
      <c r="I307" s="226">
        <v>6</v>
      </c>
      <c r="L307" s="226">
        <v>6</v>
      </c>
      <c r="M307" s="227"/>
      <c r="N307" s="227"/>
      <c r="O307" s="227"/>
    </row>
    <row r="308" spans="1:15" ht="10.95" customHeight="1" x14ac:dyDescent="0.3">
      <c r="A308" s="156" t="s">
        <v>534</v>
      </c>
      <c r="B308" s="227" t="s">
        <v>682</v>
      </c>
      <c r="C308" s="227" t="s">
        <v>662</v>
      </c>
      <c r="D308" s="701" t="s">
        <v>685</v>
      </c>
      <c r="E308" s="701"/>
      <c r="F308" s="701"/>
      <c r="G308" s="226" t="s">
        <v>129</v>
      </c>
      <c r="H308" s="226">
        <v>1</v>
      </c>
      <c r="I308" s="226">
        <v>40.57</v>
      </c>
      <c r="L308" s="226">
        <v>40.57</v>
      </c>
      <c r="M308" s="227"/>
      <c r="N308" s="227"/>
      <c r="O308" s="227"/>
    </row>
    <row r="309" spans="1:15" ht="10.95" customHeight="1" x14ac:dyDescent="0.3">
      <c r="A309" s="156" t="s">
        <v>535</v>
      </c>
      <c r="B309" s="227" t="s">
        <v>888</v>
      </c>
      <c r="C309" s="227" t="s">
        <v>662</v>
      </c>
      <c r="D309" s="701" t="s">
        <v>685</v>
      </c>
      <c r="E309" s="701"/>
      <c r="F309" s="701"/>
      <c r="G309" s="226" t="s">
        <v>129</v>
      </c>
      <c r="H309" s="226">
        <v>1</v>
      </c>
      <c r="I309" s="226">
        <v>3</v>
      </c>
      <c r="L309" s="226">
        <v>3</v>
      </c>
      <c r="M309" s="227"/>
      <c r="N309" s="227"/>
      <c r="O309" s="227"/>
    </row>
    <row r="310" spans="1:15" ht="10.95" customHeight="1" x14ac:dyDescent="0.3">
      <c r="A310" s="156" t="s">
        <v>536</v>
      </c>
      <c r="B310" s="227" t="s">
        <v>889</v>
      </c>
      <c r="C310" s="227" t="s">
        <v>662</v>
      </c>
      <c r="D310" s="701" t="s">
        <v>685</v>
      </c>
      <c r="E310" s="701"/>
      <c r="F310" s="701"/>
      <c r="G310" s="226" t="s">
        <v>129</v>
      </c>
      <c r="H310" s="226">
        <v>1</v>
      </c>
      <c r="I310" s="226">
        <v>3</v>
      </c>
      <c r="L310" s="226">
        <v>3</v>
      </c>
      <c r="M310" s="227"/>
      <c r="N310" s="227"/>
      <c r="O310" s="227"/>
    </row>
    <row r="311" spans="1:15" ht="10.95" customHeight="1" x14ac:dyDescent="0.3">
      <c r="A311" s="156" t="s">
        <v>537</v>
      </c>
      <c r="B311" s="227" t="s">
        <v>1110</v>
      </c>
      <c r="C311" s="227" t="s">
        <v>662</v>
      </c>
      <c r="D311" s="701" t="s">
        <v>685</v>
      </c>
      <c r="E311" s="701"/>
      <c r="F311" s="701"/>
      <c r="G311" s="226" t="s">
        <v>129</v>
      </c>
      <c r="H311" s="226">
        <v>1</v>
      </c>
      <c r="I311" s="226">
        <v>102.75</v>
      </c>
      <c r="L311" s="226">
        <v>102.75</v>
      </c>
      <c r="M311" s="227"/>
      <c r="N311" s="227"/>
      <c r="O311" s="227"/>
    </row>
    <row r="312" spans="1:15" ht="10.95" customHeight="1" x14ac:dyDescent="0.3">
      <c r="A312" s="156" t="s">
        <v>538</v>
      </c>
      <c r="B312" s="227" t="s">
        <v>890</v>
      </c>
      <c r="C312" s="227" t="s">
        <v>662</v>
      </c>
      <c r="D312" s="701" t="s">
        <v>685</v>
      </c>
      <c r="E312" s="701"/>
      <c r="F312" s="701"/>
      <c r="G312" s="226" t="s">
        <v>129</v>
      </c>
      <c r="H312" s="226">
        <v>1</v>
      </c>
      <c r="I312" s="226">
        <v>3</v>
      </c>
      <c r="L312" s="226">
        <v>3</v>
      </c>
      <c r="M312" s="227"/>
      <c r="N312" s="227"/>
      <c r="O312" s="227"/>
    </row>
    <row r="313" spans="1:15" ht="10.95" customHeight="1" x14ac:dyDescent="0.3">
      <c r="A313" s="156" t="s">
        <v>539</v>
      </c>
      <c r="B313" s="227" t="s">
        <v>891</v>
      </c>
      <c r="C313" s="227" t="s">
        <v>666</v>
      </c>
      <c r="D313" s="701" t="s">
        <v>729</v>
      </c>
      <c r="E313" s="701"/>
      <c r="F313" s="701"/>
      <c r="G313" s="226" t="s">
        <v>129</v>
      </c>
      <c r="H313" s="226">
        <v>1</v>
      </c>
      <c r="I313" s="226">
        <v>3</v>
      </c>
      <c r="L313" s="226">
        <v>3</v>
      </c>
      <c r="M313" s="227"/>
      <c r="N313" s="227"/>
      <c r="O313" s="227"/>
    </row>
    <row r="314" spans="1:15" ht="10.95" customHeight="1" x14ac:dyDescent="0.3">
      <c r="A314" s="156" t="s">
        <v>540</v>
      </c>
      <c r="B314" s="227" t="s">
        <v>708</v>
      </c>
      <c r="C314" s="227" t="s">
        <v>666</v>
      </c>
      <c r="D314" s="701" t="s">
        <v>729</v>
      </c>
      <c r="E314" s="701"/>
      <c r="F314" s="701"/>
      <c r="G314" s="226" t="s">
        <v>129</v>
      </c>
      <c r="H314" s="226">
        <v>1</v>
      </c>
      <c r="I314" s="226">
        <v>180.84</v>
      </c>
      <c r="L314" s="226">
        <v>180.84</v>
      </c>
      <c r="M314" s="227"/>
      <c r="N314" s="227"/>
      <c r="O314" s="227"/>
    </row>
    <row r="315" spans="1:15" ht="10.95" customHeight="1" x14ac:dyDescent="0.3">
      <c r="A315" s="156" t="s">
        <v>541</v>
      </c>
      <c r="B315" s="227" t="s">
        <v>892</v>
      </c>
      <c r="C315" s="227" t="s">
        <v>666</v>
      </c>
      <c r="D315" s="701" t="s">
        <v>729</v>
      </c>
      <c r="E315" s="701"/>
      <c r="F315" s="701"/>
      <c r="G315" s="226" t="s">
        <v>129</v>
      </c>
      <c r="H315" s="226">
        <v>1</v>
      </c>
      <c r="I315" s="226">
        <v>3</v>
      </c>
      <c r="L315" s="226">
        <v>3</v>
      </c>
      <c r="M315" s="227"/>
      <c r="N315" s="227"/>
      <c r="O315" s="227"/>
    </row>
    <row r="316" spans="1:15" ht="10.95" customHeight="1" x14ac:dyDescent="0.3">
      <c r="A316" s="156" t="s">
        <v>542</v>
      </c>
      <c r="B316" s="227" t="s">
        <v>893</v>
      </c>
      <c r="C316" s="227" t="s">
        <v>666</v>
      </c>
      <c r="D316" s="701" t="s">
        <v>729</v>
      </c>
      <c r="E316" s="701"/>
      <c r="F316" s="701"/>
      <c r="G316" s="226" t="s">
        <v>129</v>
      </c>
      <c r="H316" s="226">
        <v>1</v>
      </c>
      <c r="I316" s="226">
        <v>3</v>
      </c>
      <c r="L316" s="226">
        <v>3</v>
      </c>
      <c r="M316" s="227"/>
      <c r="N316" s="227"/>
      <c r="O316" s="227"/>
    </row>
    <row r="317" spans="1:15" ht="10.95" customHeight="1" x14ac:dyDescent="0.3">
      <c r="A317" s="156" t="s">
        <v>543</v>
      </c>
      <c r="B317" s="227" t="s">
        <v>707</v>
      </c>
      <c r="C317" s="227" t="s">
        <v>666</v>
      </c>
      <c r="D317" s="701" t="s">
        <v>729</v>
      </c>
      <c r="E317" s="701"/>
      <c r="F317" s="701"/>
      <c r="G317" s="226" t="s">
        <v>129</v>
      </c>
      <c r="H317" s="226">
        <v>1</v>
      </c>
      <c r="I317" s="226">
        <v>129.94</v>
      </c>
      <c r="L317" s="226">
        <v>129.94</v>
      </c>
      <c r="M317" s="227"/>
      <c r="N317" s="227"/>
      <c r="O317" s="227"/>
    </row>
    <row r="318" spans="1:15" ht="10.95" customHeight="1" x14ac:dyDescent="0.3">
      <c r="A318" s="156" t="s">
        <v>544</v>
      </c>
      <c r="B318" s="227" t="s">
        <v>894</v>
      </c>
      <c r="C318" s="227" t="s">
        <v>666</v>
      </c>
      <c r="D318" s="701" t="s">
        <v>729</v>
      </c>
      <c r="E318" s="701"/>
      <c r="F318" s="701"/>
      <c r="G318" s="226" t="s">
        <v>129</v>
      </c>
      <c r="H318" s="226">
        <v>1</v>
      </c>
      <c r="I318" s="226">
        <v>3</v>
      </c>
      <c r="L318" s="226">
        <v>3</v>
      </c>
      <c r="M318" s="227"/>
      <c r="N318" s="227"/>
      <c r="O318" s="227"/>
    </row>
    <row r="319" spans="1:15" ht="10.95" customHeight="1" x14ac:dyDescent="0.3">
      <c r="A319" s="156" t="s">
        <v>545</v>
      </c>
      <c r="B319" s="227" t="s">
        <v>895</v>
      </c>
      <c r="C319" s="227" t="s">
        <v>666</v>
      </c>
      <c r="D319" s="701" t="s">
        <v>729</v>
      </c>
      <c r="E319" s="701"/>
      <c r="F319" s="701"/>
      <c r="G319" s="226" t="s">
        <v>129</v>
      </c>
      <c r="H319" s="226">
        <v>1</v>
      </c>
      <c r="I319" s="226">
        <v>3</v>
      </c>
      <c r="L319" s="226">
        <v>3</v>
      </c>
      <c r="M319" s="227"/>
      <c r="N319" s="227"/>
      <c r="O319" s="227"/>
    </row>
    <row r="320" spans="1:15" ht="10.95" customHeight="1" x14ac:dyDescent="0.3">
      <c r="A320" s="156" t="s">
        <v>546</v>
      </c>
      <c r="B320" s="227" t="s">
        <v>712</v>
      </c>
      <c r="C320" s="227" t="s">
        <v>666</v>
      </c>
      <c r="D320" s="701" t="s">
        <v>729</v>
      </c>
      <c r="E320" s="701"/>
      <c r="F320" s="701"/>
      <c r="G320" s="226" t="s">
        <v>129</v>
      </c>
      <c r="H320" s="226">
        <v>1</v>
      </c>
      <c r="I320" s="226">
        <v>143.56</v>
      </c>
      <c r="L320" s="226">
        <v>143.56</v>
      </c>
      <c r="M320" s="227"/>
      <c r="N320" s="227"/>
      <c r="O320" s="227"/>
    </row>
    <row r="321" spans="1:15" ht="10.95" customHeight="1" x14ac:dyDescent="0.3">
      <c r="A321" s="156" t="s">
        <v>547</v>
      </c>
      <c r="B321" s="227" t="s">
        <v>896</v>
      </c>
      <c r="C321" s="227" t="s">
        <v>666</v>
      </c>
      <c r="D321" s="701" t="s">
        <v>729</v>
      </c>
      <c r="E321" s="701"/>
      <c r="F321" s="701"/>
      <c r="G321" s="226" t="s">
        <v>129</v>
      </c>
      <c r="H321" s="226">
        <v>1</v>
      </c>
      <c r="I321" s="226">
        <v>11.64</v>
      </c>
      <c r="L321" s="226">
        <v>11.64</v>
      </c>
      <c r="M321" s="227"/>
      <c r="N321" s="227"/>
      <c r="O321" s="227"/>
    </row>
    <row r="322" spans="1:15" ht="10.95" customHeight="1" x14ac:dyDescent="0.3">
      <c r="A322" s="156" t="s">
        <v>548</v>
      </c>
      <c r="B322" s="227" t="s">
        <v>713</v>
      </c>
      <c r="C322" s="227" t="s">
        <v>666</v>
      </c>
      <c r="D322" s="701" t="s">
        <v>729</v>
      </c>
      <c r="E322" s="701"/>
      <c r="F322" s="701"/>
      <c r="G322" s="226" t="s">
        <v>129</v>
      </c>
      <c r="H322" s="226">
        <v>1</v>
      </c>
      <c r="I322" s="226">
        <v>86.13</v>
      </c>
      <c r="L322" s="226">
        <v>86.13</v>
      </c>
      <c r="M322" s="227"/>
      <c r="N322" s="227"/>
      <c r="O322" s="227"/>
    </row>
    <row r="323" spans="1:15" ht="10.95" customHeight="1" x14ac:dyDescent="0.3">
      <c r="A323" s="156" t="s">
        <v>549</v>
      </c>
      <c r="B323" s="227" t="s">
        <v>897</v>
      </c>
      <c r="C323" s="227" t="s">
        <v>666</v>
      </c>
      <c r="D323" s="701" t="s">
        <v>729</v>
      </c>
      <c r="E323" s="701"/>
      <c r="F323" s="701"/>
      <c r="G323" s="226" t="s">
        <v>129</v>
      </c>
      <c r="H323" s="226">
        <v>1</v>
      </c>
      <c r="I323" s="226">
        <v>3</v>
      </c>
      <c r="L323" s="226">
        <v>3</v>
      </c>
      <c r="M323" s="227"/>
      <c r="N323" s="227"/>
      <c r="O323" s="227"/>
    </row>
    <row r="324" spans="1:15" ht="10.95" customHeight="1" x14ac:dyDescent="0.3">
      <c r="A324" s="156" t="s">
        <v>550</v>
      </c>
      <c r="B324" s="227" t="s">
        <v>898</v>
      </c>
      <c r="C324" s="227" t="s">
        <v>666</v>
      </c>
      <c r="D324" s="701" t="s">
        <v>729</v>
      </c>
      <c r="E324" s="701"/>
      <c r="F324" s="701"/>
      <c r="G324" s="226" t="s">
        <v>129</v>
      </c>
      <c r="H324" s="226">
        <v>1</v>
      </c>
      <c r="I324" s="226">
        <v>3</v>
      </c>
      <c r="L324" s="226">
        <v>3</v>
      </c>
      <c r="M324" s="227"/>
      <c r="N324" s="227"/>
      <c r="O324" s="227"/>
    </row>
    <row r="325" spans="1:15" ht="10.95" customHeight="1" x14ac:dyDescent="0.3">
      <c r="A325" s="156" t="s">
        <v>551</v>
      </c>
      <c r="B325" s="227" t="s">
        <v>714</v>
      </c>
      <c r="C325" s="227" t="s">
        <v>666</v>
      </c>
      <c r="D325" s="701" t="s">
        <v>729</v>
      </c>
      <c r="E325" s="701"/>
      <c r="F325" s="701"/>
      <c r="G325" s="226" t="s">
        <v>129</v>
      </c>
      <c r="H325" s="226">
        <v>1</v>
      </c>
      <c r="I325" s="226">
        <v>155.94999999999999</v>
      </c>
      <c r="L325" s="226">
        <v>155.94999999999999</v>
      </c>
      <c r="M325" s="227"/>
      <c r="N325" s="227"/>
      <c r="O325" s="227"/>
    </row>
    <row r="326" spans="1:15" ht="10.95" customHeight="1" x14ac:dyDescent="0.3">
      <c r="A326" s="156" t="s">
        <v>552</v>
      </c>
      <c r="B326" s="227" t="s">
        <v>899</v>
      </c>
      <c r="C326" s="227" t="s">
        <v>666</v>
      </c>
      <c r="D326" s="701" t="s">
        <v>729</v>
      </c>
      <c r="E326" s="701"/>
      <c r="F326" s="701"/>
      <c r="G326" s="226" t="s">
        <v>129</v>
      </c>
      <c r="H326" s="226">
        <v>1</v>
      </c>
      <c r="I326" s="226">
        <v>3</v>
      </c>
      <c r="L326" s="226">
        <v>3</v>
      </c>
      <c r="M326" s="227"/>
      <c r="N326" s="227"/>
      <c r="O326" s="227"/>
    </row>
    <row r="327" spans="1:15" ht="10.95" customHeight="1" x14ac:dyDescent="0.3">
      <c r="A327" s="156" t="s">
        <v>553</v>
      </c>
      <c r="B327" s="227" t="s">
        <v>900</v>
      </c>
      <c r="C327" s="227" t="s">
        <v>666</v>
      </c>
      <c r="D327" s="701" t="s">
        <v>729</v>
      </c>
      <c r="E327" s="701"/>
      <c r="F327" s="701"/>
      <c r="G327" s="226" t="s">
        <v>129</v>
      </c>
      <c r="H327" s="226">
        <v>1</v>
      </c>
      <c r="I327" s="226">
        <v>3</v>
      </c>
      <c r="L327" s="226">
        <v>3</v>
      </c>
      <c r="M327" s="227"/>
      <c r="N327" s="227"/>
      <c r="O327" s="227"/>
    </row>
    <row r="328" spans="1:15" ht="10.95" customHeight="1" x14ac:dyDescent="0.3">
      <c r="A328" s="156" t="s">
        <v>554</v>
      </c>
      <c r="B328" s="227" t="s">
        <v>722</v>
      </c>
      <c r="C328" s="227" t="s">
        <v>666</v>
      </c>
      <c r="D328" s="701" t="s">
        <v>729</v>
      </c>
      <c r="E328" s="701"/>
      <c r="F328" s="701"/>
      <c r="G328" s="226" t="s">
        <v>129</v>
      </c>
      <c r="H328" s="226">
        <v>1</v>
      </c>
      <c r="I328" s="226">
        <v>44.239999999999995</v>
      </c>
      <c r="L328" s="226">
        <v>44.239999999999995</v>
      </c>
      <c r="M328" s="227"/>
      <c r="N328" s="227"/>
      <c r="O328" s="227"/>
    </row>
    <row r="329" spans="1:15" ht="10.95" customHeight="1" x14ac:dyDescent="0.3">
      <c r="A329" s="156" t="s">
        <v>555</v>
      </c>
      <c r="B329" s="227" t="s">
        <v>901</v>
      </c>
      <c r="C329" s="227" t="s">
        <v>666</v>
      </c>
      <c r="D329" s="701" t="s">
        <v>729</v>
      </c>
      <c r="E329" s="701"/>
      <c r="F329" s="701"/>
      <c r="G329" s="226" t="s">
        <v>129</v>
      </c>
      <c r="H329" s="226">
        <v>1</v>
      </c>
      <c r="I329" s="226">
        <v>3</v>
      </c>
      <c r="L329" s="226">
        <v>3</v>
      </c>
      <c r="M329" s="227"/>
      <c r="N329" s="227"/>
      <c r="O329" s="227"/>
    </row>
    <row r="330" spans="1:15" ht="10.95" customHeight="1" x14ac:dyDescent="0.3">
      <c r="A330" s="156" t="s">
        <v>556</v>
      </c>
      <c r="B330" s="227" t="s">
        <v>902</v>
      </c>
      <c r="C330" s="227" t="s">
        <v>666</v>
      </c>
      <c r="D330" s="701" t="s">
        <v>729</v>
      </c>
      <c r="E330" s="701"/>
      <c r="F330" s="701"/>
      <c r="G330" s="226" t="s">
        <v>129</v>
      </c>
      <c r="H330" s="226">
        <v>1</v>
      </c>
      <c r="I330" s="226">
        <v>3</v>
      </c>
      <c r="L330" s="226">
        <v>3</v>
      </c>
      <c r="M330" s="227"/>
      <c r="N330" s="227"/>
      <c r="O330" s="227"/>
    </row>
    <row r="331" spans="1:15" ht="10.95" customHeight="1" x14ac:dyDescent="0.3">
      <c r="A331" s="156" t="s">
        <v>557</v>
      </c>
      <c r="B331" s="227" t="s">
        <v>724</v>
      </c>
      <c r="C331" s="227" t="s">
        <v>666</v>
      </c>
      <c r="D331" s="701" t="s">
        <v>729</v>
      </c>
      <c r="E331" s="701"/>
      <c r="F331" s="701"/>
      <c r="G331" s="226" t="s">
        <v>129</v>
      </c>
      <c r="H331" s="226">
        <v>1</v>
      </c>
      <c r="I331" s="226">
        <v>100.75</v>
      </c>
      <c r="L331" s="226">
        <v>100.75</v>
      </c>
      <c r="M331" s="227"/>
      <c r="N331" s="227"/>
      <c r="O331" s="227"/>
    </row>
    <row r="332" spans="1:15" ht="10.95" customHeight="1" x14ac:dyDescent="0.3">
      <c r="A332" s="156" t="s">
        <v>558</v>
      </c>
      <c r="B332" s="227" t="s">
        <v>903</v>
      </c>
      <c r="C332" s="227" t="s">
        <v>666</v>
      </c>
      <c r="D332" s="701" t="s">
        <v>729</v>
      </c>
      <c r="E332" s="701"/>
      <c r="F332" s="701"/>
      <c r="G332" s="226" t="s">
        <v>129</v>
      </c>
      <c r="H332" s="226">
        <v>1</v>
      </c>
      <c r="I332" s="226">
        <v>13.54</v>
      </c>
      <c r="L332" s="226">
        <v>13.54</v>
      </c>
      <c r="M332" s="227"/>
      <c r="N332" s="227"/>
      <c r="O332" s="227"/>
    </row>
    <row r="333" spans="1:15" ht="10.95" customHeight="1" x14ac:dyDescent="0.3">
      <c r="A333" s="156" t="s">
        <v>559</v>
      </c>
      <c r="B333" s="227" t="s">
        <v>725</v>
      </c>
      <c r="C333" s="227" t="s">
        <v>666</v>
      </c>
      <c r="D333" s="701" t="s">
        <v>729</v>
      </c>
      <c r="E333" s="701"/>
      <c r="F333" s="701"/>
      <c r="G333" s="226" t="s">
        <v>129</v>
      </c>
      <c r="H333" s="226">
        <v>1</v>
      </c>
      <c r="I333" s="226">
        <v>72.400000000000006</v>
      </c>
      <c r="L333" s="226">
        <v>72.400000000000006</v>
      </c>
      <c r="M333" s="227"/>
      <c r="N333" s="227"/>
      <c r="O333" s="227"/>
    </row>
    <row r="334" spans="1:15" ht="10.95" customHeight="1" x14ac:dyDescent="0.3">
      <c r="A334" s="156" t="s">
        <v>560</v>
      </c>
      <c r="B334" s="227" t="s">
        <v>904</v>
      </c>
      <c r="C334" s="227" t="s">
        <v>666</v>
      </c>
      <c r="D334" s="701" t="s">
        <v>729</v>
      </c>
      <c r="E334" s="701"/>
      <c r="F334" s="701"/>
      <c r="G334" s="226" t="s">
        <v>129</v>
      </c>
      <c r="H334" s="226">
        <v>1</v>
      </c>
      <c r="I334" s="226">
        <v>18.53</v>
      </c>
      <c r="L334" s="226">
        <v>18.53</v>
      </c>
      <c r="M334" s="227"/>
      <c r="N334" s="227"/>
      <c r="O334" s="227"/>
    </row>
    <row r="335" spans="1:15" ht="10.95" customHeight="1" x14ac:dyDescent="0.3">
      <c r="A335" s="156" t="s">
        <v>561</v>
      </c>
      <c r="B335" s="227" t="s">
        <v>726</v>
      </c>
      <c r="C335" s="227" t="s">
        <v>666</v>
      </c>
      <c r="D335" s="701" t="s">
        <v>729</v>
      </c>
      <c r="E335" s="701"/>
      <c r="F335" s="701"/>
      <c r="G335" s="226" t="s">
        <v>129</v>
      </c>
      <c r="H335" s="226">
        <v>1</v>
      </c>
      <c r="I335" s="226">
        <v>56.95</v>
      </c>
      <c r="L335" s="226">
        <v>56.95</v>
      </c>
      <c r="M335" s="227"/>
      <c r="N335" s="227"/>
      <c r="O335" s="227"/>
    </row>
    <row r="336" spans="1:15" ht="10.95" customHeight="1" x14ac:dyDescent="0.3">
      <c r="A336" s="156" t="s">
        <v>562</v>
      </c>
      <c r="B336" s="227" t="s">
        <v>905</v>
      </c>
      <c r="C336" s="227" t="s">
        <v>666</v>
      </c>
      <c r="D336" s="701" t="s">
        <v>729</v>
      </c>
      <c r="E336" s="701"/>
      <c r="F336" s="701"/>
      <c r="G336" s="226" t="s">
        <v>129</v>
      </c>
      <c r="H336" s="226">
        <v>1</v>
      </c>
      <c r="I336" s="226">
        <v>14.4</v>
      </c>
      <c r="L336" s="226">
        <v>14.4</v>
      </c>
      <c r="M336" s="227"/>
      <c r="N336" s="227"/>
      <c r="O336" s="227"/>
    </row>
    <row r="337" spans="1:15" ht="10.95" customHeight="1" x14ac:dyDescent="0.3">
      <c r="A337" s="156" t="s">
        <v>563</v>
      </c>
      <c r="B337" s="227" t="s">
        <v>727</v>
      </c>
      <c r="C337" s="227" t="s">
        <v>666</v>
      </c>
      <c r="D337" s="701" t="s">
        <v>729</v>
      </c>
      <c r="E337" s="701"/>
      <c r="F337" s="701"/>
      <c r="G337" s="226" t="s">
        <v>129</v>
      </c>
      <c r="H337" s="226">
        <v>1</v>
      </c>
      <c r="I337" s="226">
        <v>57.339999999999996</v>
      </c>
      <c r="L337" s="226">
        <v>57.339999999999996</v>
      </c>
      <c r="M337" s="227"/>
      <c r="N337" s="227"/>
      <c r="O337" s="227"/>
    </row>
    <row r="338" spans="1:15" ht="10.95" customHeight="1" x14ac:dyDescent="0.3">
      <c r="A338" s="156" t="s">
        <v>564</v>
      </c>
      <c r="B338" s="227" t="s">
        <v>906</v>
      </c>
      <c r="C338" s="227" t="s">
        <v>666</v>
      </c>
      <c r="D338" s="701" t="s">
        <v>729</v>
      </c>
      <c r="E338" s="701"/>
      <c r="F338" s="701"/>
      <c r="G338" s="226" t="s">
        <v>129</v>
      </c>
      <c r="H338" s="226">
        <v>1</v>
      </c>
      <c r="I338" s="226">
        <v>3</v>
      </c>
      <c r="L338" s="226">
        <v>3</v>
      </c>
      <c r="M338" s="227"/>
      <c r="N338" s="227"/>
      <c r="O338" s="227"/>
    </row>
    <row r="339" spans="1:15" ht="10.95" customHeight="1" x14ac:dyDescent="0.3">
      <c r="A339" s="156" t="s">
        <v>565</v>
      </c>
      <c r="B339" s="227" t="s">
        <v>908</v>
      </c>
      <c r="C339" s="227" t="s">
        <v>683</v>
      </c>
      <c r="D339" s="701" t="s">
        <v>855</v>
      </c>
      <c r="E339" s="701"/>
      <c r="F339" s="701"/>
      <c r="G339" s="226" t="s">
        <v>129</v>
      </c>
      <c r="H339" s="226">
        <v>1</v>
      </c>
      <c r="I339" s="226">
        <v>3</v>
      </c>
      <c r="L339" s="226">
        <v>3</v>
      </c>
      <c r="M339" s="227"/>
      <c r="N339" s="227"/>
      <c r="O339" s="227"/>
    </row>
    <row r="340" spans="1:15" ht="10.95" customHeight="1" x14ac:dyDescent="0.3">
      <c r="A340" s="156" t="s">
        <v>566</v>
      </c>
      <c r="B340" s="227" t="s">
        <v>835</v>
      </c>
      <c r="C340" s="227" t="s">
        <v>683</v>
      </c>
      <c r="D340" s="701" t="s">
        <v>855</v>
      </c>
      <c r="E340" s="701"/>
      <c r="F340" s="701"/>
      <c r="G340" s="226" t="s">
        <v>129</v>
      </c>
      <c r="H340" s="226">
        <v>1</v>
      </c>
      <c r="I340" s="226">
        <v>71.13</v>
      </c>
      <c r="L340" s="226">
        <v>71.13</v>
      </c>
      <c r="M340" s="227"/>
      <c r="N340" s="227"/>
      <c r="O340" s="227"/>
    </row>
    <row r="341" spans="1:15" ht="10.95" customHeight="1" x14ac:dyDescent="0.3">
      <c r="A341" s="156" t="s">
        <v>567</v>
      </c>
      <c r="B341" s="227" t="s">
        <v>907</v>
      </c>
      <c r="C341" s="227" t="s">
        <v>683</v>
      </c>
      <c r="D341" s="701" t="s">
        <v>855</v>
      </c>
      <c r="E341" s="701"/>
      <c r="F341" s="701"/>
      <c r="G341" s="226" t="s">
        <v>129</v>
      </c>
      <c r="H341" s="226">
        <v>1</v>
      </c>
      <c r="I341" s="226">
        <v>12.03</v>
      </c>
      <c r="L341" s="226">
        <v>12.03</v>
      </c>
      <c r="M341" s="227"/>
      <c r="N341" s="227"/>
      <c r="O341" s="227"/>
    </row>
    <row r="342" spans="1:15" ht="10.95" customHeight="1" x14ac:dyDescent="0.3">
      <c r="A342" s="156" t="s">
        <v>568</v>
      </c>
      <c r="B342" s="227" t="s">
        <v>836</v>
      </c>
      <c r="C342" s="227" t="s">
        <v>683</v>
      </c>
      <c r="D342" s="701" t="s">
        <v>855</v>
      </c>
      <c r="E342" s="701"/>
      <c r="F342" s="701"/>
      <c r="G342" s="226" t="s">
        <v>129</v>
      </c>
      <c r="H342" s="226">
        <v>1</v>
      </c>
      <c r="I342" s="226">
        <v>74.91</v>
      </c>
      <c r="L342" s="226">
        <v>74.91</v>
      </c>
      <c r="M342" s="227"/>
      <c r="N342" s="227"/>
      <c r="O342" s="227"/>
    </row>
    <row r="343" spans="1:15" ht="10.95" customHeight="1" x14ac:dyDescent="0.3">
      <c r="A343" s="156" t="s">
        <v>569</v>
      </c>
      <c r="B343" s="227" t="s">
        <v>909</v>
      </c>
      <c r="C343" s="227" t="s">
        <v>683</v>
      </c>
      <c r="D343" s="701" t="s">
        <v>855</v>
      </c>
      <c r="E343" s="701"/>
      <c r="F343" s="701"/>
      <c r="G343" s="226" t="s">
        <v>129</v>
      </c>
      <c r="H343" s="226">
        <v>1</v>
      </c>
      <c r="I343" s="226">
        <v>3</v>
      </c>
      <c r="L343" s="226">
        <v>3</v>
      </c>
      <c r="M343" s="227"/>
      <c r="N343" s="227"/>
      <c r="O343" s="227"/>
    </row>
    <row r="344" spans="1:15" ht="10.95" customHeight="1" x14ac:dyDescent="0.3">
      <c r="A344" s="156" t="s">
        <v>570</v>
      </c>
      <c r="B344" s="227" t="s">
        <v>910</v>
      </c>
      <c r="C344" s="227" t="s">
        <v>683</v>
      </c>
      <c r="D344" s="701" t="s">
        <v>855</v>
      </c>
      <c r="E344" s="701"/>
      <c r="F344" s="701"/>
      <c r="G344" s="226" t="s">
        <v>129</v>
      </c>
      <c r="H344" s="226">
        <v>1</v>
      </c>
      <c r="I344" s="226">
        <v>3</v>
      </c>
      <c r="L344" s="226">
        <v>3</v>
      </c>
      <c r="M344" s="227"/>
      <c r="N344" s="227"/>
      <c r="O344" s="227"/>
    </row>
    <row r="345" spans="1:15" ht="10.95" customHeight="1" x14ac:dyDescent="0.3">
      <c r="A345" s="156" t="s">
        <v>571</v>
      </c>
      <c r="B345" s="227" t="s">
        <v>839</v>
      </c>
      <c r="C345" s="227" t="s">
        <v>683</v>
      </c>
      <c r="D345" s="701" t="s">
        <v>855</v>
      </c>
      <c r="E345" s="701"/>
      <c r="F345" s="701"/>
      <c r="G345" s="226" t="s">
        <v>129</v>
      </c>
      <c r="H345" s="226">
        <v>1</v>
      </c>
      <c r="I345" s="226">
        <v>69.63</v>
      </c>
      <c r="L345" s="226">
        <v>69.63</v>
      </c>
      <c r="M345" s="227"/>
      <c r="N345" s="227"/>
      <c r="O345" s="227"/>
    </row>
    <row r="346" spans="1:15" ht="10.95" customHeight="1" x14ac:dyDescent="0.3">
      <c r="A346" s="156" t="s">
        <v>572</v>
      </c>
      <c r="B346" s="227" t="s">
        <v>911</v>
      </c>
      <c r="C346" s="227" t="s">
        <v>683</v>
      </c>
      <c r="D346" s="701" t="s">
        <v>855</v>
      </c>
      <c r="E346" s="701"/>
      <c r="F346" s="701"/>
      <c r="G346" s="226" t="s">
        <v>129</v>
      </c>
      <c r="H346" s="226">
        <v>1</v>
      </c>
      <c r="I346" s="226">
        <v>3</v>
      </c>
      <c r="L346" s="226">
        <v>3</v>
      </c>
      <c r="M346" s="227"/>
      <c r="N346" s="227"/>
      <c r="O346" s="227"/>
    </row>
    <row r="347" spans="1:15" ht="10.95" customHeight="1" x14ac:dyDescent="0.3">
      <c r="A347" s="156" t="s">
        <v>573</v>
      </c>
      <c r="B347" s="227" t="s">
        <v>912</v>
      </c>
      <c r="C347" s="227" t="s">
        <v>683</v>
      </c>
      <c r="D347" s="701" t="s">
        <v>855</v>
      </c>
      <c r="E347" s="701"/>
      <c r="F347" s="701"/>
      <c r="G347" s="226" t="s">
        <v>129</v>
      </c>
      <c r="H347" s="226">
        <v>1</v>
      </c>
      <c r="I347" s="226">
        <v>3</v>
      </c>
      <c r="L347" s="226">
        <v>3</v>
      </c>
      <c r="M347" s="227"/>
      <c r="N347" s="227"/>
      <c r="O347" s="227"/>
    </row>
    <row r="348" spans="1:15" ht="10.95" customHeight="1" x14ac:dyDescent="0.3">
      <c r="A348" s="156" t="s">
        <v>574</v>
      </c>
      <c r="B348" s="227" t="s">
        <v>841</v>
      </c>
      <c r="C348" s="227" t="s">
        <v>683</v>
      </c>
      <c r="D348" s="701" t="s">
        <v>855</v>
      </c>
      <c r="E348" s="701"/>
      <c r="F348" s="701"/>
      <c r="G348" s="226" t="s">
        <v>129</v>
      </c>
      <c r="H348" s="226">
        <v>1</v>
      </c>
      <c r="I348" s="226">
        <v>63.64</v>
      </c>
      <c r="L348" s="226">
        <v>63.64</v>
      </c>
      <c r="M348" s="227"/>
      <c r="N348" s="227"/>
      <c r="O348" s="227"/>
    </row>
    <row r="349" spans="1:15" ht="10.95" customHeight="1" x14ac:dyDescent="0.3">
      <c r="A349" s="156" t="s">
        <v>575</v>
      </c>
      <c r="B349" s="227" t="s">
        <v>913</v>
      </c>
      <c r="C349" s="227" t="s">
        <v>683</v>
      </c>
      <c r="D349" s="701" t="s">
        <v>855</v>
      </c>
      <c r="E349" s="701"/>
      <c r="F349" s="701"/>
      <c r="G349" s="226" t="s">
        <v>129</v>
      </c>
      <c r="H349" s="226">
        <v>1</v>
      </c>
      <c r="I349" s="226">
        <v>3</v>
      </c>
      <c r="L349" s="226">
        <v>3</v>
      </c>
      <c r="M349" s="227"/>
      <c r="N349" s="227"/>
      <c r="O349" s="227"/>
    </row>
    <row r="350" spans="1:15" ht="10.95" customHeight="1" x14ac:dyDescent="0.3">
      <c r="A350" s="156" t="s">
        <v>576</v>
      </c>
      <c r="B350" s="227" t="s">
        <v>837</v>
      </c>
      <c r="C350" s="227" t="s">
        <v>683</v>
      </c>
      <c r="D350" s="701" t="s">
        <v>855</v>
      </c>
      <c r="E350" s="701"/>
      <c r="F350" s="701"/>
      <c r="G350" s="226" t="s">
        <v>129</v>
      </c>
      <c r="H350" s="226">
        <v>1</v>
      </c>
      <c r="I350" s="226">
        <v>3</v>
      </c>
      <c r="L350" s="226">
        <v>3</v>
      </c>
      <c r="M350" s="227"/>
      <c r="N350" s="227"/>
      <c r="O350" s="227"/>
    </row>
    <row r="351" spans="1:15" ht="10.95" customHeight="1" x14ac:dyDescent="0.3">
      <c r="A351" s="156" t="s">
        <v>577</v>
      </c>
      <c r="B351" s="227" t="s">
        <v>843</v>
      </c>
      <c r="C351" s="227" t="s">
        <v>683</v>
      </c>
      <c r="D351" s="701" t="s">
        <v>855</v>
      </c>
      <c r="E351" s="701"/>
      <c r="F351" s="701"/>
      <c r="G351" s="226" t="s">
        <v>129</v>
      </c>
      <c r="H351" s="226">
        <v>1</v>
      </c>
      <c r="I351" s="226">
        <v>54.67</v>
      </c>
      <c r="L351" s="226">
        <v>54.67</v>
      </c>
      <c r="M351" s="227"/>
      <c r="N351" s="227"/>
      <c r="O351" s="227"/>
    </row>
    <row r="352" spans="1:15" ht="10.95" customHeight="1" x14ac:dyDescent="0.3">
      <c r="A352" s="156" t="s">
        <v>578</v>
      </c>
      <c r="B352" s="227" t="s">
        <v>915</v>
      </c>
      <c r="C352" s="227" t="s">
        <v>683</v>
      </c>
      <c r="D352" s="701" t="s">
        <v>855</v>
      </c>
      <c r="E352" s="701"/>
      <c r="F352" s="701"/>
      <c r="G352" s="226" t="s">
        <v>129</v>
      </c>
      <c r="H352" s="226">
        <v>1</v>
      </c>
      <c r="I352" s="226">
        <v>3</v>
      </c>
      <c r="L352" s="226">
        <v>3</v>
      </c>
      <c r="M352" s="227"/>
      <c r="N352" s="227"/>
      <c r="O352" s="227"/>
    </row>
    <row r="353" spans="1:15" ht="10.95" customHeight="1" x14ac:dyDescent="0.3">
      <c r="A353" s="156" t="s">
        <v>579</v>
      </c>
      <c r="B353" s="227" t="s">
        <v>916</v>
      </c>
      <c r="C353" s="227" t="s">
        <v>683</v>
      </c>
      <c r="D353" s="701" t="s">
        <v>855</v>
      </c>
      <c r="E353" s="701"/>
      <c r="F353" s="701"/>
      <c r="G353" s="226" t="s">
        <v>129</v>
      </c>
      <c r="H353" s="226">
        <v>1</v>
      </c>
      <c r="I353" s="226">
        <v>3</v>
      </c>
      <c r="L353" s="226">
        <v>3</v>
      </c>
      <c r="M353" s="227"/>
      <c r="N353" s="227"/>
      <c r="O353" s="227"/>
    </row>
    <row r="354" spans="1:15" ht="10.95" customHeight="1" x14ac:dyDescent="0.3">
      <c r="A354" s="156" t="s">
        <v>580</v>
      </c>
      <c r="B354" s="227" t="s">
        <v>845</v>
      </c>
      <c r="C354" s="227" t="s">
        <v>683</v>
      </c>
      <c r="D354" s="701" t="s">
        <v>855</v>
      </c>
      <c r="E354" s="701"/>
      <c r="F354" s="701"/>
      <c r="G354" s="226" t="s">
        <v>129</v>
      </c>
      <c r="H354" s="226">
        <v>1</v>
      </c>
      <c r="I354" s="226">
        <v>67</v>
      </c>
      <c r="L354" s="226">
        <v>67</v>
      </c>
      <c r="M354" s="227"/>
      <c r="N354" s="227"/>
      <c r="O354" s="227"/>
    </row>
    <row r="355" spans="1:15" ht="10.95" customHeight="1" x14ac:dyDescent="0.3">
      <c r="A355" s="156" t="s">
        <v>581</v>
      </c>
      <c r="B355" s="227" t="s">
        <v>917</v>
      </c>
      <c r="C355" s="227" t="s">
        <v>683</v>
      </c>
      <c r="D355" s="701" t="s">
        <v>855</v>
      </c>
      <c r="E355" s="701"/>
      <c r="F355" s="701"/>
      <c r="G355" s="226" t="s">
        <v>129</v>
      </c>
      <c r="H355" s="226">
        <v>1</v>
      </c>
      <c r="I355" s="226">
        <v>14</v>
      </c>
      <c r="L355" s="226">
        <v>14</v>
      </c>
      <c r="M355" s="227"/>
      <c r="N355" s="227"/>
      <c r="O355" s="227"/>
    </row>
    <row r="356" spans="1:15" ht="10.95" customHeight="1" x14ac:dyDescent="0.3">
      <c r="A356" s="156" t="s">
        <v>582</v>
      </c>
      <c r="B356" s="227" t="s">
        <v>844</v>
      </c>
      <c r="C356" s="227" t="s">
        <v>683</v>
      </c>
      <c r="D356" s="701" t="s">
        <v>855</v>
      </c>
      <c r="E356" s="701"/>
      <c r="F356" s="701"/>
      <c r="G356" s="226" t="s">
        <v>129</v>
      </c>
      <c r="H356" s="226">
        <v>1</v>
      </c>
      <c r="I356" s="226">
        <v>49.3</v>
      </c>
      <c r="L356" s="226">
        <v>49.3</v>
      </c>
      <c r="M356" s="227"/>
      <c r="N356" s="227"/>
      <c r="O356" s="227"/>
    </row>
    <row r="357" spans="1:15" ht="10.95" customHeight="1" x14ac:dyDescent="0.3">
      <c r="A357" s="156" t="s">
        <v>583</v>
      </c>
      <c r="B357" s="227" t="s">
        <v>918</v>
      </c>
      <c r="C357" s="227" t="s">
        <v>683</v>
      </c>
      <c r="D357" s="701" t="s">
        <v>855</v>
      </c>
      <c r="E357" s="701"/>
      <c r="F357" s="701"/>
      <c r="G357" s="226" t="s">
        <v>129</v>
      </c>
      <c r="H357" s="226">
        <v>1</v>
      </c>
      <c r="I357" s="226">
        <v>13.18</v>
      </c>
      <c r="L357" s="226">
        <v>13.18</v>
      </c>
      <c r="M357" s="227"/>
      <c r="N357" s="227"/>
      <c r="O357" s="227"/>
    </row>
    <row r="358" spans="1:15" ht="10.95" customHeight="1" x14ac:dyDescent="0.3">
      <c r="A358" s="156" t="s">
        <v>584</v>
      </c>
      <c r="B358" s="227" t="s">
        <v>846</v>
      </c>
      <c r="C358" s="227" t="s">
        <v>683</v>
      </c>
      <c r="D358" s="701" t="s">
        <v>855</v>
      </c>
      <c r="E358" s="701"/>
      <c r="F358" s="701"/>
      <c r="G358" s="226" t="s">
        <v>129</v>
      </c>
      <c r="H358" s="226">
        <v>1</v>
      </c>
      <c r="I358" s="226">
        <v>150</v>
      </c>
      <c r="L358" s="226">
        <v>150</v>
      </c>
      <c r="M358" s="227"/>
      <c r="N358" s="227"/>
      <c r="O358" s="227"/>
    </row>
    <row r="359" spans="1:15" ht="10.95" customHeight="1" x14ac:dyDescent="0.3">
      <c r="A359" s="156" t="s">
        <v>585</v>
      </c>
      <c r="B359" s="227" t="s">
        <v>919</v>
      </c>
      <c r="C359" s="227" t="s">
        <v>683</v>
      </c>
      <c r="D359" s="701" t="s">
        <v>855</v>
      </c>
      <c r="E359" s="701"/>
      <c r="F359" s="701"/>
      <c r="G359" s="226" t="s">
        <v>129</v>
      </c>
      <c r="H359" s="226">
        <v>1</v>
      </c>
      <c r="I359" s="226">
        <v>3</v>
      </c>
      <c r="L359" s="226">
        <v>3</v>
      </c>
      <c r="M359" s="227"/>
      <c r="N359" s="227"/>
      <c r="O359" s="227"/>
    </row>
    <row r="360" spans="1:15" ht="10.95" customHeight="1" x14ac:dyDescent="0.3">
      <c r="A360" s="156" t="s">
        <v>586</v>
      </c>
      <c r="B360" s="227" t="s">
        <v>920</v>
      </c>
      <c r="C360" s="227" t="s">
        <v>683</v>
      </c>
      <c r="D360" s="701" t="s">
        <v>855</v>
      </c>
      <c r="E360" s="701"/>
      <c r="F360" s="701"/>
      <c r="G360" s="226" t="s">
        <v>129</v>
      </c>
      <c r="H360" s="226">
        <v>1</v>
      </c>
      <c r="I360" s="226">
        <v>3</v>
      </c>
      <c r="L360" s="226">
        <v>3</v>
      </c>
      <c r="M360" s="227"/>
      <c r="N360" s="227"/>
      <c r="O360" s="227"/>
    </row>
    <row r="361" spans="1:15" ht="10.95" customHeight="1" x14ac:dyDescent="0.3">
      <c r="A361" s="156" t="s">
        <v>587</v>
      </c>
      <c r="B361" s="227" t="s">
        <v>847</v>
      </c>
      <c r="C361" s="227" t="s">
        <v>683</v>
      </c>
      <c r="D361" s="701" t="s">
        <v>855</v>
      </c>
      <c r="E361" s="701"/>
      <c r="F361" s="701"/>
      <c r="G361" s="226" t="s">
        <v>129</v>
      </c>
      <c r="H361" s="226">
        <v>1</v>
      </c>
      <c r="I361" s="226">
        <v>150</v>
      </c>
      <c r="L361" s="226">
        <v>150</v>
      </c>
      <c r="M361" s="227"/>
      <c r="N361" s="227"/>
      <c r="O361" s="227"/>
    </row>
    <row r="362" spans="1:15" ht="10.95" customHeight="1" x14ac:dyDescent="0.3">
      <c r="A362" s="156" t="s">
        <v>588</v>
      </c>
      <c r="B362" s="227" t="s">
        <v>921</v>
      </c>
      <c r="C362" s="227" t="s">
        <v>683</v>
      </c>
      <c r="D362" s="701" t="s">
        <v>855</v>
      </c>
      <c r="E362" s="701"/>
      <c r="F362" s="701"/>
      <c r="G362" s="226" t="s">
        <v>129</v>
      </c>
      <c r="H362" s="226">
        <v>1</v>
      </c>
      <c r="I362" s="226">
        <v>3</v>
      </c>
      <c r="L362" s="226">
        <v>3</v>
      </c>
      <c r="M362" s="227"/>
      <c r="N362" s="227"/>
      <c r="O362" s="227"/>
    </row>
    <row r="363" spans="1:15" ht="10.95" customHeight="1" x14ac:dyDescent="0.3">
      <c r="A363" s="156" t="s">
        <v>589</v>
      </c>
      <c r="B363" s="227" t="s">
        <v>922</v>
      </c>
      <c r="C363" s="227" t="s">
        <v>683</v>
      </c>
      <c r="D363" s="701" t="s">
        <v>855</v>
      </c>
      <c r="E363" s="701"/>
      <c r="F363" s="701"/>
      <c r="G363" s="226" t="s">
        <v>129</v>
      </c>
      <c r="H363" s="226">
        <v>1</v>
      </c>
      <c r="I363" s="226">
        <v>3</v>
      </c>
      <c r="L363" s="226">
        <v>3</v>
      </c>
      <c r="M363" s="227"/>
      <c r="N363" s="227"/>
      <c r="O363" s="227"/>
    </row>
    <row r="364" spans="1:15" ht="10.95" customHeight="1" x14ac:dyDescent="0.3">
      <c r="A364" s="156" t="s">
        <v>590</v>
      </c>
      <c r="B364" s="227" t="s">
        <v>849</v>
      </c>
      <c r="C364" s="227" t="s">
        <v>683</v>
      </c>
      <c r="D364" s="701" t="s">
        <v>855</v>
      </c>
      <c r="E364" s="701"/>
      <c r="F364" s="701"/>
      <c r="G364" s="226" t="s">
        <v>129</v>
      </c>
      <c r="H364" s="226">
        <v>1</v>
      </c>
      <c r="I364" s="226">
        <v>54</v>
      </c>
      <c r="L364" s="226">
        <v>54</v>
      </c>
      <c r="M364" s="227"/>
      <c r="N364" s="227"/>
      <c r="O364" s="227"/>
    </row>
    <row r="365" spans="1:15" ht="10.95" customHeight="1" x14ac:dyDescent="0.3">
      <c r="A365" s="156" t="s">
        <v>591</v>
      </c>
      <c r="B365" s="227" t="s">
        <v>923</v>
      </c>
      <c r="C365" s="227" t="s">
        <v>683</v>
      </c>
      <c r="D365" s="701" t="s">
        <v>855</v>
      </c>
      <c r="E365" s="701"/>
      <c r="F365" s="701"/>
      <c r="G365" s="226" t="s">
        <v>129</v>
      </c>
      <c r="H365" s="226">
        <v>1</v>
      </c>
      <c r="I365" s="226">
        <v>9.9700000000000006</v>
      </c>
      <c r="L365" s="226">
        <v>9.9700000000000006</v>
      </c>
      <c r="M365" s="227"/>
      <c r="N365" s="227"/>
      <c r="O365" s="227"/>
    </row>
    <row r="366" spans="1:15" ht="10.95" customHeight="1" x14ac:dyDescent="0.3">
      <c r="A366" s="156" t="s">
        <v>592</v>
      </c>
      <c r="B366" s="227" t="s">
        <v>850</v>
      </c>
      <c r="C366" s="227" t="s">
        <v>683</v>
      </c>
      <c r="D366" s="701" t="s">
        <v>855</v>
      </c>
      <c r="E366" s="701"/>
      <c r="F366" s="701"/>
      <c r="G366" s="226" t="s">
        <v>129</v>
      </c>
      <c r="H366" s="226">
        <v>1</v>
      </c>
      <c r="I366" s="226">
        <v>56.37</v>
      </c>
      <c r="L366" s="226">
        <v>56.37</v>
      </c>
      <c r="M366" s="227"/>
      <c r="N366" s="227"/>
      <c r="O366" s="227"/>
    </row>
    <row r="367" spans="1:15" ht="10.95" customHeight="1" x14ac:dyDescent="0.3">
      <c r="A367" s="156" t="s">
        <v>593</v>
      </c>
      <c r="B367" s="227" t="s">
        <v>924</v>
      </c>
      <c r="C367" s="227" t="s">
        <v>683</v>
      </c>
      <c r="D367" s="701" t="s">
        <v>855</v>
      </c>
      <c r="E367" s="701"/>
      <c r="F367" s="701"/>
      <c r="G367" s="226" t="s">
        <v>129</v>
      </c>
      <c r="H367" s="226">
        <v>1</v>
      </c>
      <c r="I367" s="226">
        <v>12</v>
      </c>
      <c r="L367" s="226">
        <v>12</v>
      </c>
      <c r="M367" s="227"/>
      <c r="N367" s="227"/>
      <c r="O367" s="227"/>
    </row>
    <row r="368" spans="1:15" ht="10.95" customHeight="1" x14ac:dyDescent="0.3">
      <c r="A368" s="156" t="s">
        <v>594</v>
      </c>
      <c r="B368" s="227" t="s">
        <v>851</v>
      </c>
      <c r="C368" s="227" t="s">
        <v>683</v>
      </c>
      <c r="D368" s="701" t="s">
        <v>855</v>
      </c>
      <c r="E368" s="701"/>
      <c r="F368" s="701"/>
      <c r="G368" s="226" t="s">
        <v>129</v>
      </c>
      <c r="H368" s="226">
        <v>1</v>
      </c>
      <c r="I368" s="226">
        <v>23.93</v>
      </c>
      <c r="L368" s="226">
        <v>23.93</v>
      </c>
      <c r="M368" s="227"/>
      <c r="N368" s="227"/>
      <c r="O368" s="227"/>
    </row>
    <row r="369" spans="1:15" ht="10.95" customHeight="1" x14ac:dyDescent="0.3">
      <c r="A369" s="156" t="s">
        <v>595</v>
      </c>
      <c r="B369" s="227" t="s">
        <v>925</v>
      </c>
      <c r="C369" s="227" t="s">
        <v>683</v>
      </c>
      <c r="D369" s="701" t="s">
        <v>855</v>
      </c>
      <c r="E369" s="701"/>
      <c r="F369" s="701"/>
      <c r="G369" s="226" t="s">
        <v>129</v>
      </c>
      <c r="H369" s="226">
        <v>1</v>
      </c>
      <c r="I369" s="226">
        <v>6.11</v>
      </c>
      <c r="L369" s="226">
        <v>6.11</v>
      </c>
      <c r="M369" s="227"/>
      <c r="N369" s="227"/>
      <c r="O369" s="227"/>
    </row>
    <row r="370" spans="1:15" ht="10.95" customHeight="1" x14ac:dyDescent="0.3">
      <c r="A370" s="156" t="s">
        <v>596</v>
      </c>
      <c r="B370" s="227" t="s">
        <v>852</v>
      </c>
      <c r="C370" s="227" t="s">
        <v>683</v>
      </c>
      <c r="D370" s="701" t="s">
        <v>855</v>
      </c>
      <c r="E370" s="701"/>
      <c r="F370" s="701"/>
      <c r="G370" s="226" t="s">
        <v>129</v>
      </c>
      <c r="H370" s="226">
        <v>1</v>
      </c>
      <c r="I370" s="226">
        <v>82.740000000000009</v>
      </c>
      <c r="L370" s="226">
        <v>82.740000000000009</v>
      </c>
      <c r="M370" s="227"/>
      <c r="N370" s="227"/>
      <c r="O370" s="227"/>
    </row>
    <row r="371" spans="1:15" ht="10.95" customHeight="1" x14ac:dyDescent="0.3">
      <c r="A371" s="156" t="s">
        <v>603</v>
      </c>
      <c r="B371" s="227" t="s">
        <v>926</v>
      </c>
      <c r="C371" s="227" t="s">
        <v>683</v>
      </c>
      <c r="D371" s="701" t="s">
        <v>855</v>
      </c>
      <c r="E371" s="701"/>
      <c r="F371" s="701"/>
      <c r="G371" s="226" t="s">
        <v>129</v>
      </c>
      <c r="H371" s="226">
        <v>1</v>
      </c>
      <c r="I371" s="226">
        <v>8.1999999999999993</v>
      </c>
      <c r="L371" s="226">
        <v>8.1999999999999993</v>
      </c>
      <c r="M371" s="227"/>
      <c r="N371" s="227"/>
      <c r="O371" s="227"/>
    </row>
    <row r="372" spans="1:15" ht="10.95" customHeight="1" x14ac:dyDescent="0.3">
      <c r="A372" s="156" t="s">
        <v>604</v>
      </c>
      <c r="B372" s="227" t="s">
        <v>853</v>
      </c>
      <c r="C372" s="227" t="s">
        <v>683</v>
      </c>
      <c r="D372" s="701" t="s">
        <v>855</v>
      </c>
      <c r="E372" s="701"/>
      <c r="F372" s="701"/>
      <c r="G372" s="226" t="s">
        <v>129</v>
      </c>
      <c r="H372" s="226">
        <v>1</v>
      </c>
      <c r="I372" s="226">
        <v>37.61</v>
      </c>
      <c r="L372" s="226">
        <v>37.61</v>
      </c>
      <c r="M372" s="227"/>
      <c r="N372" s="227"/>
      <c r="O372" s="227"/>
    </row>
    <row r="373" spans="1:15" ht="10.95" customHeight="1" x14ac:dyDescent="0.3">
      <c r="A373" s="156" t="s">
        <v>605</v>
      </c>
      <c r="B373" s="227" t="s">
        <v>927</v>
      </c>
      <c r="C373" s="227" t="s">
        <v>683</v>
      </c>
      <c r="D373" s="701" t="s">
        <v>855</v>
      </c>
      <c r="E373" s="701"/>
      <c r="F373" s="701"/>
      <c r="G373" s="226" t="s">
        <v>129</v>
      </c>
      <c r="H373" s="226">
        <v>1</v>
      </c>
      <c r="I373" s="226">
        <v>47.75</v>
      </c>
      <c r="L373" s="226">
        <v>47.75</v>
      </c>
      <c r="M373" s="227"/>
      <c r="N373" s="227"/>
      <c r="O373" s="227"/>
    </row>
    <row r="374" spans="1:15" ht="10.95" customHeight="1" x14ac:dyDescent="0.3">
      <c r="A374" s="156" t="s">
        <v>606</v>
      </c>
      <c r="B374" s="227" t="s">
        <v>854</v>
      </c>
      <c r="C374" s="227" t="s">
        <v>683</v>
      </c>
      <c r="D374" s="701" t="s">
        <v>855</v>
      </c>
      <c r="E374" s="701"/>
      <c r="F374" s="701"/>
      <c r="G374" s="226" t="s">
        <v>129</v>
      </c>
      <c r="H374" s="226">
        <v>1</v>
      </c>
      <c r="I374" s="226">
        <v>74</v>
      </c>
      <c r="L374" s="226">
        <v>74</v>
      </c>
      <c r="M374" s="227"/>
      <c r="N374" s="227"/>
      <c r="O374" s="227"/>
    </row>
    <row r="375" spans="1:15" ht="10.95" customHeight="1" x14ac:dyDescent="0.3">
      <c r="A375" s="156" t="s">
        <v>607</v>
      </c>
      <c r="B375" s="227" t="s">
        <v>928</v>
      </c>
      <c r="C375" s="227" t="s">
        <v>683</v>
      </c>
      <c r="D375" s="701" t="s">
        <v>855</v>
      </c>
      <c r="E375" s="701"/>
      <c r="F375" s="701"/>
      <c r="G375" s="226" t="s">
        <v>129</v>
      </c>
      <c r="H375" s="226">
        <v>1</v>
      </c>
      <c r="I375" s="226">
        <v>3</v>
      </c>
      <c r="L375" s="226">
        <v>3</v>
      </c>
      <c r="M375" s="227"/>
      <c r="N375" s="227"/>
      <c r="O375" s="227"/>
    </row>
    <row r="376" spans="1:15" ht="10.95" customHeight="1" x14ac:dyDescent="0.3">
      <c r="A376" s="156" t="s">
        <v>608</v>
      </c>
      <c r="B376" s="227" t="s">
        <v>1004</v>
      </c>
      <c r="C376" s="227" t="s">
        <v>683</v>
      </c>
      <c r="D376" s="701" t="s">
        <v>855</v>
      </c>
      <c r="E376" s="701"/>
      <c r="F376" s="701"/>
      <c r="G376" s="226" t="s">
        <v>129</v>
      </c>
      <c r="H376" s="226">
        <v>1</v>
      </c>
      <c r="I376" s="226">
        <v>3</v>
      </c>
      <c r="L376" s="226">
        <v>3</v>
      </c>
      <c r="M376" s="227"/>
      <c r="N376" s="227"/>
      <c r="O376" s="227"/>
    </row>
    <row r="377" spans="1:15" ht="10.95" customHeight="1" x14ac:dyDescent="0.3">
      <c r="A377" s="156" t="s">
        <v>609</v>
      </c>
      <c r="B377" s="227" t="s">
        <v>1114</v>
      </c>
      <c r="C377" s="227" t="s">
        <v>683</v>
      </c>
      <c r="D377" s="701" t="s">
        <v>855</v>
      </c>
      <c r="E377" s="701"/>
      <c r="F377" s="701"/>
      <c r="G377" s="226" t="s">
        <v>129</v>
      </c>
      <c r="H377" s="226">
        <v>1</v>
      </c>
      <c r="I377" s="226">
        <v>107.91</v>
      </c>
      <c r="L377" s="226">
        <v>107.91</v>
      </c>
      <c r="M377" s="227"/>
      <c r="N377" s="227"/>
      <c r="O377" s="227"/>
    </row>
    <row r="378" spans="1:15" ht="10.95" customHeight="1" x14ac:dyDescent="0.3">
      <c r="A378" s="156" t="s">
        <v>610</v>
      </c>
      <c r="B378" s="227" t="s">
        <v>929</v>
      </c>
      <c r="C378" s="227" t="s">
        <v>683</v>
      </c>
      <c r="D378" s="701" t="s">
        <v>855</v>
      </c>
      <c r="E378" s="701"/>
      <c r="F378" s="701"/>
      <c r="G378" s="226" t="s">
        <v>129</v>
      </c>
      <c r="H378" s="226">
        <v>1</v>
      </c>
      <c r="I378" s="226">
        <v>13</v>
      </c>
      <c r="L378" s="226">
        <v>13</v>
      </c>
      <c r="M378" s="227"/>
      <c r="N378" s="227"/>
      <c r="O378" s="227"/>
    </row>
    <row r="379" spans="1:15" ht="10.95" customHeight="1" x14ac:dyDescent="0.3">
      <c r="A379" s="156" t="s">
        <v>611</v>
      </c>
      <c r="B379" s="227" t="s">
        <v>1115</v>
      </c>
      <c r="C379" s="227" t="s">
        <v>683</v>
      </c>
      <c r="D379" s="701" t="s">
        <v>855</v>
      </c>
      <c r="E379" s="701"/>
      <c r="F379" s="701"/>
      <c r="G379" s="226" t="s">
        <v>129</v>
      </c>
      <c r="H379" s="226">
        <v>1</v>
      </c>
      <c r="I379" s="226">
        <v>122.36000000000001</v>
      </c>
      <c r="L379" s="226">
        <v>122.36000000000001</v>
      </c>
      <c r="M379" s="227"/>
      <c r="N379" s="227"/>
      <c r="O379" s="227"/>
    </row>
    <row r="380" spans="1:15" ht="10.95" customHeight="1" x14ac:dyDescent="0.3">
      <c r="A380" s="156" t="s">
        <v>612</v>
      </c>
      <c r="B380" s="227" t="s">
        <v>930</v>
      </c>
      <c r="C380" s="227" t="s">
        <v>683</v>
      </c>
      <c r="D380" s="701" t="s">
        <v>855</v>
      </c>
      <c r="E380" s="701"/>
      <c r="F380" s="701"/>
      <c r="G380" s="226" t="s">
        <v>129</v>
      </c>
      <c r="H380" s="226">
        <v>1</v>
      </c>
      <c r="I380" s="226">
        <v>9.6199999999999992</v>
      </c>
      <c r="L380" s="226">
        <v>9.6199999999999992</v>
      </c>
      <c r="M380" s="227"/>
      <c r="N380" s="227"/>
      <c r="O380" s="227"/>
    </row>
    <row r="381" spans="1:15" ht="10.95" customHeight="1" x14ac:dyDescent="0.3">
      <c r="A381" s="156" t="s">
        <v>613</v>
      </c>
      <c r="B381" s="227" t="s">
        <v>851</v>
      </c>
      <c r="C381" s="227" t="s">
        <v>683</v>
      </c>
      <c r="D381" s="701" t="s">
        <v>855</v>
      </c>
      <c r="E381" s="701"/>
      <c r="F381" s="701"/>
      <c r="G381" s="226" t="s">
        <v>129</v>
      </c>
      <c r="H381" s="226">
        <v>1</v>
      </c>
      <c r="I381" s="226">
        <v>44</v>
      </c>
      <c r="L381" s="226">
        <v>44</v>
      </c>
      <c r="M381" s="227"/>
      <c r="N381" s="227"/>
      <c r="O381" s="227"/>
    </row>
    <row r="382" spans="1:15" ht="10.95" customHeight="1" x14ac:dyDescent="0.3">
      <c r="A382" s="156" t="s">
        <v>614</v>
      </c>
      <c r="B382" s="227" t="s">
        <v>931</v>
      </c>
      <c r="C382" s="227" t="s">
        <v>683</v>
      </c>
      <c r="D382" s="701" t="s">
        <v>855</v>
      </c>
      <c r="E382" s="701"/>
      <c r="F382" s="701"/>
      <c r="G382" s="226" t="s">
        <v>129</v>
      </c>
      <c r="H382" s="226">
        <v>1</v>
      </c>
      <c r="I382" s="226">
        <v>3</v>
      </c>
      <c r="L382" s="226">
        <v>3</v>
      </c>
      <c r="M382" s="227"/>
      <c r="N382" s="227"/>
      <c r="O382" s="227"/>
    </row>
    <row r="383" spans="1:15" ht="10.95" customHeight="1" x14ac:dyDescent="0.3">
      <c r="A383" s="156" t="s">
        <v>615</v>
      </c>
      <c r="B383" s="227" t="s">
        <v>934</v>
      </c>
      <c r="C383" s="227" t="s">
        <v>684</v>
      </c>
      <c r="D383" s="701" t="s">
        <v>738</v>
      </c>
      <c r="E383" s="701"/>
      <c r="F383" s="701"/>
      <c r="G383" s="226" t="s">
        <v>129</v>
      </c>
      <c r="H383" s="226">
        <v>1</v>
      </c>
      <c r="I383" s="226">
        <v>3</v>
      </c>
      <c r="L383" s="226">
        <v>3</v>
      </c>
      <c r="M383" s="227"/>
      <c r="N383" s="227"/>
      <c r="O383" s="227"/>
    </row>
    <row r="384" spans="1:15" ht="10.95" customHeight="1" x14ac:dyDescent="0.3">
      <c r="A384" s="156" t="s">
        <v>616</v>
      </c>
      <c r="B384" s="227" t="s">
        <v>734</v>
      </c>
      <c r="C384" s="227" t="s">
        <v>684</v>
      </c>
      <c r="D384" s="701" t="s">
        <v>738</v>
      </c>
      <c r="E384" s="701"/>
      <c r="F384" s="701"/>
      <c r="G384" s="226" t="s">
        <v>129</v>
      </c>
      <c r="H384" s="226">
        <v>1</v>
      </c>
      <c r="I384" s="226">
        <v>102.49</v>
      </c>
      <c r="L384" s="226">
        <v>102.49</v>
      </c>
      <c r="M384" s="227"/>
      <c r="N384" s="227"/>
      <c r="O384" s="227"/>
    </row>
    <row r="385" spans="1:15" ht="10.95" customHeight="1" x14ac:dyDescent="0.3">
      <c r="A385" s="156" t="s">
        <v>617</v>
      </c>
      <c r="B385" s="227" t="s">
        <v>935</v>
      </c>
      <c r="C385" s="227" t="s">
        <v>684</v>
      </c>
      <c r="D385" s="701" t="s">
        <v>738</v>
      </c>
      <c r="E385" s="701"/>
      <c r="F385" s="701"/>
      <c r="G385" s="226" t="s">
        <v>129</v>
      </c>
      <c r="H385" s="226">
        <v>1</v>
      </c>
      <c r="I385" s="226">
        <v>11.65</v>
      </c>
      <c r="L385" s="226">
        <v>11.65</v>
      </c>
      <c r="M385" s="227"/>
      <c r="N385" s="227"/>
      <c r="O385" s="227"/>
    </row>
    <row r="386" spans="1:15" ht="10.95" customHeight="1" x14ac:dyDescent="0.3">
      <c r="A386" s="156" t="s">
        <v>618</v>
      </c>
      <c r="B386" s="227" t="s">
        <v>735</v>
      </c>
      <c r="C386" s="227" t="s">
        <v>684</v>
      </c>
      <c r="D386" s="701" t="s">
        <v>738</v>
      </c>
      <c r="E386" s="701"/>
      <c r="F386" s="701"/>
      <c r="G386" s="226" t="s">
        <v>129</v>
      </c>
      <c r="H386" s="226">
        <v>1</v>
      </c>
      <c r="I386" s="226">
        <v>96.72999999999999</v>
      </c>
      <c r="L386" s="226">
        <v>96.72999999999999</v>
      </c>
      <c r="M386" s="227"/>
      <c r="N386" s="227"/>
      <c r="O386" s="227"/>
    </row>
    <row r="387" spans="1:15" ht="10.95" customHeight="1" x14ac:dyDescent="0.3">
      <c r="A387" s="156" t="s">
        <v>619</v>
      </c>
      <c r="B387" s="227" t="s">
        <v>936</v>
      </c>
      <c r="C387" s="227" t="s">
        <v>684</v>
      </c>
      <c r="D387" s="701" t="s">
        <v>738</v>
      </c>
      <c r="E387" s="701"/>
      <c r="F387" s="701"/>
      <c r="G387" s="226" t="s">
        <v>129</v>
      </c>
      <c r="H387" s="226">
        <v>1</v>
      </c>
      <c r="I387" s="226">
        <v>10.23</v>
      </c>
      <c r="L387" s="226">
        <v>10.23</v>
      </c>
      <c r="M387" s="227"/>
      <c r="N387" s="227"/>
      <c r="O387" s="227"/>
    </row>
    <row r="388" spans="1:15" ht="10.95" customHeight="1" x14ac:dyDescent="0.3">
      <c r="A388" s="156" t="s">
        <v>620</v>
      </c>
      <c r="B388" s="227" t="s">
        <v>736</v>
      </c>
      <c r="C388" s="227" t="s">
        <v>684</v>
      </c>
      <c r="D388" s="701" t="s">
        <v>738</v>
      </c>
      <c r="E388" s="701"/>
      <c r="F388" s="701"/>
      <c r="G388" s="226" t="s">
        <v>129</v>
      </c>
      <c r="H388" s="226">
        <v>1</v>
      </c>
      <c r="I388" s="226">
        <v>102.87</v>
      </c>
      <c r="L388" s="226">
        <v>102.87</v>
      </c>
      <c r="M388" s="227"/>
      <c r="N388" s="227"/>
      <c r="O388" s="227"/>
    </row>
    <row r="389" spans="1:15" ht="10.95" customHeight="1" x14ac:dyDescent="0.3">
      <c r="A389" s="156" t="s">
        <v>621</v>
      </c>
      <c r="B389" s="227" t="s">
        <v>937</v>
      </c>
      <c r="C389" s="227" t="s">
        <v>684</v>
      </c>
      <c r="D389" s="701" t="s">
        <v>738</v>
      </c>
      <c r="E389" s="701"/>
      <c r="F389" s="701"/>
      <c r="G389" s="226" t="s">
        <v>129</v>
      </c>
      <c r="H389" s="226">
        <v>1</v>
      </c>
      <c r="I389" s="226">
        <v>12.11</v>
      </c>
      <c r="L389" s="226">
        <v>12.11</v>
      </c>
      <c r="M389" s="227"/>
      <c r="N389" s="227"/>
      <c r="O389" s="227"/>
    </row>
    <row r="390" spans="1:15" ht="10.95" customHeight="1" x14ac:dyDescent="0.3">
      <c r="A390" s="156" t="s">
        <v>622</v>
      </c>
      <c r="B390" s="227" t="s">
        <v>932</v>
      </c>
      <c r="C390" s="227" t="s">
        <v>684</v>
      </c>
      <c r="D390" s="701" t="s">
        <v>738</v>
      </c>
      <c r="E390" s="701"/>
      <c r="F390" s="701"/>
      <c r="G390" s="226" t="s">
        <v>129</v>
      </c>
      <c r="H390" s="226">
        <v>1</v>
      </c>
      <c r="I390" s="226">
        <v>3</v>
      </c>
      <c r="L390" s="226">
        <v>3</v>
      </c>
      <c r="M390" s="227"/>
      <c r="N390" s="227"/>
      <c r="O390" s="227"/>
    </row>
    <row r="391" spans="1:15" ht="10.95" customHeight="1" x14ac:dyDescent="0.3">
      <c r="A391" s="156" t="s">
        <v>623</v>
      </c>
      <c r="B391" s="227" t="s">
        <v>755</v>
      </c>
      <c r="C391" s="227" t="s">
        <v>684</v>
      </c>
      <c r="D391" s="701" t="s">
        <v>738</v>
      </c>
      <c r="E391" s="701"/>
      <c r="F391" s="701"/>
      <c r="G391" s="226" t="s">
        <v>129</v>
      </c>
      <c r="H391" s="226">
        <v>1</v>
      </c>
      <c r="I391" s="226">
        <v>66.39</v>
      </c>
      <c r="L391" s="226">
        <v>66.39</v>
      </c>
      <c r="M391" s="227"/>
      <c r="N391" s="227"/>
      <c r="O391" s="227"/>
    </row>
    <row r="392" spans="1:15" ht="10.95" customHeight="1" x14ac:dyDescent="0.3">
      <c r="A392" s="156" t="s">
        <v>624</v>
      </c>
      <c r="B392" s="227" t="s">
        <v>938</v>
      </c>
      <c r="C392" s="227" t="s">
        <v>684</v>
      </c>
      <c r="D392" s="701" t="s">
        <v>738</v>
      </c>
      <c r="E392" s="701"/>
      <c r="F392" s="701"/>
      <c r="G392" s="226" t="s">
        <v>129</v>
      </c>
      <c r="H392" s="226">
        <v>1</v>
      </c>
      <c r="I392" s="226">
        <v>7.95</v>
      </c>
      <c r="L392" s="226">
        <v>7.95</v>
      </c>
      <c r="M392" s="227"/>
      <c r="N392" s="227"/>
      <c r="O392" s="227"/>
    </row>
    <row r="393" spans="1:15" ht="10.95" customHeight="1" x14ac:dyDescent="0.3">
      <c r="A393" s="156" t="s">
        <v>625</v>
      </c>
      <c r="B393" s="227" t="s">
        <v>758</v>
      </c>
      <c r="C393" s="227" t="s">
        <v>684</v>
      </c>
      <c r="D393" s="701" t="s">
        <v>738</v>
      </c>
      <c r="E393" s="701"/>
      <c r="F393" s="701"/>
      <c r="G393" s="226" t="s">
        <v>129</v>
      </c>
      <c r="H393" s="226">
        <v>1</v>
      </c>
      <c r="I393" s="226">
        <v>47.15</v>
      </c>
      <c r="L393" s="226">
        <v>47.15</v>
      </c>
      <c r="M393" s="227"/>
      <c r="N393" s="227"/>
      <c r="O393" s="227"/>
    </row>
    <row r="394" spans="1:15" ht="10.95" customHeight="1" x14ac:dyDescent="0.3">
      <c r="A394" s="156" t="s">
        <v>626</v>
      </c>
      <c r="B394" s="227" t="s">
        <v>939</v>
      </c>
      <c r="C394" s="227" t="s">
        <v>684</v>
      </c>
      <c r="D394" s="701" t="s">
        <v>738</v>
      </c>
      <c r="E394" s="701"/>
      <c r="F394" s="701"/>
      <c r="G394" s="226" t="s">
        <v>129</v>
      </c>
      <c r="H394" s="226">
        <v>1</v>
      </c>
      <c r="I394" s="226">
        <v>11.85</v>
      </c>
      <c r="L394" s="226">
        <v>11.85</v>
      </c>
      <c r="M394" s="227"/>
      <c r="N394" s="227"/>
      <c r="O394" s="227"/>
    </row>
    <row r="395" spans="1:15" ht="10.95" customHeight="1" x14ac:dyDescent="0.3">
      <c r="A395" s="156" t="s">
        <v>627</v>
      </c>
      <c r="B395" s="227" t="s">
        <v>761</v>
      </c>
      <c r="C395" s="227" t="s">
        <v>684</v>
      </c>
      <c r="D395" s="701" t="s">
        <v>738</v>
      </c>
      <c r="E395" s="701"/>
      <c r="F395" s="701"/>
      <c r="G395" s="226" t="s">
        <v>129</v>
      </c>
      <c r="H395" s="226">
        <v>1</v>
      </c>
      <c r="I395" s="226">
        <v>111.63</v>
      </c>
      <c r="L395" s="226">
        <v>111.63</v>
      </c>
      <c r="M395" s="227"/>
      <c r="N395" s="227"/>
      <c r="O395" s="227"/>
    </row>
    <row r="396" spans="1:15" ht="10.95" customHeight="1" x14ac:dyDescent="0.3">
      <c r="A396" s="156" t="s">
        <v>628</v>
      </c>
      <c r="B396" s="227" t="s">
        <v>940</v>
      </c>
      <c r="C396" s="227" t="s">
        <v>684</v>
      </c>
      <c r="D396" s="701" t="s">
        <v>738</v>
      </c>
      <c r="E396" s="701"/>
      <c r="F396" s="701"/>
      <c r="G396" s="226" t="s">
        <v>129</v>
      </c>
      <c r="H396" s="226">
        <v>1</v>
      </c>
      <c r="I396" s="226">
        <v>16.649999999999999</v>
      </c>
      <c r="L396" s="226">
        <v>16.649999999999999</v>
      </c>
      <c r="M396" s="227"/>
      <c r="N396" s="227"/>
      <c r="O396" s="227"/>
    </row>
    <row r="397" spans="1:15" ht="10.95" customHeight="1" x14ac:dyDescent="0.3">
      <c r="A397" s="156" t="s">
        <v>629</v>
      </c>
      <c r="B397" s="227" t="s">
        <v>752</v>
      </c>
      <c r="C397" s="227" t="s">
        <v>684</v>
      </c>
      <c r="D397" s="701" t="s">
        <v>738</v>
      </c>
      <c r="E397" s="701"/>
      <c r="F397" s="701"/>
      <c r="G397" s="226" t="s">
        <v>129</v>
      </c>
      <c r="H397" s="226">
        <v>1</v>
      </c>
      <c r="I397" s="226">
        <v>98.31</v>
      </c>
      <c r="L397" s="226">
        <v>98.31</v>
      </c>
      <c r="M397" s="227"/>
      <c r="N397" s="227"/>
      <c r="O397" s="227"/>
    </row>
    <row r="398" spans="1:15" ht="10.95" customHeight="1" x14ac:dyDescent="0.3">
      <c r="A398" s="156" t="s">
        <v>630</v>
      </c>
      <c r="B398" s="227" t="s">
        <v>941</v>
      </c>
      <c r="C398" s="227" t="s">
        <v>684</v>
      </c>
      <c r="D398" s="701" t="s">
        <v>738</v>
      </c>
      <c r="E398" s="701"/>
      <c r="F398" s="701"/>
      <c r="G398" s="226" t="s">
        <v>129</v>
      </c>
      <c r="H398" s="226">
        <v>1</v>
      </c>
      <c r="I398" s="226">
        <v>10.039999999999999</v>
      </c>
      <c r="L398" s="226">
        <v>10.039999999999999</v>
      </c>
      <c r="M398" s="227"/>
      <c r="N398" s="227"/>
      <c r="O398" s="227"/>
    </row>
    <row r="399" spans="1:15" ht="10.95" customHeight="1" x14ac:dyDescent="0.3">
      <c r="A399" s="156" t="s">
        <v>631</v>
      </c>
      <c r="B399" s="227" t="s">
        <v>759</v>
      </c>
      <c r="C399" s="227" t="s">
        <v>684</v>
      </c>
      <c r="D399" s="701" t="s">
        <v>738</v>
      </c>
      <c r="E399" s="701"/>
      <c r="F399" s="701"/>
      <c r="G399" s="226" t="s">
        <v>129</v>
      </c>
      <c r="H399" s="226">
        <v>1</v>
      </c>
      <c r="I399" s="226">
        <v>101.73</v>
      </c>
      <c r="L399" s="226">
        <v>101.73</v>
      </c>
      <c r="M399" s="227"/>
      <c r="N399" s="227"/>
      <c r="O399" s="227"/>
    </row>
    <row r="400" spans="1:15" ht="10.95" customHeight="1" x14ac:dyDescent="0.3">
      <c r="A400" s="156" t="s">
        <v>632</v>
      </c>
      <c r="B400" s="227" t="s">
        <v>942</v>
      </c>
      <c r="C400" s="227" t="s">
        <v>684</v>
      </c>
      <c r="D400" s="701" t="s">
        <v>738</v>
      </c>
      <c r="E400" s="701"/>
      <c r="F400" s="701"/>
      <c r="G400" s="226" t="s">
        <v>129</v>
      </c>
      <c r="H400" s="226">
        <v>1</v>
      </c>
      <c r="I400" s="226">
        <v>10.11</v>
      </c>
      <c r="L400" s="226">
        <v>10.11</v>
      </c>
      <c r="M400" s="227"/>
      <c r="N400" s="227"/>
      <c r="O400" s="227"/>
    </row>
    <row r="401" spans="1:15" ht="10.95" customHeight="1" x14ac:dyDescent="0.3">
      <c r="A401" s="156" t="s">
        <v>633</v>
      </c>
      <c r="B401" s="227" t="s">
        <v>760</v>
      </c>
      <c r="C401" s="227" t="s">
        <v>684</v>
      </c>
      <c r="D401" s="701" t="s">
        <v>738</v>
      </c>
      <c r="E401" s="701"/>
      <c r="F401" s="701"/>
      <c r="G401" s="226" t="s">
        <v>129</v>
      </c>
      <c r="H401" s="226">
        <v>1</v>
      </c>
      <c r="I401" s="226">
        <v>101.04</v>
      </c>
      <c r="L401" s="226">
        <v>101.04</v>
      </c>
      <c r="M401" s="227"/>
      <c r="N401" s="227"/>
      <c r="O401" s="227"/>
    </row>
    <row r="402" spans="1:15" ht="10.95" customHeight="1" x14ac:dyDescent="0.3">
      <c r="A402" s="156" t="s">
        <v>634</v>
      </c>
      <c r="B402" s="227" t="s">
        <v>943</v>
      </c>
      <c r="C402" s="227" t="s">
        <v>684</v>
      </c>
      <c r="D402" s="701" t="s">
        <v>738</v>
      </c>
      <c r="E402" s="701"/>
      <c r="F402" s="701"/>
      <c r="G402" s="226" t="s">
        <v>129</v>
      </c>
      <c r="H402" s="226">
        <v>1</v>
      </c>
      <c r="I402" s="226">
        <v>11</v>
      </c>
      <c r="L402" s="226">
        <v>11</v>
      </c>
      <c r="M402" s="227"/>
      <c r="N402" s="227"/>
      <c r="O402" s="227"/>
    </row>
    <row r="403" spans="1:15" ht="10.95" customHeight="1" x14ac:dyDescent="0.3">
      <c r="A403" s="156" t="s">
        <v>638</v>
      </c>
      <c r="B403" s="227" t="s">
        <v>944</v>
      </c>
      <c r="C403" s="227" t="s">
        <v>684</v>
      </c>
      <c r="D403" s="701" t="s">
        <v>738</v>
      </c>
      <c r="E403" s="701"/>
      <c r="F403" s="701"/>
      <c r="G403" s="226" t="s">
        <v>129</v>
      </c>
      <c r="H403" s="226">
        <v>1</v>
      </c>
      <c r="I403" s="226">
        <v>3</v>
      </c>
      <c r="L403" s="226">
        <v>3</v>
      </c>
      <c r="M403" s="227"/>
      <c r="N403" s="227"/>
      <c r="O403" s="227"/>
    </row>
    <row r="404" spans="1:15" ht="10.95" customHeight="1" x14ac:dyDescent="0.3">
      <c r="A404" s="156" t="s">
        <v>639</v>
      </c>
      <c r="B404" s="227" t="s">
        <v>792</v>
      </c>
      <c r="C404" s="227" t="s">
        <v>684</v>
      </c>
      <c r="D404" s="701" t="s">
        <v>738</v>
      </c>
      <c r="E404" s="701"/>
      <c r="F404" s="701"/>
      <c r="G404" s="226" t="s">
        <v>129</v>
      </c>
      <c r="H404" s="226">
        <v>1</v>
      </c>
      <c r="I404" s="226">
        <v>111.7</v>
      </c>
      <c r="L404" s="226">
        <v>111.7</v>
      </c>
      <c r="M404" s="227"/>
      <c r="N404" s="227"/>
      <c r="O404" s="227"/>
    </row>
    <row r="405" spans="1:15" ht="10.95" customHeight="1" x14ac:dyDescent="0.3">
      <c r="A405" s="156" t="s">
        <v>640</v>
      </c>
      <c r="B405" s="227" t="s">
        <v>945</v>
      </c>
      <c r="C405" s="227" t="s">
        <v>684</v>
      </c>
      <c r="D405" s="701" t="s">
        <v>738</v>
      </c>
      <c r="E405" s="701"/>
      <c r="F405" s="701"/>
      <c r="G405" s="226" t="s">
        <v>129</v>
      </c>
      <c r="H405" s="226">
        <v>1</v>
      </c>
      <c r="I405" s="226">
        <v>10.23</v>
      </c>
      <c r="L405" s="226">
        <v>10.23</v>
      </c>
      <c r="M405" s="227"/>
      <c r="N405" s="227"/>
      <c r="O405" s="227"/>
    </row>
    <row r="406" spans="1:15" ht="10.95" customHeight="1" x14ac:dyDescent="0.3">
      <c r="A406" s="156" t="s">
        <v>641</v>
      </c>
      <c r="B406" s="227" t="s">
        <v>778</v>
      </c>
      <c r="C406" s="227" t="s">
        <v>684</v>
      </c>
      <c r="D406" s="701" t="s">
        <v>738</v>
      </c>
      <c r="E406" s="701"/>
      <c r="F406" s="701"/>
      <c r="G406" s="226" t="s">
        <v>129</v>
      </c>
      <c r="H406" s="226">
        <v>1</v>
      </c>
      <c r="I406" s="226">
        <v>108.14</v>
      </c>
      <c r="L406" s="226">
        <v>108.14</v>
      </c>
      <c r="M406" s="227"/>
      <c r="N406" s="227"/>
      <c r="O406" s="227"/>
    </row>
    <row r="407" spans="1:15" ht="10.95" customHeight="1" x14ac:dyDescent="0.3">
      <c r="A407" s="156" t="s">
        <v>642</v>
      </c>
      <c r="B407" s="227" t="s">
        <v>946</v>
      </c>
      <c r="C407" s="227" t="s">
        <v>684</v>
      </c>
      <c r="D407" s="701" t="s">
        <v>738</v>
      </c>
      <c r="E407" s="701"/>
      <c r="F407" s="701"/>
      <c r="G407" s="226" t="s">
        <v>129</v>
      </c>
      <c r="H407" s="226">
        <v>1</v>
      </c>
      <c r="I407" s="226">
        <v>15.13</v>
      </c>
      <c r="L407" s="226">
        <v>15.13</v>
      </c>
      <c r="M407" s="227"/>
      <c r="N407" s="227"/>
      <c r="O407" s="227"/>
    </row>
    <row r="408" spans="1:15" ht="10.95" customHeight="1" x14ac:dyDescent="0.3">
      <c r="A408" s="156" t="s">
        <v>643</v>
      </c>
      <c r="B408" s="227" t="s">
        <v>779</v>
      </c>
      <c r="C408" s="227" t="s">
        <v>684</v>
      </c>
      <c r="D408" s="701" t="s">
        <v>738</v>
      </c>
      <c r="E408" s="701"/>
      <c r="F408" s="701"/>
      <c r="G408" s="226" t="s">
        <v>129</v>
      </c>
      <c r="H408" s="226">
        <v>1</v>
      </c>
      <c r="I408" s="226">
        <v>99.02</v>
      </c>
      <c r="L408" s="226">
        <v>99.02</v>
      </c>
      <c r="M408" s="227"/>
      <c r="N408" s="227"/>
      <c r="O408" s="227"/>
    </row>
    <row r="409" spans="1:15" ht="10.95" customHeight="1" x14ac:dyDescent="0.3">
      <c r="A409" s="156" t="s">
        <v>644</v>
      </c>
      <c r="B409" s="227" t="s">
        <v>947</v>
      </c>
      <c r="C409" s="227" t="s">
        <v>684</v>
      </c>
      <c r="D409" s="701" t="s">
        <v>738</v>
      </c>
      <c r="E409" s="701"/>
      <c r="F409" s="701"/>
      <c r="G409" s="226" t="s">
        <v>129</v>
      </c>
      <c r="H409" s="226">
        <v>1</v>
      </c>
      <c r="I409" s="226">
        <v>12.39</v>
      </c>
      <c r="L409" s="226">
        <v>12.39</v>
      </c>
      <c r="M409" s="227"/>
      <c r="N409" s="227"/>
      <c r="O409" s="227"/>
    </row>
    <row r="410" spans="1:15" ht="10.95" customHeight="1" x14ac:dyDescent="0.3">
      <c r="A410" s="156" t="s">
        <v>645</v>
      </c>
      <c r="B410" s="227" t="s">
        <v>780</v>
      </c>
      <c r="C410" s="227" t="s">
        <v>684</v>
      </c>
      <c r="D410" s="701" t="s">
        <v>738</v>
      </c>
      <c r="E410" s="701"/>
      <c r="F410" s="701"/>
      <c r="G410" s="226" t="s">
        <v>129</v>
      </c>
      <c r="H410" s="226">
        <v>1</v>
      </c>
      <c r="I410" s="226">
        <v>101.32</v>
      </c>
      <c r="L410" s="226">
        <v>101.32</v>
      </c>
      <c r="M410" s="227"/>
      <c r="N410" s="227"/>
      <c r="O410" s="227"/>
    </row>
    <row r="411" spans="1:15" ht="10.95" customHeight="1" x14ac:dyDescent="0.3">
      <c r="A411" s="156" t="s">
        <v>646</v>
      </c>
      <c r="B411" s="227" t="s">
        <v>948</v>
      </c>
      <c r="C411" s="227" t="s">
        <v>684</v>
      </c>
      <c r="D411" s="701" t="s">
        <v>738</v>
      </c>
      <c r="E411" s="701"/>
      <c r="F411" s="701"/>
      <c r="G411" s="226" t="s">
        <v>129</v>
      </c>
      <c r="H411" s="226">
        <v>1</v>
      </c>
      <c r="I411" s="226">
        <v>13.3</v>
      </c>
      <c r="L411" s="226">
        <v>13.3</v>
      </c>
      <c r="M411" s="227"/>
      <c r="N411" s="227"/>
      <c r="O411" s="227"/>
    </row>
    <row r="412" spans="1:15" ht="10.95" customHeight="1" x14ac:dyDescent="0.3">
      <c r="A412" s="156" t="s">
        <v>647</v>
      </c>
      <c r="B412" s="227" t="s">
        <v>781</v>
      </c>
      <c r="C412" s="227" t="s">
        <v>684</v>
      </c>
      <c r="D412" s="701" t="s">
        <v>738</v>
      </c>
      <c r="E412" s="701"/>
      <c r="F412" s="701"/>
      <c r="G412" s="226" t="s">
        <v>129</v>
      </c>
      <c r="H412" s="226">
        <v>1</v>
      </c>
      <c r="I412" s="226">
        <v>99.2</v>
      </c>
      <c r="L412" s="226">
        <v>99.2</v>
      </c>
      <c r="M412" s="227"/>
      <c r="N412" s="227"/>
      <c r="O412" s="227"/>
    </row>
    <row r="413" spans="1:15" ht="10.95" customHeight="1" x14ac:dyDescent="0.3">
      <c r="A413" s="156" t="s">
        <v>648</v>
      </c>
      <c r="B413" s="227" t="s">
        <v>949</v>
      </c>
      <c r="C413" s="227" t="s">
        <v>684</v>
      </c>
      <c r="D413" s="701" t="s">
        <v>738</v>
      </c>
      <c r="E413" s="701"/>
      <c r="F413" s="701"/>
      <c r="G413" s="226" t="s">
        <v>129</v>
      </c>
      <c r="H413" s="226">
        <v>1</v>
      </c>
      <c r="I413" s="226">
        <v>9.02</v>
      </c>
      <c r="L413" s="226">
        <v>9.02</v>
      </c>
      <c r="M413" s="227"/>
      <c r="N413" s="227"/>
      <c r="O413" s="227"/>
    </row>
    <row r="414" spans="1:15" ht="10.95" customHeight="1" x14ac:dyDescent="0.3">
      <c r="A414" s="156" t="s">
        <v>649</v>
      </c>
      <c r="B414" s="227" t="s">
        <v>933</v>
      </c>
      <c r="C414" s="227" t="s">
        <v>684</v>
      </c>
      <c r="D414" s="701" t="s">
        <v>738</v>
      </c>
      <c r="E414" s="701"/>
      <c r="F414" s="701"/>
      <c r="G414" s="226" t="s">
        <v>129</v>
      </c>
      <c r="H414" s="226">
        <v>1</v>
      </c>
      <c r="I414" s="226">
        <v>3</v>
      </c>
      <c r="L414" s="226">
        <v>3</v>
      </c>
      <c r="M414" s="227"/>
      <c r="N414" s="227"/>
      <c r="O414" s="227"/>
    </row>
    <row r="415" spans="1:15" ht="10.95" customHeight="1" x14ac:dyDescent="0.3">
      <c r="A415" s="156" t="s">
        <v>650</v>
      </c>
      <c r="B415" s="227" t="s">
        <v>793</v>
      </c>
      <c r="C415" s="227" t="s">
        <v>684</v>
      </c>
      <c r="D415" s="701" t="s">
        <v>738</v>
      </c>
      <c r="E415" s="701"/>
      <c r="F415" s="701"/>
      <c r="G415" s="226" t="s">
        <v>129</v>
      </c>
      <c r="H415" s="226">
        <v>1</v>
      </c>
      <c r="I415" s="226">
        <v>100.5</v>
      </c>
      <c r="L415" s="226">
        <v>100.5</v>
      </c>
      <c r="M415" s="227"/>
      <c r="N415" s="227"/>
      <c r="O415" s="227"/>
    </row>
    <row r="416" spans="1:15" ht="10.95" customHeight="1" x14ac:dyDescent="0.3">
      <c r="A416" s="156" t="s">
        <v>651</v>
      </c>
      <c r="B416" s="227" t="s">
        <v>950</v>
      </c>
      <c r="C416" s="227" t="s">
        <v>684</v>
      </c>
      <c r="D416" s="701" t="s">
        <v>738</v>
      </c>
      <c r="E416" s="701"/>
      <c r="F416" s="701"/>
      <c r="G416" s="226" t="s">
        <v>129</v>
      </c>
      <c r="H416" s="226">
        <v>1</v>
      </c>
      <c r="I416" s="226">
        <v>9.23</v>
      </c>
      <c r="L416" s="226">
        <v>9.23</v>
      </c>
      <c r="M416" s="227"/>
      <c r="N416" s="227"/>
      <c r="O416" s="227"/>
    </row>
    <row r="417" spans="1:15" ht="10.95" customHeight="1" x14ac:dyDescent="0.3">
      <c r="A417" s="156" t="s">
        <v>652</v>
      </c>
      <c r="B417" s="227" t="s">
        <v>794</v>
      </c>
      <c r="C417" s="227" t="s">
        <v>684</v>
      </c>
      <c r="D417" s="701" t="s">
        <v>738</v>
      </c>
      <c r="E417" s="701"/>
      <c r="F417" s="701"/>
      <c r="G417" s="226" t="s">
        <v>129</v>
      </c>
      <c r="H417" s="226">
        <v>1</v>
      </c>
      <c r="I417" s="226">
        <v>110.91</v>
      </c>
      <c r="L417" s="226">
        <v>110.91</v>
      </c>
      <c r="M417" s="227"/>
      <c r="N417" s="227"/>
      <c r="O417" s="227"/>
    </row>
    <row r="418" spans="1:15" ht="10.95" customHeight="1" x14ac:dyDescent="0.3">
      <c r="A418" s="156" t="s">
        <v>653</v>
      </c>
      <c r="B418" s="227" t="s">
        <v>951</v>
      </c>
      <c r="C418" s="227" t="s">
        <v>684</v>
      </c>
      <c r="D418" s="701" t="s">
        <v>738</v>
      </c>
      <c r="E418" s="701"/>
      <c r="F418" s="701"/>
      <c r="G418" s="226" t="s">
        <v>129</v>
      </c>
      <c r="H418" s="226">
        <v>1</v>
      </c>
      <c r="I418" s="226">
        <v>13.71</v>
      </c>
      <c r="L418" s="226">
        <v>13.71</v>
      </c>
      <c r="M418" s="227"/>
      <c r="N418" s="227"/>
      <c r="O418" s="227"/>
    </row>
    <row r="419" spans="1:15" ht="10.95" customHeight="1" x14ac:dyDescent="0.3">
      <c r="A419" s="156" t="s">
        <v>654</v>
      </c>
      <c r="B419" s="227" t="s">
        <v>795</v>
      </c>
      <c r="C419" s="227" t="s">
        <v>684</v>
      </c>
      <c r="D419" s="701" t="s">
        <v>738</v>
      </c>
      <c r="E419" s="701"/>
      <c r="F419" s="701"/>
      <c r="G419" s="226" t="s">
        <v>129</v>
      </c>
      <c r="H419" s="226">
        <v>1</v>
      </c>
      <c r="I419" s="226">
        <v>100.12</v>
      </c>
      <c r="L419" s="226">
        <v>100.12</v>
      </c>
      <c r="M419" s="227"/>
      <c r="N419" s="227"/>
      <c r="O419" s="227"/>
    </row>
    <row r="420" spans="1:15" ht="10.95" customHeight="1" x14ac:dyDescent="0.3">
      <c r="A420" s="156" t="s">
        <v>655</v>
      </c>
      <c r="B420" s="227" t="s">
        <v>952</v>
      </c>
      <c r="C420" s="227" t="s">
        <v>684</v>
      </c>
      <c r="D420" s="701" t="s">
        <v>738</v>
      </c>
      <c r="E420" s="701"/>
      <c r="F420" s="701"/>
      <c r="G420" s="226" t="s">
        <v>129</v>
      </c>
      <c r="H420" s="226">
        <v>1</v>
      </c>
      <c r="I420" s="226">
        <v>10.96</v>
      </c>
      <c r="L420" s="226">
        <v>10.96</v>
      </c>
      <c r="M420" s="227"/>
      <c r="N420" s="227"/>
      <c r="O420" s="227"/>
    </row>
    <row r="421" spans="1:15" ht="10.95" customHeight="1" x14ac:dyDescent="0.3">
      <c r="A421" s="156" t="s">
        <v>656</v>
      </c>
      <c r="B421" s="227" t="s">
        <v>796</v>
      </c>
      <c r="C421" s="227" t="s">
        <v>684</v>
      </c>
      <c r="D421" s="701" t="s">
        <v>738</v>
      </c>
      <c r="E421" s="701"/>
      <c r="F421" s="701"/>
      <c r="G421" s="226" t="s">
        <v>129</v>
      </c>
      <c r="H421" s="226">
        <v>1</v>
      </c>
      <c r="I421" s="226">
        <v>102.38</v>
      </c>
      <c r="L421" s="226">
        <v>102.38</v>
      </c>
      <c r="M421" s="227"/>
      <c r="N421" s="227"/>
      <c r="O421" s="227"/>
    </row>
    <row r="422" spans="1:15" ht="10.95" customHeight="1" x14ac:dyDescent="0.3">
      <c r="A422" s="156" t="s">
        <v>657</v>
      </c>
      <c r="B422" s="227" t="s">
        <v>953</v>
      </c>
      <c r="C422" s="227" t="s">
        <v>684</v>
      </c>
      <c r="D422" s="701" t="s">
        <v>738</v>
      </c>
      <c r="E422" s="701"/>
      <c r="F422" s="701"/>
      <c r="G422" s="226" t="s">
        <v>129</v>
      </c>
      <c r="H422" s="226">
        <v>1</v>
      </c>
      <c r="I422" s="226">
        <v>11.11</v>
      </c>
      <c r="L422" s="226">
        <v>11.11</v>
      </c>
      <c r="M422" s="227"/>
      <c r="N422" s="227"/>
      <c r="O422" s="227"/>
    </row>
    <row r="423" spans="1:15" ht="10.95" customHeight="1" x14ac:dyDescent="0.3">
      <c r="A423" s="156" t="s">
        <v>658</v>
      </c>
      <c r="B423" s="227" t="s">
        <v>797</v>
      </c>
      <c r="C423" s="227" t="s">
        <v>684</v>
      </c>
      <c r="D423" s="701" t="s">
        <v>738</v>
      </c>
      <c r="E423" s="701"/>
      <c r="F423" s="701"/>
      <c r="G423" s="226" t="s">
        <v>129</v>
      </c>
      <c r="H423" s="226">
        <v>1</v>
      </c>
      <c r="I423" s="226">
        <v>101.4</v>
      </c>
      <c r="L423" s="226">
        <v>101.4</v>
      </c>
      <c r="M423" s="227"/>
      <c r="N423" s="227"/>
      <c r="O423" s="227"/>
    </row>
    <row r="424" spans="1:15" ht="10.95" customHeight="1" x14ac:dyDescent="0.3">
      <c r="A424" s="156" t="s">
        <v>659</v>
      </c>
      <c r="B424" s="227" t="s">
        <v>954</v>
      </c>
      <c r="C424" s="227" t="s">
        <v>684</v>
      </c>
      <c r="D424" s="701" t="s">
        <v>738</v>
      </c>
      <c r="E424" s="701"/>
      <c r="F424" s="701"/>
      <c r="G424" s="226" t="s">
        <v>129</v>
      </c>
      <c r="H424" s="226">
        <v>1</v>
      </c>
      <c r="I424" s="226">
        <v>12.85</v>
      </c>
      <c r="L424" s="226">
        <v>12.85</v>
      </c>
      <c r="M424" s="227"/>
      <c r="N424" s="227"/>
      <c r="O424" s="227"/>
    </row>
    <row r="425" spans="1:15" ht="10.95" customHeight="1" x14ac:dyDescent="0.3">
      <c r="A425" s="156" t="s">
        <v>660</v>
      </c>
      <c r="B425" s="227" t="s">
        <v>955</v>
      </c>
      <c r="C425" s="227" t="s">
        <v>684</v>
      </c>
      <c r="D425" s="701" t="s">
        <v>738</v>
      </c>
      <c r="E425" s="701"/>
      <c r="F425" s="701"/>
      <c r="G425" s="226" t="s">
        <v>129</v>
      </c>
      <c r="H425" s="226">
        <v>1</v>
      </c>
      <c r="I425" s="226">
        <v>3</v>
      </c>
      <c r="L425" s="226">
        <v>3</v>
      </c>
      <c r="M425" s="227"/>
      <c r="N425" s="227"/>
      <c r="O425" s="227"/>
    </row>
    <row r="426" spans="1:15" ht="10.95" customHeight="1" x14ac:dyDescent="0.3">
      <c r="A426" s="156" t="s">
        <v>661</v>
      </c>
      <c r="B426" s="227" t="s">
        <v>800</v>
      </c>
      <c r="C426" s="227" t="s">
        <v>684</v>
      </c>
      <c r="D426" s="701" t="s">
        <v>738</v>
      </c>
      <c r="E426" s="701"/>
      <c r="F426" s="701"/>
      <c r="G426" s="226" t="s">
        <v>129</v>
      </c>
      <c r="H426" s="226">
        <v>1</v>
      </c>
      <c r="I426" s="226">
        <v>99.98</v>
      </c>
      <c r="L426" s="226">
        <v>99.98</v>
      </c>
      <c r="M426" s="227"/>
      <c r="N426" s="227"/>
      <c r="O426" s="227"/>
    </row>
    <row r="427" spans="1:15" ht="10.95" customHeight="1" x14ac:dyDescent="0.3">
      <c r="A427" s="156" t="s">
        <v>686</v>
      </c>
      <c r="B427" s="227" t="s">
        <v>956</v>
      </c>
      <c r="C427" s="227" t="s">
        <v>684</v>
      </c>
      <c r="D427" s="701" t="s">
        <v>738</v>
      </c>
      <c r="E427" s="701"/>
      <c r="F427" s="701"/>
      <c r="G427" s="226" t="s">
        <v>129</v>
      </c>
      <c r="H427" s="226">
        <v>1</v>
      </c>
      <c r="I427" s="226">
        <v>9.33</v>
      </c>
      <c r="L427" s="226">
        <v>9.33</v>
      </c>
      <c r="M427" s="227"/>
      <c r="N427" s="227"/>
      <c r="O427" s="227"/>
    </row>
    <row r="428" spans="1:15" ht="10.95" customHeight="1" x14ac:dyDescent="0.3">
      <c r="A428" s="156" t="s">
        <v>687</v>
      </c>
      <c r="B428" s="227" t="s">
        <v>801</v>
      </c>
      <c r="C428" s="227" t="s">
        <v>684</v>
      </c>
      <c r="D428" s="701" t="s">
        <v>738</v>
      </c>
      <c r="E428" s="701"/>
      <c r="F428" s="701"/>
      <c r="G428" s="226" t="s">
        <v>129</v>
      </c>
      <c r="H428" s="226">
        <v>1</v>
      </c>
      <c r="I428" s="226">
        <v>102.15</v>
      </c>
      <c r="L428" s="226">
        <v>102.15</v>
      </c>
      <c r="M428" s="227"/>
      <c r="N428" s="227"/>
      <c r="O428" s="227"/>
    </row>
    <row r="429" spans="1:15" ht="10.95" customHeight="1" x14ac:dyDescent="0.3">
      <c r="A429" s="156" t="s">
        <v>688</v>
      </c>
      <c r="B429" s="227" t="s">
        <v>957</v>
      </c>
      <c r="C429" s="227" t="s">
        <v>684</v>
      </c>
      <c r="D429" s="701" t="s">
        <v>738</v>
      </c>
      <c r="E429" s="701"/>
      <c r="F429" s="701"/>
      <c r="G429" s="226" t="s">
        <v>129</v>
      </c>
      <c r="H429" s="226">
        <v>1</v>
      </c>
      <c r="I429" s="226">
        <v>10.42</v>
      </c>
      <c r="L429" s="226">
        <v>10.42</v>
      </c>
      <c r="M429" s="227"/>
      <c r="N429" s="227"/>
      <c r="O429" s="227"/>
    </row>
    <row r="430" spans="1:15" ht="10.95" customHeight="1" x14ac:dyDescent="0.3">
      <c r="A430" s="156" t="s">
        <v>689</v>
      </c>
      <c r="B430" s="227" t="s">
        <v>802</v>
      </c>
      <c r="C430" s="227" t="s">
        <v>684</v>
      </c>
      <c r="D430" s="701" t="s">
        <v>738</v>
      </c>
      <c r="E430" s="701"/>
      <c r="F430" s="701"/>
      <c r="G430" s="226" t="s">
        <v>129</v>
      </c>
      <c r="H430" s="226">
        <v>1</v>
      </c>
      <c r="I430" s="226">
        <v>100.63</v>
      </c>
      <c r="L430" s="226">
        <v>100.63</v>
      </c>
      <c r="M430" s="227"/>
      <c r="N430" s="227"/>
      <c r="O430" s="227"/>
    </row>
    <row r="431" spans="1:15" ht="10.95" customHeight="1" x14ac:dyDescent="0.3">
      <c r="A431" s="156" t="s">
        <v>690</v>
      </c>
      <c r="B431" s="227" t="s">
        <v>958</v>
      </c>
      <c r="C431" s="227" t="s">
        <v>684</v>
      </c>
      <c r="D431" s="701" t="s">
        <v>738</v>
      </c>
      <c r="E431" s="701"/>
      <c r="F431" s="701"/>
      <c r="G431" s="226" t="s">
        <v>129</v>
      </c>
      <c r="H431" s="226">
        <v>1</v>
      </c>
      <c r="I431" s="226">
        <v>12.76</v>
      </c>
      <c r="L431" s="226">
        <v>12.76</v>
      </c>
      <c r="M431" s="227"/>
      <c r="N431" s="227"/>
      <c r="O431" s="227"/>
    </row>
    <row r="432" spans="1:15" ht="10.95" customHeight="1" x14ac:dyDescent="0.3">
      <c r="A432" s="156" t="s">
        <v>691</v>
      </c>
      <c r="B432" s="227" t="s">
        <v>959</v>
      </c>
      <c r="C432" s="227" t="s">
        <v>684</v>
      </c>
      <c r="D432" s="701" t="s">
        <v>738</v>
      </c>
      <c r="E432" s="701"/>
      <c r="F432" s="701"/>
      <c r="G432" s="226" t="s">
        <v>129</v>
      </c>
      <c r="H432" s="226">
        <v>1</v>
      </c>
      <c r="I432" s="226">
        <v>3</v>
      </c>
      <c r="L432" s="226">
        <v>3</v>
      </c>
      <c r="M432" s="227"/>
      <c r="N432" s="227"/>
      <c r="O432" s="227"/>
    </row>
    <row r="433" spans="1:15" ht="10.95" customHeight="1" x14ac:dyDescent="0.3">
      <c r="A433" s="156" t="s">
        <v>692</v>
      </c>
      <c r="B433" s="227" t="s">
        <v>805</v>
      </c>
      <c r="C433" s="227" t="s">
        <v>684</v>
      </c>
      <c r="D433" s="701" t="s">
        <v>738</v>
      </c>
      <c r="E433" s="701"/>
      <c r="F433" s="701"/>
      <c r="G433" s="226" t="s">
        <v>129</v>
      </c>
      <c r="H433" s="226">
        <v>1</v>
      </c>
      <c r="I433" s="226">
        <v>102.03</v>
      </c>
      <c r="L433" s="226">
        <v>102.03</v>
      </c>
      <c r="M433" s="227"/>
      <c r="N433" s="227"/>
      <c r="O433" s="227"/>
    </row>
    <row r="434" spans="1:15" ht="10.95" customHeight="1" x14ac:dyDescent="0.3">
      <c r="A434" s="156" t="s">
        <v>693</v>
      </c>
      <c r="B434" s="227" t="s">
        <v>960</v>
      </c>
      <c r="C434" s="227" t="s">
        <v>684</v>
      </c>
      <c r="D434" s="701" t="s">
        <v>738</v>
      </c>
      <c r="E434" s="701"/>
      <c r="F434" s="701"/>
      <c r="G434" s="226" t="s">
        <v>129</v>
      </c>
      <c r="H434" s="226">
        <v>1</v>
      </c>
      <c r="I434" s="226">
        <v>12.07</v>
      </c>
      <c r="L434" s="226">
        <v>12.07</v>
      </c>
      <c r="M434" s="227"/>
      <c r="N434" s="227"/>
      <c r="O434" s="227"/>
    </row>
    <row r="435" spans="1:15" ht="10.95" customHeight="1" x14ac:dyDescent="0.3">
      <c r="A435" s="156" t="s">
        <v>694</v>
      </c>
      <c r="B435" s="227" t="s">
        <v>806</v>
      </c>
      <c r="C435" s="227" t="s">
        <v>684</v>
      </c>
      <c r="D435" s="701" t="s">
        <v>738</v>
      </c>
      <c r="E435" s="701"/>
      <c r="F435" s="701"/>
      <c r="G435" s="226" t="s">
        <v>129</v>
      </c>
      <c r="H435" s="226">
        <v>1</v>
      </c>
      <c r="I435" s="226">
        <v>98.36</v>
      </c>
      <c r="L435" s="226">
        <v>98.36</v>
      </c>
      <c r="M435" s="227"/>
      <c r="N435" s="227"/>
      <c r="O435" s="227"/>
    </row>
    <row r="436" spans="1:15" ht="10.95" customHeight="1" x14ac:dyDescent="0.3">
      <c r="A436" s="156" t="s">
        <v>695</v>
      </c>
      <c r="B436" s="227" t="s">
        <v>961</v>
      </c>
      <c r="C436" s="227" t="s">
        <v>684</v>
      </c>
      <c r="D436" s="701" t="s">
        <v>738</v>
      </c>
      <c r="E436" s="701"/>
      <c r="F436" s="701"/>
      <c r="G436" s="226" t="s">
        <v>129</v>
      </c>
      <c r="H436" s="226">
        <v>1</v>
      </c>
      <c r="I436" s="226">
        <v>12</v>
      </c>
      <c r="L436" s="226">
        <v>12</v>
      </c>
      <c r="M436" s="227"/>
      <c r="N436" s="227"/>
      <c r="O436" s="227"/>
    </row>
    <row r="437" spans="1:15" ht="10.95" customHeight="1" x14ac:dyDescent="0.3">
      <c r="A437" s="156" t="s">
        <v>696</v>
      </c>
      <c r="B437" s="227" t="s">
        <v>807</v>
      </c>
      <c r="C437" s="227" t="s">
        <v>684</v>
      </c>
      <c r="D437" s="701" t="s">
        <v>738</v>
      </c>
      <c r="E437" s="701"/>
      <c r="F437" s="701"/>
      <c r="G437" s="226" t="s">
        <v>129</v>
      </c>
      <c r="H437" s="226">
        <v>1</v>
      </c>
      <c r="I437" s="226">
        <v>100.79</v>
      </c>
      <c r="L437" s="226">
        <v>100.79</v>
      </c>
      <c r="M437" s="227"/>
      <c r="N437" s="227"/>
      <c r="O437" s="227"/>
    </row>
    <row r="438" spans="1:15" ht="10.95" customHeight="1" x14ac:dyDescent="0.3">
      <c r="A438" s="156" t="s">
        <v>697</v>
      </c>
      <c r="B438" s="227" t="s">
        <v>962</v>
      </c>
      <c r="C438" s="227" t="s">
        <v>684</v>
      </c>
      <c r="D438" s="701" t="s">
        <v>738</v>
      </c>
      <c r="E438" s="701"/>
      <c r="F438" s="701"/>
      <c r="G438" s="226" t="s">
        <v>129</v>
      </c>
      <c r="H438" s="226">
        <v>1</v>
      </c>
      <c r="I438" s="226">
        <v>10.97</v>
      </c>
      <c r="L438" s="226">
        <v>10.97</v>
      </c>
      <c r="M438" s="227"/>
      <c r="N438" s="227"/>
      <c r="O438" s="227"/>
    </row>
    <row r="439" spans="1:15" ht="10.95" customHeight="1" x14ac:dyDescent="0.3">
      <c r="A439" s="156" t="s">
        <v>699</v>
      </c>
      <c r="B439" s="227" t="s">
        <v>963</v>
      </c>
      <c r="C439" s="227" t="s">
        <v>684</v>
      </c>
      <c r="D439" s="701" t="s">
        <v>738</v>
      </c>
      <c r="E439" s="701"/>
      <c r="F439" s="701"/>
      <c r="G439" s="226" t="s">
        <v>129</v>
      </c>
      <c r="H439" s="226">
        <v>1</v>
      </c>
      <c r="I439" s="226">
        <v>3</v>
      </c>
      <c r="L439" s="226">
        <v>3</v>
      </c>
      <c r="M439" s="227"/>
      <c r="N439" s="227"/>
      <c r="O439" s="227"/>
    </row>
    <row r="440" spans="1:15" ht="10.95" customHeight="1" x14ac:dyDescent="0.3">
      <c r="A440" s="156" t="s">
        <v>700</v>
      </c>
      <c r="B440" s="227" t="s">
        <v>809</v>
      </c>
      <c r="C440" s="227" t="s">
        <v>684</v>
      </c>
      <c r="D440" s="701" t="s">
        <v>738</v>
      </c>
      <c r="E440" s="701"/>
      <c r="F440" s="701"/>
      <c r="G440" s="226" t="s">
        <v>129</v>
      </c>
      <c r="H440" s="226">
        <v>1</v>
      </c>
      <c r="I440" s="226">
        <v>105.65</v>
      </c>
      <c r="L440" s="226">
        <v>105.65</v>
      </c>
      <c r="M440" s="227"/>
      <c r="N440" s="227"/>
      <c r="O440" s="227"/>
    </row>
    <row r="441" spans="1:15" ht="10.95" customHeight="1" x14ac:dyDescent="0.3">
      <c r="A441" s="156" t="s">
        <v>701</v>
      </c>
      <c r="B441" s="227" t="s">
        <v>964</v>
      </c>
      <c r="C441" s="227" t="s">
        <v>684</v>
      </c>
      <c r="D441" s="701" t="s">
        <v>738</v>
      </c>
      <c r="E441" s="701"/>
      <c r="F441" s="701"/>
      <c r="G441" s="226" t="s">
        <v>129</v>
      </c>
      <c r="H441" s="226">
        <v>1</v>
      </c>
      <c r="I441" s="226">
        <v>11.8</v>
      </c>
      <c r="L441" s="226">
        <v>11.8</v>
      </c>
      <c r="M441" s="227"/>
      <c r="N441" s="227"/>
      <c r="O441" s="227"/>
    </row>
    <row r="442" spans="1:15" ht="10.95" customHeight="1" x14ac:dyDescent="0.3">
      <c r="A442" s="156" t="s">
        <v>702</v>
      </c>
      <c r="B442" s="227" t="s">
        <v>810</v>
      </c>
      <c r="C442" s="227" t="s">
        <v>684</v>
      </c>
      <c r="D442" s="701" t="s">
        <v>738</v>
      </c>
      <c r="E442" s="701"/>
      <c r="F442" s="701"/>
      <c r="G442" s="226" t="s">
        <v>129</v>
      </c>
      <c r="H442" s="226">
        <v>1</v>
      </c>
      <c r="I442" s="226">
        <v>71.7</v>
      </c>
      <c r="L442" s="226">
        <v>71.7</v>
      </c>
      <c r="M442" s="227"/>
      <c r="N442" s="227"/>
      <c r="O442" s="227"/>
    </row>
    <row r="443" spans="1:15" ht="10.95" customHeight="1" x14ac:dyDescent="0.3">
      <c r="A443" s="156" t="s">
        <v>703</v>
      </c>
      <c r="B443" s="227" t="s">
        <v>965</v>
      </c>
      <c r="C443" s="227" t="s">
        <v>684</v>
      </c>
      <c r="D443" s="701" t="s">
        <v>738</v>
      </c>
      <c r="E443" s="701"/>
      <c r="F443" s="701"/>
      <c r="G443" s="226" t="s">
        <v>129</v>
      </c>
      <c r="H443" s="226">
        <v>1</v>
      </c>
      <c r="I443" s="226">
        <v>11.32</v>
      </c>
      <c r="L443" s="226">
        <v>11.32</v>
      </c>
      <c r="M443" s="227"/>
      <c r="N443" s="227"/>
      <c r="O443" s="227"/>
    </row>
    <row r="444" spans="1:15" ht="10.95" customHeight="1" x14ac:dyDescent="0.3">
      <c r="A444" s="156" t="s">
        <v>704</v>
      </c>
      <c r="B444" s="227" t="s">
        <v>811</v>
      </c>
      <c r="C444" s="227" t="s">
        <v>684</v>
      </c>
      <c r="D444" s="701" t="s">
        <v>738</v>
      </c>
      <c r="E444" s="701"/>
      <c r="F444" s="701"/>
      <c r="G444" s="226" t="s">
        <v>129</v>
      </c>
      <c r="H444" s="226">
        <v>1</v>
      </c>
      <c r="I444" s="226">
        <v>101.82</v>
      </c>
      <c r="L444" s="226">
        <v>101.82</v>
      </c>
      <c r="M444" s="227"/>
      <c r="N444" s="227"/>
      <c r="O444" s="227"/>
    </row>
    <row r="445" spans="1:15" ht="10.95" customHeight="1" x14ac:dyDescent="0.3">
      <c r="A445" s="156" t="s">
        <v>705</v>
      </c>
      <c r="B445" s="227" t="s">
        <v>966</v>
      </c>
      <c r="C445" s="227" t="s">
        <v>684</v>
      </c>
      <c r="D445" s="701" t="s">
        <v>738</v>
      </c>
      <c r="E445" s="701"/>
      <c r="F445" s="701"/>
      <c r="G445" s="226" t="s">
        <v>129</v>
      </c>
      <c r="H445" s="226">
        <v>1</v>
      </c>
      <c r="I445" s="226">
        <v>10.38</v>
      </c>
      <c r="L445" s="226">
        <v>10.38</v>
      </c>
      <c r="M445" s="227"/>
      <c r="N445" s="227"/>
      <c r="O445" s="227"/>
    </row>
    <row r="446" spans="1:15" ht="10.95" customHeight="1" x14ac:dyDescent="0.3">
      <c r="A446" s="156" t="s">
        <v>706</v>
      </c>
      <c r="B446" s="227" t="s">
        <v>812</v>
      </c>
      <c r="C446" s="227" t="s">
        <v>684</v>
      </c>
      <c r="D446" s="701" t="s">
        <v>738</v>
      </c>
      <c r="E446" s="701"/>
      <c r="F446" s="701"/>
      <c r="G446" s="226" t="s">
        <v>129</v>
      </c>
      <c r="H446" s="226">
        <v>1</v>
      </c>
      <c r="I446" s="226">
        <v>99.53</v>
      </c>
      <c r="L446" s="226">
        <v>99.53</v>
      </c>
      <c r="M446" s="227"/>
      <c r="N446" s="227"/>
      <c r="O446" s="227"/>
    </row>
    <row r="447" spans="1:15" ht="10.95" customHeight="1" x14ac:dyDescent="0.3">
      <c r="A447" s="156" t="s">
        <v>730</v>
      </c>
      <c r="B447" s="227" t="s">
        <v>967</v>
      </c>
      <c r="C447" s="227" t="s">
        <v>684</v>
      </c>
      <c r="D447" s="701" t="s">
        <v>738</v>
      </c>
      <c r="E447" s="701"/>
      <c r="F447" s="701"/>
      <c r="G447" s="226" t="s">
        <v>129</v>
      </c>
      <c r="H447" s="226">
        <v>1</v>
      </c>
      <c r="I447" s="226">
        <v>10.14</v>
      </c>
      <c r="L447" s="226">
        <v>10.14</v>
      </c>
      <c r="M447" s="227"/>
      <c r="N447" s="227"/>
      <c r="O447" s="227"/>
    </row>
    <row r="448" spans="1:15" ht="10.95" customHeight="1" x14ac:dyDescent="0.3">
      <c r="A448" s="156" t="s">
        <v>731</v>
      </c>
      <c r="B448" s="227" t="s">
        <v>813</v>
      </c>
      <c r="C448" s="227" t="s">
        <v>684</v>
      </c>
      <c r="D448" s="701" t="s">
        <v>738</v>
      </c>
      <c r="E448" s="701"/>
      <c r="F448" s="701"/>
      <c r="G448" s="226" t="s">
        <v>129</v>
      </c>
      <c r="H448" s="226">
        <v>1</v>
      </c>
      <c r="I448" s="226">
        <v>103.29</v>
      </c>
      <c r="L448" s="226">
        <v>103.29</v>
      </c>
      <c r="M448" s="227"/>
      <c r="N448" s="227"/>
      <c r="O448" s="227"/>
    </row>
    <row r="449" spans="1:15" ht="10.95" customHeight="1" x14ac:dyDescent="0.3">
      <c r="A449" s="156" t="s">
        <v>732</v>
      </c>
      <c r="B449" s="227" t="s">
        <v>968</v>
      </c>
      <c r="C449" s="227" t="s">
        <v>684</v>
      </c>
      <c r="D449" s="701" t="s">
        <v>738</v>
      </c>
      <c r="E449" s="701"/>
      <c r="F449" s="701"/>
      <c r="G449" s="226" t="s">
        <v>129</v>
      </c>
      <c r="H449" s="226">
        <v>1</v>
      </c>
      <c r="I449" s="226">
        <v>11.29</v>
      </c>
      <c r="L449" s="226">
        <v>11.29</v>
      </c>
      <c r="M449" s="227"/>
      <c r="N449" s="227"/>
      <c r="O449" s="227"/>
    </row>
    <row r="450" spans="1:15" ht="10.95" customHeight="1" x14ac:dyDescent="0.3">
      <c r="A450" s="156" t="s">
        <v>740</v>
      </c>
      <c r="B450" s="227" t="s">
        <v>969</v>
      </c>
      <c r="C450" s="227" t="s">
        <v>684</v>
      </c>
      <c r="D450" s="701" t="s">
        <v>738</v>
      </c>
      <c r="E450" s="701"/>
      <c r="F450" s="701"/>
      <c r="G450" s="226" t="s">
        <v>129</v>
      </c>
      <c r="H450" s="226">
        <v>1</v>
      </c>
      <c r="I450" s="226">
        <v>3</v>
      </c>
      <c r="L450" s="226">
        <v>3</v>
      </c>
      <c r="M450" s="227"/>
      <c r="N450" s="227"/>
      <c r="O450" s="227"/>
    </row>
    <row r="451" spans="1:15" ht="10.95" customHeight="1" x14ac:dyDescent="0.3">
      <c r="A451" s="156" t="s">
        <v>741</v>
      </c>
      <c r="B451" s="227" t="s">
        <v>815</v>
      </c>
      <c r="C451" s="227" t="s">
        <v>684</v>
      </c>
      <c r="D451" s="701" t="s">
        <v>738</v>
      </c>
      <c r="E451" s="701"/>
      <c r="F451" s="701"/>
      <c r="G451" s="226" t="s">
        <v>129</v>
      </c>
      <c r="H451" s="226">
        <v>1</v>
      </c>
      <c r="I451" s="226">
        <v>50.06</v>
      </c>
      <c r="L451" s="226">
        <v>50.06</v>
      </c>
      <c r="M451" s="227"/>
      <c r="N451" s="227"/>
      <c r="O451" s="227"/>
    </row>
    <row r="452" spans="1:15" ht="10.95" customHeight="1" x14ac:dyDescent="0.3">
      <c r="A452" s="156" t="s">
        <v>742</v>
      </c>
      <c r="B452" s="227" t="s">
        <v>970</v>
      </c>
      <c r="C452" s="227" t="s">
        <v>684</v>
      </c>
      <c r="D452" s="701" t="s">
        <v>738</v>
      </c>
      <c r="E452" s="701"/>
      <c r="F452" s="701"/>
      <c r="G452" s="226" t="s">
        <v>129</v>
      </c>
      <c r="H452" s="226">
        <v>1</v>
      </c>
      <c r="I452" s="226">
        <v>14.04</v>
      </c>
      <c r="L452" s="226">
        <v>14.04</v>
      </c>
      <c r="M452" s="227"/>
      <c r="N452" s="227"/>
      <c r="O452" s="227"/>
    </row>
    <row r="453" spans="1:15" ht="10.95" customHeight="1" x14ac:dyDescent="0.3">
      <c r="A453" s="156" t="s">
        <v>743</v>
      </c>
      <c r="B453" s="227" t="s">
        <v>816</v>
      </c>
      <c r="C453" s="227" t="s">
        <v>684</v>
      </c>
      <c r="D453" s="701" t="s">
        <v>738</v>
      </c>
      <c r="E453" s="701"/>
      <c r="F453" s="701"/>
      <c r="G453" s="226" t="s">
        <v>129</v>
      </c>
      <c r="H453" s="226">
        <v>1</v>
      </c>
      <c r="I453" s="226">
        <v>40.24</v>
      </c>
      <c r="L453" s="226">
        <v>40.24</v>
      </c>
      <c r="M453" s="227"/>
      <c r="N453" s="227"/>
      <c r="O453" s="227"/>
    </row>
    <row r="454" spans="1:15" ht="10.95" customHeight="1" x14ac:dyDescent="0.3">
      <c r="A454" s="156" t="s">
        <v>744</v>
      </c>
      <c r="B454" s="227" t="s">
        <v>971</v>
      </c>
      <c r="C454" s="227" t="s">
        <v>684</v>
      </c>
      <c r="D454" s="701" t="s">
        <v>738</v>
      </c>
      <c r="E454" s="701"/>
      <c r="F454" s="701"/>
      <c r="G454" s="226" t="s">
        <v>129</v>
      </c>
      <c r="H454" s="226">
        <v>1</v>
      </c>
      <c r="I454" s="226">
        <v>11.47</v>
      </c>
      <c r="L454" s="226">
        <v>11.47</v>
      </c>
      <c r="M454" s="227"/>
      <c r="N454" s="227"/>
      <c r="O454" s="227"/>
    </row>
    <row r="455" spans="1:15" ht="10.95" customHeight="1" x14ac:dyDescent="0.3">
      <c r="A455" s="156" t="s">
        <v>745</v>
      </c>
      <c r="B455" s="227" t="s">
        <v>817</v>
      </c>
      <c r="C455" s="227" t="s">
        <v>684</v>
      </c>
      <c r="D455" s="701" t="s">
        <v>738</v>
      </c>
      <c r="E455" s="701"/>
      <c r="F455" s="701"/>
      <c r="G455" s="226" t="s">
        <v>129</v>
      </c>
      <c r="H455" s="226">
        <v>1</v>
      </c>
      <c r="I455" s="226">
        <v>46.44</v>
      </c>
      <c r="L455" s="226">
        <v>46.44</v>
      </c>
      <c r="M455" s="227"/>
      <c r="N455" s="227"/>
      <c r="O455" s="227"/>
    </row>
    <row r="456" spans="1:15" ht="10.95" customHeight="1" x14ac:dyDescent="0.3">
      <c r="A456" s="156" t="s">
        <v>746</v>
      </c>
      <c r="B456" s="227" t="s">
        <v>972</v>
      </c>
      <c r="C456" s="227" t="s">
        <v>684</v>
      </c>
      <c r="D456" s="701" t="s">
        <v>738</v>
      </c>
      <c r="E456" s="701"/>
      <c r="F456" s="701"/>
      <c r="G456" s="226" t="s">
        <v>129</v>
      </c>
      <c r="H456" s="226">
        <v>1</v>
      </c>
      <c r="I456" s="226">
        <v>11.66</v>
      </c>
      <c r="L456" s="226">
        <v>11.66</v>
      </c>
      <c r="M456" s="227"/>
      <c r="N456" s="227"/>
      <c r="O456" s="227"/>
    </row>
    <row r="457" spans="1:15" ht="10.95" customHeight="1" x14ac:dyDescent="0.3">
      <c r="A457" s="156" t="s">
        <v>747</v>
      </c>
      <c r="B457" s="227" t="s">
        <v>818</v>
      </c>
      <c r="C457" s="227" t="s">
        <v>684</v>
      </c>
      <c r="D457" s="701" t="s">
        <v>738</v>
      </c>
      <c r="E457" s="701"/>
      <c r="F457" s="701"/>
      <c r="G457" s="226" t="s">
        <v>129</v>
      </c>
      <c r="H457" s="226">
        <v>1</v>
      </c>
      <c r="I457" s="226">
        <v>40.380000000000003</v>
      </c>
      <c r="L457" s="226">
        <v>40.380000000000003</v>
      </c>
      <c r="M457" s="227"/>
      <c r="N457" s="227"/>
      <c r="O457" s="227"/>
    </row>
    <row r="458" spans="1:15" ht="10.95" customHeight="1" x14ac:dyDescent="0.3">
      <c r="A458" s="156" t="s">
        <v>748</v>
      </c>
      <c r="B458" s="227" t="s">
        <v>973</v>
      </c>
      <c r="C458" s="227" t="s">
        <v>684</v>
      </c>
      <c r="D458" s="701" t="s">
        <v>738</v>
      </c>
      <c r="E458" s="701"/>
      <c r="F458" s="701"/>
      <c r="G458" s="226" t="s">
        <v>129</v>
      </c>
      <c r="H458" s="226">
        <v>1</v>
      </c>
      <c r="I458" s="226">
        <v>12.14</v>
      </c>
      <c r="L458" s="226">
        <v>12.14</v>
      </c>
      <c r="M458" s="227"/>
      <c r="N458" s="227"/>
      <c r="O458" s="227"/>
    </row>
    <row r="459" spans="1:15" ht="10.95" customHeight="1" x14ac:dyDescent="0.3">
      <c r="A459" s="156" t="s">
        <v>749</v>
      </c>
      <c r="B459" s="227" t="s">
        <v>819</v>
      </c>
      <c r="C459" s="227" t="s">
        <v>684</v>
      </c>
      <c r="D459" s="701" t="s">
        <v>738</v>
      </c>
      <c r="E459" s="701"/>
      <c r="F459" s="701"/>
      <c r="G459" s="226" t="s">
        <v>129</v>
      </c>
      <c r="H459" s="226">
        <v>1</v>
      </c>
      <c r="I459" s="226">
        <v>51.63</v>
      </c>
      <c r="L459" s="226">
        <v>51.63</v>
      </c>
      <c r="M459" s="227"/>
      <c r="N459" s="227"/>
      <c r="O459" s="227"/>
    </row>
    <row r="460" spans="1:15" ht="10.95" customHeight="1" x14ac:dyDescent="0.3">
      <c r="A460" s="156" t="s">
        <v>750</v>
      </c>
      <c r="B460" s="227" t="s">
        <v>974</v>
      </c>
      <c r="C460" s="227" t="s">
        <v>684</v>
      </c>
      <c r="D460" s="701" t="s">
        <v>738</v>
      </c>
      <c r="E460" s="701"/>
      <c r="F460" s="701"/>
      <c r="G460" s="226" t="s">
        <v>129</v>
      </c>
      <c r="H460" s="226">
        <v>1</v>
      </c>
      <c r="I460" s="226">
        <v>3</v>
      </c>
      <c r="L460" s="226">
        <v>3</v>
      </c>
      <c r="M460" s="227"/>
      <c r="N460" s="227"/>
      <c r="O460" s="227"/>
    </row>
    <row r="461" spans="1:15" ht="10.95" customHeight="1" x14ac:dyDescent="0.3">
      <c r="A461" s="156" t="s">
        <v>751</v>
      </c>
      <c r="B461" s="227" t="s">
        <v>975</v>
      </c>
      <c r="C461" s="227" t="s">
        <v>684</v>
      </c>
      <c r="D461" s="701" t="s">
        <v>738</v>
      </c>
      <c r="E461" s="701"/>
      <c r="F461" s="701"/>
      <c r="G461" s="226" t="s">
        <v>129</v>
      </c>
      <c r="H461" s="226">
        <v>1</v>
      </c>
      <c r="I461" s="226">
        <v>3</v>
      </c>
      <c r="L461" s="226">
        <v>3</v>
      </c>
      <c r="M461" s="227"/>
      <c r="N461" s="227"/>
      <c r="O461" s="227"/>
    </row>
    <row r="462" spans="1:15" ht="10.95" customHeight="1" x14ac:dyDescent="0.3">
      <c r="A462" s="156" t="s">
        <v>753</v>
      </c>
      <c r="B462" s="227" t="s">
        <v>821</v>
      </c>
      <c r="C462" s="227" t="s">
        <v>684</v>
      </c>
      <c r="D462" s="701" t="s">
        <v>738</v>
      </c>
      <c r="E462" s="701"/>
      <c r="F462" s="701"/>
      <c r="G462" s="226" t="s">
        <v>129</v>
      </c>
      <c r="H462" s="226">
        <v>1</v>
      </c>
      <c r="I462" s="226">
        <v>28.89</v>
      </c>
      <c r="L462" s="226">
        <v>28.89</v>
      </c>
      <c r="M462" s="227"/>
      <c r="N462" s="227"/>
      <c r="O462" s="227"/>
    </row>
    <row r="463" spans="1:15" ht="10.95" customHeight="1" x14ac:dyDescent="0.3">
      <c r="A463" s="156" t="s">
        <v>754</v>
      </c>
      <c r="B463" s="227" t="s">
        <v>976</v>
      </c>
      <c r="C463" s="227" t="s">
        <v>684</v>
      </c>
      <c r="D463" s="701" t="s">
        <v>738</v>
      </c>
      <c r="E463" s="701"/>
      <c r="F463" s="701"/>
      <c r="G463" s="226" t="s">
        <v>129</v>
      </c>
      <c r="H463" s="226">
        <v>1</v>
      </c>
      <c r="I463" s="226">
        <v>11.97</v>
      </c>
      <c r="L463" s="226">
        <v>11.97</v>
      </c>
      <c r="M463" s="227"/>
      <c r="N463" s="227"/>
      <c r="O463" s="227"/>
    </row>
    <row r="464" spans="1:15" ht="10.95" customHeight="1" x14ac:dyDescent="0.3">
      <c r="A464" s="156" t="s">
        <v>756</v>
      </c>
      <c r="B464" s="227" t="s">
        <v>822</v>
      </c>
      <c r="C464" s="227" t="s">
        <v>684</v>
      </c>
      <c r="D464" s="701" t="s">
        <v>738</v>
      </c>
      <c r="E464" s="701"/>
      <c r="F464" s="701"/>
      <c r="G464" s="226" t="s">
        <v>129</v>
      </c>
      <c r="H464" s="226">
        <v>1</v>
      </c>
      <c r="I464" s="226">
        <v>39.590000000000003</v>
      </c>
      <c r="L464" s="226">
        <v>39.590000000000003</v>
      </c>
      <c r="M464" s="227"/>
      <c r="N464" s="227"/>
      <c r="O464" s="227"/>
    </row>
    <row r="465" spans="1:15" ht="10.95" customHeight="1" x14ac:dyDescent="0.3">
      <c r="A465" s="156" t="s">
        <v>757</v>
      </c>
      <c r="B465" s="227" t="s">
        <v>977</v>
      </c>
      <c r="C465" s="227" t="s">
        <v>684</v>
      </c>
      <c r="D465" s="701" t="s">
        <v>738</v>
      </c>
      <c r="E465" s="701"/>
      <c r="F465" s="701"/>
      <c r="G465" s="226" t="s">
        <v>129</v>
      </c>
      <c r="H465" s="226">
        <v>1</v>
      </c>
      <c r="I465" s="226">
        <v>14.67</v>
      </c>
      <c r="L465" s="226">
        <v>14.67</v>
      </c>
      <c r="M465" s="227"/>
      <c r="N465" s="227"/>
      <c r="O465" s="227"/>
    </row>
    <row r="466" spans="1:15" ht="10.95" customHeight="1" x14ac:dyDescent="0.3">
      <c r="A466" s="156" t="s">
        <v>762</v>
      </c>
      <c r="B466" s="227" t="s">
        <v>823</v>
      </c>
      <c r="C466" s="227" t="s">
        <v>684</v>
      </c>
      <c r="D466" s="701" t="s">
        <v>738</v>
      </c>
      <c r="E466" s="701"/>
      <c r="F466" s="701"/>
      <c r="G466" s="226" t="s">
        <v>129</v>
      </c>
      <c r="H466" s="226">
        <v>1</v>
      </c>
      <c r="I466" s="226">
        <v>41.77</v>
      </c>
      <c r="L466" s="226">
        <v>41.77</v>
      </c>
      <c r="M466" s="227"/>
      <c r="N466" s="227"/>
      <c r="O466" s="227"/>
    </row>
    <row r="467" spans="1:15" ht="10.95" customHeight="1" x14ac:dyDescent="0.3">
      <c r="A467" s="156" t="s">
        <v>763</v>
      </c>
      <c r="B467" s="227" t="s">
        <v>978</v>
      </c>
      <c r="C467" s="227" t="s">
        <v>684</v>
      </c>
      <c r="D467" s="701" t="s">
        <v>738</v>
      </c>
      <c r="E467" s="701"/>
      <c r="F467" s="701"/>
      <c r="G467" s="226" t="s">
        <v>129</v>
      </c>
      <c r="H467" s="226">
        <v>1</v>
      </c>
      <c r="I467" s="226">
        <v>8.6300000000000008</v>
      </c>
      <c r="L467" s="226">
        <v>8.6300000000000008</v>
      </c>
      <c r="M467" s="227"/>
      <c r="N467" s="227"/>
      <c r="O467" s="227"/>
    </row>
    <row r="468" spans="1:15" ht="10.95" customHeight="1" x14ac:dyDescent="0.3">
      <c r="A468" s="156" t="s">
        <v>764</v>
      </c>
      <c r="B468" s="227" t="s">
        <v>824</v>
      </c>
      <c r="C468" s="227" t="s">
        <v>684</v>
      </c>
      <c r="D468" s="701" t="s">
        <v>738</v>
      </c>
      <c r="E468" s="701"/>
      <c r="F468" s="701"/>
      <c r="G468" s="226" t="s">
        <v>129</v>
      </c>
      <c r="H468" s="226">
        <v>1</v>
      </c>
      <c r="I468" s="226">
        <v>42.25</v>
      </c>
      <c r="L468" s="226">
        <v>42.25</v>
      </c>
      <c r="M468" s="227"/>
      <c r="N468" s="227"/>
      <c r="O468" s="227"/>
    </row>
    <row r="469" spans="1:15" ht="10.95" customHeight="1" x14ac:dyDescent="0.3">
      <c r="A469" s="156" t="s">
        <v>765</v>
      </c>
      <c r="B469" s="227" t="s">
        <v>979</v>
      </c>
      <c r="C469" s="227" t="s">
        <v>684</v>
      </c>
      <c r="D469" s="701" t="s">
        <v>738</v>
      </c>
      <c r="E469" s="701"/>
      <c r="F469" s="701"/>
      <c r="G469" s="226" t="s">
        <v>129</v>
      </c>
      <c r="H469" s="226">
        <v>1</v>
      </c>
      <c r="I469" s="226">
        <v>10.72</v>
      </c>
      <c r="L469" s="226">
        <v>10.72</v>
      </c>
      <c r="M469" s="227"/>
      <c r="N469" s="227"/>
      <c r="O469" s="227"/>
    </row>
    <row r="470" spans="1:15" ht="10.95" customHeight="1" x14ac:dyDescent="0.3">
      <c r="A470" s="156" t="s">
        <v>766</v>
      </c>
      <c r="B470" s="227" t="s">
        <v>825</v>
      </c>
      <c r="C470" s="227" t="s">
        <v>684</v>
      </c>
      <c r="D470" s="701" t="s">
        <v>738</v>
      </c>
      <c r="E470" s="701"/>
      <c r="F470" s="701"/>
      <c r="G470" s="226" t="s">
        <v>129</v>
      </c>
      <c r="H470" s="226">
        <v>1</v>
      </c>
      <c r="I470" s="226">
        <v>41.33</v>
      </c>
      <c r="L470" s="226">
        <v>41.33</v>
      </c>
      <c r="M470" s="227"/>
      <c r="N470" s="227"/>
      <c r="O470" s="227"/>
    </row>
    <row r="471" spans="1:15" ht="10.95" customHeight="1" x14ac:dyDescent="0.3">
      <c r="A471" s="156" t="s">
        <v>767</v>
      </c>
      <c r="B471" s="227" t="s">
        <v>980</v>
      </c>
      <c r="C471" s="227" t="s">
        <v>684</v>
      </c>
      <c r="D471" s="701" t="s">
        <v>738</v>
      </c>
      <c r="E471" s="701"/>
      <c r="F471" s="701"/>
      <c r="G471" s="226" t="s">
        <v>129</v>
      </c>
      <c r="H471" s="226">
        <v>1</v>
      </c>
      <c r="I471" s="226">
        <v>13.65</v>
      </c>
      <c r="L471" s="226">
        <v>13.65</v>
      </c>
      <c r="M471" s="227"/>
      <c r="N471" s="227"/>
      <c r="O471" s="227"/>
    </row>
    <row r="472" spans="1:15" ht="10.95" customHeight="1" x14ac:dyDescent="0.3">
      <c r="A472" s="156" t="s">
        <v>768</v>
      </c>
      <c r="B472" s="227" t="s">
        <v>826</v>
      </c>
      <c r="C472" s="227" t="s">
        <v>684</v>
      </c>
      <c r="D472" s="701" t="s">
        <v>738</v>
      </c>
      <c r="E472" s="701"/>
      <c r="F472" s="701"/>
      <c r="G472" s="226" t="s">
        <v>129</v>
      </c>
      <c r="H472" s="226">
        <v>1</v>
      </c>
      <c r="I472" s="226">
        <v>54</v>
      </c>
      <c r="L472" s="226">
        <v>54</v>
      </c>
      <c r="M472" s="227"/>
      <c r="N472" s="227"/>
      <c r="O472" s="227"/>
    </row>
    <row r="473" spans="1:15" ht="10.95" customHeight="1" x14ac:dyDescent="0.3">
      <c r="A473" s="156" t="s">
        <v>769</v>
      </c>
      <c r="B473" s="227" t="s">
        <v>981</v>
      </c>
      <c r="C473" s="227" t="s">
        <v>684</v>
      </c>
      <c r="D473" s="701" t="s">
        <v>738</v>
      </c>
      <c r="E473" s="701"/>
      <c r="F473" s="701"/>
      <c r="G473" s="226" t="s">
        <v>129</v>
      </c>
      <c r="H473" s="226">
        <v>1</v>
      </c>
      <c r="I473" s="226">
        <v>3</v>
      </c>
      <c r="L473" s="226">
        <v>3</v>
      </c>
      <c r="M473" s="227"/>
      <c r="N473" s="227"/>
      <c r="O473" s="227"/>
    </row>
    <row r="474" spans="1:15" ht="10.95" customHeight="1" x14ac:dyDescent="0.3">
      <c r="A474" s="156" t="s">
        <v>770</v>
      </c>
      <c r="B474" s="227" t="s">
        <v>982</v>
      </c>
      <c r="C474" s="227" t="s">
        <v>684</v>
      </c>
      <c r="D474" s="701" t="s">
        <v>738</v>
      </c>
      <c r="E474" s="701"/>
      <c r="F474" s="701"/>
      <c r="G474" s="226" t="s">
        <v>129</v>
      </c>
      <c r="H474" s="226">
        <v>1</v>
      </c>
      <c r="I474" s="226">
        <v>3</v>
      </c>
      <c r="L474" s="226">
        <v>3</v>
      </c>
      <c r="M474" s="227"/>
      <c r="N474" s="227"/>
      <c r="O474" s="227"/>
    </row>
    <row r="475" spans="1:15" ht="10.95" customHeight="1" x14ac:dyDescent="0.3">
      <c r="A475" s="156" t="s">
        <v>771</v>
      </c>
      <c r="B475" s="227" t="s">
        <v>827</v>
      </c>
      <c r="C475" s="227" t="s">
        <v>684</v>
      </c>
      <c r="D475" s="701" t="s">
        <v>738</v>
      </c>
      <c r="E475" s="701"/>
      <c r="F475" s="701"/>
      <c r="G475" s="226" t="s">
        <v>129</v>
      </c>
      <c r="H475" s="226">
        <v>1</v>
      </c>
      <c r="I475" s="226">
        <v>32.44</v>
      </c>
      <c r="L475" s="226">
        <v>32.44</v>
      </c>
      <c r="M475" s="227"/>
      <c r="N475" s="227"/>
      <c r="O475" s="227"/>
    </row>
    <row r="476" spans="1:15" ht="10.95" customHeight="1" x14ac:dyDescent="0.3">
      <c r="A476" s="156" t="s">
        <v>772</v>
      </c>
      <c r="B476" s="227" t="s">
        <v>983</v>
      </c>
      <c r="C476" s="227" t="s">
        <v>684</v>
      </c>
      <c r="D476" s="701" t="s">
        <v>738</v>
      </c>
      <c r="E476" s="701"/>
      <c r="F476" s="701"/>
      <c r="G476" s="226" t="s">
        <v>129</v>
      </c>
      <c r="H476" s="226">
        <v>1</v>
      </c>
      <c r="I476" s="226">
        <v>11.14</v>
      </c>
      <c r="L476" s="226">
        <v>11.14</v>
      </c>
      <c r="M476" s="227"/>
      <c r="N476" s="227"/>
      <c r="O476" s="227"/>
    </row>
    <row r="477" spans="1:15" ht="10.95" customHeight="1" x14ac:dyDescent="0.3">
      <c r="A477" s="156" t="s">
        <v>773</v>
      </c>
      <c r="B477" s="227" t="s">
        <v>828</v>
      </c>
      <c r="C477" s="227" t="s">
        <v>684</v>
      </c>
      <c r="D477" s="701" t="s">
        <v>738</v>
      </c>
      <c r="E477" s="701"/>
      <c r="F477" s="701"/>
      <c r="G477" s="226" t="s">
        <v>129</v>
      </c>
      <c r="H477" s="226">
        <v>1</v>
      </c>
      <c r="I477" s="226">
        <v>40.58</v>
      </c>
      <c r="L477" s="226">
        <v>40.58</v>
      </c>
      <c r="M477" s="227"/>
      <c r="N477" s="227"/>
      <c r="O477" s="227"/>
    </row>
    <row r="478" spans="1:15" ht="10.95" customHeight="1" x14ac:dyDescent="0.3">
      <c r="A478" s="156" t="s">
        <v>774</v>
      </c>
      <c r="B478" s="227" t="s">
        <v>984</v>
      </c>
      <c r="C478" s="227" t="s">
        <v>684</v>
      </c>
      <c r="D478" s="701" t="s">
        <v>738</v>
      </c>
      <c r="E478" s="701"/>
      <c r="F478" s="701"/>
      <c r="G478" s="226" t="s">
        <v>129</v>
      </c>
      <c r="H478" s="226">
        <v>1</v>
      </c>
      <c r="I478" s="226">
        <v>10.53</v>
      </c>
      <c r="L478" s="226">
        <v>10.53</v>
      </c>
      <c r="M478" s="227"/>
      <c r="N478" s="227"/>
      <c r="O478" s="227"/>
    </row>
    <row r="479" spans="1:15" ht="10.95" customHeight="1" x14ac:dyDescent="0.3">
      <c r="A479" s="156" t="s">
        <v>775</v>
      </c>
      <c r="B479" s="227" t="s">
        <v>829</v>
      </c>
      <c r="C479" s="227" t="s">
        <v>684</v>
      </c>
      <c r="D479" s="701" t="s">
        <v>738</v>
      </c>
      <c r="E479" s="701"/>
      <c r="F479" s="701"/>
      <c r="G479" s="226" t="s">
        <v>129</v>
      </c>
      <c r="H479" s="226">
        <v>1</v>
      </c>
      <c r="I479" s="226">
        <v>42.43</v>
      </c>
      <c r="L479" s="226">
        <v>42.43</v>
      </c>
      <c r="M479" s="227"/>
      <c r="N479" s="227"/>
      <c r="O479" s="227"/>
    </row>
    <row r="480" spans="1:15" ht="10.95" customHeight="1" x14ac:dyDescent="0.3">
      <c r="A480" s="156" t="s">
        <v>776</v>
      </c>
      <c r="B480" s="227" t="s">
        <v>985</v>
      </c>
      <c r="C480" s="227" t="s">
        <v>684</v>
      </c>
      <c r="D480" s="701" t="s">
        <v>738</v>
      </c>
      <c r="E480" s="701"/>
      <c r="F480" s="701"/>
      <c r="G480" s="226" t="s">
        <v>129</v>
      </c>
      <c r="H480" s="226">
        <v>1</v>
      </c>
      <c r="I480" s="226">
        <v>10.64</v>
      </c>
      <c r="L480" s="226">
        <v>10.64</v>
      </c>
      <c r="M480" s="227"/>
      <c r="N480" s="227"/>
      <c r="O480" s="227"/>
    </row>
    <row r="481" spans="1:15" ht="10.95" customHeight="1" x14ac:dyDescent="0.3">
      <c r="A481" s="156" t="s">
        <v>786</v>
      </c>
      <c r="B481" s="227" t="s">
        <v>830</v>
      </c>
      <c r="C481" s="227" t="s">
        <v>684</v>
      </c>
      <c r="D481" s="701" t="s">
        <v>738</v>
      </c>
      <c r="E481" s="701"/>
      <c r="F481" s="701"/>
      <c r="G481" s="226" t="s">
        <v>129</v>
      </c>
      <c r="H481" s="226">
        <v>1</v>
      </c>
      <c r="I481" s="226">
        <v>40.01</v>
      </c>
      <c r="L481" s="226">
        <v>40.01</v>
      </c>
      <c r="M481" s="227"/>
      <c r="N481" s="227"/>
      <c r="O481" s="227"/>
    </row>
    <row r="482" spans="1:15" ht="10.95" customHeight="1" x14ac:dyDescent="0.3">
      <c r="A482" s="156" t="s">
        <v>787</v>
      </c>
      <c r="B482" s="227" t="s">
        <v>986</v>
      </c>
      <c r="C482" s="227" t="s">
        <v>684</v>
      </c>
      <c r="D482" s="701" t="s">
        <v>738</v>
      </c>
      <c r="E482" s="701"/>
      <c r="F482" s="701"/>
      <c r="G482" s="226" t="s">
        <v>129</v>
      </c>
      <c r="H482" s="226">
        <v>1</v>
      </c>
      <c r="I482" s="226">
        <v>10.55</v>
      </c>
      <c r="L482" s="226">
        <v>10.55</v>
      </c>
      <c r="M482" s="227"/>
      <c r="N482" s="227"/>
      <c r="O482" s="227"/>
    </row>
    <row r="483" spans="1:15" ht="10.95" customHeight="1" x14ac:dyDescent="0.3">
      <c r="A483" s="156" t="s">
        <v>788</v>
      </c>
      <c r="B483" s="227" t="s">
        <v>831</v>
      </c>
      <c r="C483" s="227" t="s">
        <v>684</v>
      </c>
      <c r="D483" s="701" t="s">
        <v>738</v>
      </c>
      <c r="E483" s="701"/>
      <c r="F483" s="701"/>
      <c r="G483" s="226" t="s">
        <v>129</v>
      </c>
      <c r="H483" s="226">
        <v>1</v>
      </c>
      <c r="I483" s="226">
        <v>42.87</v>
      </c>
      <c r="L483" s="226">
        <v>42.87</v>
      </c>
      <c r="M483" s="227"/>
      <c r="N483" s="227"/>
      <c r="O483" s="227"/>
    </row>
    <row r="484" spans="1:15" ht="10.95" customHeight="1" x14ac:dyDescent="0.3">
      <c r="A484" s="156" t="s">
        <v>789</v>
      </c>
      <c r="B484" s="227" t="s">
        <v>987</v>
      </c>
      <c r="C484" s="227" t="s">
        <v>684</v>
      </c>
      <c r="D484" s="701" t="s">
        <v>738</v>
      </c>
      <c r="E484" s="701"/>
      <c r="F484" s="701"/>
      <c r="G484" s="226" t="s">
        <v>129</v>
      </c>
      <c r="H484" s="226">
        <v>1</v>
      </c>
      <c r="I484" s="226">
        <v>13.55</v>
      </c>
      <c r="L484" s="226">
        <v>13.55</v>
      </c>
      <c r="M484" s="227"/>
      <c r="N484" s="227"/>
      <c r="O484" s="227"/>
    </row>
    <row r="485" spans="1:15" ht="10.95" customHeight="1" x14ac:dyDescent="0.3">
      <c r="A485" s="156" t="s">
        <v>790</v>
      </c>
      <c r="B485" s="227" t="s">
        <v>832</v>
      </c>
      <c r="C485" s="227" t="s">
        <v>684</v>
      </c>
      <c r="D485" s="701" t="s">
        <v>738</v>
      </c>
      <c r="E485" s="701"/>
      <c r="F485" s="701"/>
      <c r="G485" s="226" t="s">
        <v>129</v>
      </c>
      <c r="H485" s="226">
        <v>1</v>
      </c>
      <c r="I485" s="226">
        <v>52.73</v>
      </c>
      <c r="L485" s="226">
        <v>52.73</v>
      </c>
      <c r="M485" s="227"/>
      <c r="N485" s="227"/>
      <c r="O485" s="227"/>
    </row>
    <row r="486" spans="1:15" ht="10.95" customHeight="1" x14ac:dyDescent="0.3">
      <c r="A486" s="156" t="s">
        <v>791</v>
      </c>
      <c r="B486" s="227" t="s">
        <v>988</v>
      </c>
      <c r="C486" s="227" t="s">
        <v>684</v>
      </c>
      <c r="D486" s="701" t="s">
        <v>738</v>
      </c>
      <c r="E486" s="701"/>
      <c r="F486" s="701"/>
      <c r="G486" s="226" t="s">
        <v>129</v>
      </c>
      <c r="H486" s="226">
        <v>1</v>
      </c>
      <c r="I486" s="226">
        <v>3</v>
      </c>
      <c r="L486" s="226">
        <v>3</v>
      </c>
      <c r="M486" s="227"/>
      <c r="N486" s="227"/>
      <c r="O486" s="227"/>
    </row>
    <row r="487" spans="1:15" ht="10.95" customHeight="1" x14ac:dyDescent="0.3">
      <c r="A487" s="156" t="s">
        <v>1161</v>
      </c>
      <c r="B487" s="227" t="s">
        <v>1126</v>
      </c>
      <c r="C487" s="227" t="s">
        <v>1195</v>
      </c>
      <c r="D487" s="701" t="s">
        <v>1160</v>
      </c>
      <c r="E487" s="701"/>
      <c r="F487" s="701"/>
      <c r="G487" s="226" t="s">
        <v>129</v>
      </c>
      <c r="H487" s="226">
        <v>1</v>
      </c>
      <c r="I487" s="226">
        <v>4</v>
      </c>
      <c r="L487" s="226">
        <v>4</v>
      </c>
      <c r="M487" s="227"/>
      <c r="N487" s="227"/>
      <c r="O487" s="227"/>
    </row>
    <row r="488" spans="1:15" ht="10.95" customHeight="1" x14ac:dyDescent="0.3">
      <c r="A488" s="156" t="s">
        <v>1162</v>
      </c>
      <c r="B488" s="227" t="s">
        <v>1127</v>
      </c>
      <c r="C488" s="227" t="s">
        <v>1195</v>
      </c>
      <c r="D488" s="701" t="s">
        <v>1160</v>
      </c>
      <c r="E488" s="701"/>
      <c r="F488" s="701"/>
      <c r="G488" s="226" t="s">
        <v>129</v>
      </c>
      <c r="H488" s="226">
        <v>1</v>
      </c>
      <c r="I488" s="226">
        <v>68.86</v>
      </c>
      <c r="L488" s="226">
        <v>68.86</v>
      </c>
      <c r="M488" s="227"/>
      <c r="N488" s="227"/>
      <c r="O488" s="227"/>
    </row>
    <row r="489" spans="1:15" ht="10.95" customHeight="1" x14ac:dyDescent="0.3">
      <c r="A489" s="156" t="s">
        <v>1163</v>
      </c>
      <c r="B489" s="227" t="s">
        <v>1128</v>
      </c>
      <c r="C489" s="227" t="s">
        <v>1195</v>
      </c>
      <c r="D489" s="701" t="s">
        <v>1160</v>
      </c>
      <c r="E489" s="701"/>
      <c r="F489" s="701"/>
      <c r="G489" s="226" t="s">
        <v>129</v>
      </c>
      <c r="H489" s="226">
        <v>1</v>
      </c>
      <c r="I489" s="226">
        <v>11.3</v>
      </c>
      <c r="L489" s="226">
        <v>11.3</v>
      </c>
      <c r="M489" s="227"/>
      <c r="N489" s="227"/>
      <c r="O489" s="227"/>
    </row>
    <row r="490" spans="1:15" ht="10.95" customHeight="1" x14ac:dyDescent="0.3">
      <c r="A490" s="156" t="s">
        <v>1164</v>
      </c>
      <c r="B490" s="227" t="s">
        <v>1129</v>
      </c>
      <c r="C490" s="227" t="s">
        <v>1195</v>
      </c>
      <c r="D490" s="701" t="s">
        <v>1160</v>
      </c>
      <c r="E490" s="701"/>
      <c r="F490" s="701"/>
      <c r="G490" s="226" t="s">
        <v>129</v>
      </c>
      <c r="H490" s="226">
        <v>1</v>
      </c>
      <c r="I490" s="226">
        <v>52.429999999999993</v>
      </c>
      <c r="L490" s="226">
        <v>52.429999999999993</v>
      </c>
      <c r="M490" s="227"/>
      <c r="N490" s="227"/>
      <c r="O490" s="227"/>
    </row>
    <row r="491" spans="1:15" ht="10.95" customHeight="1" x14ac:dyDescent="0.3">
      <c r="A491" s="156" t="s">
        <v>1165</v>
      </c>
      <c r="B491" s="227" t="s">
        <v>1130</v>
      </c>
      <c r="C491" s="227" t="s">
        <v>1195</v>
      </c>
      <c r="D491" s="701" t="s">
        <v>1160</v>
      </c>
      <c r="E491" s="701"/>
      <c r="F491" s="701"/>
      <c r="G491" s="226" t="s">
        <v>129</v>
      </c>
      <c r="H491" s="226">
        <v>1</v>
      </c>
      <c r="I491" s="226">
        <v>11.6</v>
      </c>
      <c r="L491" s="226">
        <v>11.6</v>
      </c>
      <c r="M491" s="227"/>
      <c r="N491" s="227"/>
      <c r="O491" s="227"/>
    </row>
    <row r="492" spans="1:15" ht="10.95" customHeight="1" x14ac:dyDescent="0.3">
      <c r="A492" s="156" t="s">
        <v>1166</v>
      </c>
      <c r="B492" s="227" t="s">
        <v>1131</v>
      </c>
      <c r="C492" s="227" t="s">
        <v>1195</v>
      </c>
      <c r="D492" s="701" t="s">
        <v>1160</v>
      </c>
      <c r="E492" s="701"/>
      <c r="F492" s="701"/>
      <c r="G492" s="226" t="s">
        <v>129</v>
      </c>
      <c r="H492" s="226">
        <v>1</v>
      </c>
      <c r="I492" s="226">
        <v>114.43999999999998</v>
      </c>
      <c r="L492" s="226">
        <v>114.43999999999998</v>
      </c>
      <c r="M492" s="227"/>
      <c r="N492" s="227"/>
      <c r="O492" s="227"/>
    </row>
    <row r="493" spans="1:15" ht="10.95" customHeight="1" x14ac:dyDescent="0.3">
      <c r="A493" s="156" t="s">
        <v>1167</v>
      </c>
      <c r="B493" s="227" t="s">
        <v>1132</v>
      </c>
      <c r="C493" s="227" t="s">
        <v>1195</v>
      </c>
      <c r="D493" s="701" t="s">
        <v>1160</v>
      </c>
      <c r="E493" s="701"/>
      <c r="F493" s="701"/>
      <c r="G493" s="226" t="s">
        <v>129</v>
      </c>
      <c r="H493" s="226">
        <v>1</v>
      </c>
      <c r="I493" s="226">
        <v>14.2</v>
      </c>
      <c r="L493" s="226">
        <v>14.2</v>
      </c>
      <c r="M493" s="227"/>
      <c r="N493" s="227"/>
      <c r="O493" s="227"/>
    </row>
    <row r="494" spans="1:15" ht="10.95" customHeight="1" x14ac:dyDescent="0.3">
      <c r="A494" s="156" t="s">
        <v>1168</v>
      </c>
      <c r="B494" s="227" t="s">
        <v>1133</v>
      </c>
      <c r="C494" s="227" t="s">
        <v>1195</v>
      </c>
      <c r="D494" s="701" t="s">
        <v>1160</v>
      </c>
      <c r="E494" s="701"/>
      <c r="F494" s="701"/>
      <c r="G494" s="226" t="s">
        <v>129</v>
      </c>
      <c r="H494" s="226">
        <v>1</v>
      </c>
      <c r="I494" s="226">
        <v>73.349999999999994</v>
      </c>
      <c r="L494" s="226">
        <v>73.349999999999994</v>
      </c>
      <c r="M494" s="227"/>
      <c r="N494" s="227"/>
      <c r="O494" s="227"/>
    </row>
    <row r="495" spans="1:15" ht="10.95" customHeight="1" x14ac:dyDescent="0.3">
      <c r="A495" s="156" t="s">
        <v>1169</v>
      </c>
      <c r="B495" s="227" t="s">
        <v>1134</v>
      </c>
      <c r="C495" s="227" t="s">
        <v>1195</v>
      </c>
      <c r="D495" s="701" t="s">
        <v>1160</v>
      </c>
      <c r="E495" s="701"/>
      <c r="F495" s="701"/>
      <c r="G495" s="226" t="s">
        <v>129</v>
      </c>
      <c r="H495" s="226">
        <v>1</v>
      </c>
      <c r="I495" s="226">
        <v>10.61</v>
      </c>
      <c r="L495" s="226">
        <v>10.61</v>
      </c>
      <c r="M495" s="227"/>
      <c r="N495" s="227"/>
      <c r="O495" s="227"/>
    </row>
    <row r="496" spans="1:15" ht="10.95" customHeight="1" x14ac:dyDescent="0.3">
      <c r="A496" s="156" t="s">
        <v>1170</v>
      </c>
      <c r="B496" s="227" t="s">
        <v>1135</v>
      </c>
      <c r="C496" s="227" t="s">
        <v>1195</v>
      </c>
      <c r="D496" s="701" t="s">
        <v>1160</v>
      </c>
      <c r="E496" s="701"/>
      <c r="F496" s="701"/>
      <c r="G496" s="226" t="s">
        <v>129</v>
      </c>
      <c r="H496" s="226">
        <v>1</v>
      </c>
      <c r="I496" s="226">
        <v>120.88</v>
      </c>
      <c r="L496" s="226">
        <v>120.88</v>
      </c>
      <c r="M496" s="227"/>
      <c r="N496" s="227"/>
      <c r="O496" s="227"/>
    </row>
    <row r="497" spans="1:12" s="227" customFormat="1" ht="10.95" customHeight="1" x14ac:dyDescent="0.3">
      <c r="A497" s="156" t="s">
        <v>1171</v>
      </c>
      <c r="B497" s="227" t="s">
        <v>1136</v>
      </c>
      <c r="C497" s="227" t="s">
        <v>1195</v>
      </c>
      <c r="D497" s="701" t="s">
        <v>1160</v>
      </c>
      <c r="E497" s="701"/>
      <c r="F497" s="701"/>
      <c r="G497" s="226" t="s">
        <v>129</v>
      </c>
      <c r="H497" s="226">
        <v>1</v>
      </c>
      <c r="I497" s="226">
        <v>11.64</v>
      </c>
      <c r="J497" s="226"/>
      <c r="K497" s="226"/>
      <c r="L497" s="226">
        <v>11.64</v>
      </c>
    </row>
    <row r="498" spans="1:12" s="227" customFormat="1" ht="10.95" customHeight="1" x14ac:dyDescent="0.3">
      <c r="A498" s="156" t="s">
        <v>1172</v>
      </c>
      <c r="B498" s="227" t="s">
        <v>1137</v>
      </c>
      <c r="C498" s="227" t="s">
        <v>1195</v>
      </c>
      <c r="D498" s="701" t="s">
        <v>1160</v>
      </c>
      <c r="E498" s="701"/>
      <c r="F498" s="701"/>
      <c r="G498" s="226" t="s">
        <v>129</v>
      </c>
      <c r="H498" s="226">
        <v>1</v>
      </c>
      <c r="I498" s="226">
        <v>175.6</v>
      </c>
      <c r="J498" s="226"/>
      <c r="K498" s="226"/>
      <c r="L498" s="226">
        <v>175.6</v>
      </c>
    </row>
    <row r="499" spans="1:12" s="227" customFormat="1" ht="10.95" customHeight="1" x14ac:dyDescent="0.3">
      <c r="A499" s="156" t="s">
        <v>1173</v>
      </c>
      <c r="B499" s="227" t="s">
        <v>1138</v>
      </c>
      <c r="C499" s="227" t="s">
        <v>1195</v>
      </c>
      <c r="D499" s="701" t="s">
        <v>1160</v>
      </c>
      <c r="E499" s="701"/>
      <c r="F499" s="701"/>
      <c r="G499" s="226" t="s">
        <v>129</v>
      </c>
      <c r="H499" s="226">
        <v>1</v>
      </c>
      <c r="I499" s="226">
        <v>10.18</v>
      </c>
      <c r="J499" s="226"/>
      <c r="K499" s="226"/>
      <c r="L499" s="226">
        <v>10.18</v>
      </c>
    </row>
    <row r="500" spans="1:12" s="227" customFormat="1" ht="10.95" customHeight="1" x14ac:dyDescent="0.3">
      <c r="A500" s="156" t="s">
        <v>1174</v>
      </c>
      <c r="B500" s="227" t="s">
        <v>1139</v>
      </c>
      <c r="C500" s="227" t="s">
        <v>1195</v>
      </c>
      <c r="D500" s="701" t="s">
        <v>1160</v>
      </c>
      <c r="E500" s="701"/>
      <c r="F500" s="701"/>
      <c r="G500" s="226" t="s">
        <v>129</v>
      </c>
      <c r="H500" s="226">
        <v>1</v>
      </c>
      <c r="I500" s="226">
        <v>32.76</v>
      </c>
      <c r="J500" s="226"/>
      <c r="K500" s="226"/>
      <c r="L500" s="226">
        <v>32.76</v>
      </c>
    </row>
    <row r="501" spans="1:12" s="227" customFormat="1" ht="10.95" customHeight="1" x14ac:dyDescent="0.3">
      <c r="A501" s="156" t="s">
        <v>1175</v>
      </c>
      <c r="B501" s="227" t="s">
        <v>1140</v>
      </c>
      <c r="C501" s="227" t="s">
        <v>1195</v>
      </c>
      <c r="D501" s="701" t="s">
        <v>1160</v>
      </c>
      <c r="E501" s="701"/>
      <c r="F501" s="701"/>
      <c r="G501" s="226" t="s">
        <v>129</v>
      </c>
      <c r="H501" s="226">
        <v>1</v>
      </c>
      <c r="I501" s="226">
        <v>10.050000000000001</v>
      </c>
      <c r="J501" s="226"/>
      <c r="K501" s="226"/>
      <c r="L501" s="226">
        <v>10.050000000000001</v>
      </c>
    </row>
    <row r="502" spans="1:12" s="227" customFormat="1" ht="10.95" customHeight="1" x14ac:dyDescent="0.3">
      <c r="A502" s="156" t="s">
        <v>1176</v>
      </c>
      <c r="B502" s="227" t="s">
        <v>1141</v>
      </c>
      <c r="C502" s="227" t="s">
        <v>1195</v>
      </c>
      <c r="D502" s="701" t="s">
        <v>1160</v>
      </c>
      <c r="E502" s="701"/>
      <c r="F502" s="701"/>
      <c r="G502" s="226" t="s">
        <v>129</v>
      </c>
      <c r="H502" s="226">
        <v>1</v>
      </c>
      <c r="I502" s="226">
        <v>36.520000000000003</v>
      </c>
      <c r="J502" s="226"/>
      <c r="K502" s="226"/>
      <c r="L502" s="226">
        <v>36.520000000000003</v>
      </c>
    </row>
    <row r="503" spans="1:12" s="227" customFormat="1" ht="10.95" customHeight="1" x14ac:dyDescent="0.3">
      <c r="A503" s="156" t="s">
        <v>1177</v>
      </c>
      <c r="B503" s="227" t="s">
        <v>1142</v>
      </c>
      <c r="C503" s="227" t="s">
        <v>1195</v>
      </c>
      <c r="D503" s="701" t="s">
        <v>1160</v>
      </c>
      <c r="E503" s="701"/>
      <c r="F503" s="701"/>
      <c r="G503" s="226" t="s">
        <v>129</v>
      </c>
      <c r="H503" s="226">
        <v>1</v>
      </c>
      <c r="I503" s="226">
        <v>14.54</v>
      </c>
      <c r="J503" s="226"/>
      <c r="K503" s="226"/>
      <c r="L503" s="226">
        <v>14.54</v>
      </c>
    </row>
    <row r="504" spans="1:12" s="227" customFormat="1" ht="10.95" customHeight="1" x14ac:dyDescent="0.3">
      <c r="A504" s="156" t="s">
        <v>1178</v>
      </c>
      <c r="B504" s="227" t="s">
        <v>1143</v>
      </c>
      <c r="C504" s="227" t="s">
        <v>1195</v>
      </c>
      <c r="D504" s="701" t="s">
        <v>1160</v>
      </c>
      <c r="E504" s="701"/>
      <c r="F504" s="701"/>
      <c r="G504" s="226" t="s">
        <v>129</v>
      </c>
      <c r="H504" s="226">
        <v>1</v>
      </c>
      <c r="I504" s="226">
        <v>11.29</v>
      </c>
      <c r="J504" s="226"/>
      <c r="K504" s="226"/>
      <c r="L504" s="226">
        <v>11.29</v>
      </c>
    </row>
    <row r="505" spans="1:12" s="227" customFormat="1" ht="10.95" customHeight="1" x14ac:dyDescent="0.3">
      <c r="A505" s="156" t="s">
        <v>1179</v>
      </c>
      <c r="B505" s="227" t="s">
        <v>1144</v>
      </c>
      <c r="C505" s="227" t="s">
        <v>1195</v>
      </c>
      <c r="D505" s="701" t="s">
        <v>1160</v>
      </c>
      <c r="E505" s="701"/>
      <c r="F505" s="701"/>
      <c r="G505" s="226" t="s">
        <v>129</v>
      </c>
      <c r="H505" s="226">
        <v>1</v>
      </c>
      <c r="I505" s="226">
        <v>6</v>
      </c>
      <c r="J505" s="226"/>
      <c r="K505" s="226"/>
      <c r="L505" s="226">
        <v>6</v>
      </c>
    </row>
    <row r="506" spans="1:12" s="227" customFormat="1" ht="10.95" customHeight="1" x14ac:dyDescent="0.3">
      <c r="A506" s="156" t="s">
        <v>1180</v>
      </c>
      <c r="B506" s="227" t="s">
        <v>1145</v>
      </c>
      <c r="C506" s="227" t="s">
        <v>1195</v>
      </c>
      <c r="D506" s="701" t="s">
        <v>1160</v>
      </c>
      <c r="E506" s="701"/>
      <c r="F506" s="701"/>
      <c r="G506" s="226" t="s">
        <v>129</v>
      </c>
      <c r="H506" s="226">
        <v>1</v>
      </c>
      <c r="I506" s="226">
        <v>27.05</v>
      </c>
      <c r="J506" s="226"/>
      <c r="K506" s="226"/>
      <c r="L506" s="226">
        <v>27.05</v>
      </c>
    </row>
    <row r="507" spans="1:12" s="227" customFormat="1" ht="10.95" customHeight="1" x14ac:dyDescent="0.3">
      <c r="A507" s="156" t="s">
        <v>1181</v>
      </c>
      <c r="B507" s="227" t="s">
        <v>1146</v>
      </c>
      <c r="C507" s="227" t="s">
        <v>1195</v>
      </c>
      <c r="D507" s="701" t="s">
        <v>1160</v>
      </c>
      <c r="E507" s="701"/>
      <c r="F507" s="701"/>
      <c r="G507" s="226" t="s">
        <v>129</v>
      </c>
      <c r="H507" s="226">
        <v>1</v>
      </c>
      <c r="I507" s="226">
        <v>12.8</v>
      </c>
      <c r="J507" s="226"/>
      <c r="K507" s="226"/>
      <c r="L507" s="226">
        <v>12.8</v>
      </c>
    </row>
    <row r="508" spans="1:12" s="227" customFormat="1" ht="10.95" customHeight="1" x14ac:dyDescent="0.3">
      <c r="A508" s="156" t="s">
        <v>1182</v>
      </c>
      <c r="B508" s="227" t="s">
        <v>1147</v>
      </c>
      <c r="C508" s="227" t="s">
        <v>1195</v>
      </c>
      <c r="D508" s="701" t="s">
        <v>1160</v>
      </c>
      <c r="E508" s="701"/>
      <c r="F508" s="701"/>
      <c r="G508" s="226" t="s">
        <v>129</v>
      </c>
      <c r="H508" s="226">
        <v>1</v>
      </c>
      <c r="I508" s="226">
        <v>94.210000000000008</v>
      </c>
      <c r="J508" s="226"/>
      <c r="K508" s="226"/>
      <c r="L508" s="226">
        <v>94.210000000000008</v>
      </c>
    </row>
    <row r="509" spans="1:12" s="227" customFormat="1" ht="10.95" customHeight="1" x14ac:dyDescent="0.3">
      <c r="A509" s="156" t="s">
        <v>1183</v>
      </c>
      <c r="B509" s="227" t="s">
        <v>1148</v>
      </c>
      <c r="C509" s="227" t="s">
        <v>1195</v>
      </c>
      <c r="D509" s="701" t="s">
        <v>1160</v>
      </c>
      <c r="E509" s="701"/>
      <c r="F509" s="701"/>
      <c r="G509" s="226" t="s">
        <v>129</v>
      </c>
      <c r="H509" s="226">
        <v>1</v>
      </c>
      <c r="I509" s="226">
        <v>16.88</v>
      </c>
      <c r="J509" s="226"/>
      <c r="K509" s="226"/>
      <c r="L509" s="226">
        <v>16.88</v>
      </c>
    </row>
    <row r="510" spans="1:12" s="227" customFormat="1" ht="10.95" customHeight="1" x14ac:dyDescent="0.3">
      <c r="A510" s="156" t="s">
        <v>1184</v>
      </c>
      <c r="B510" s="227" t="s">
        <v>1149</v>
      </c>
      <c r="C510" s="227" t="s">
        <v>1195</v>
      </c>
      <c r="D510" s="701" t="s">
        <v>1160</v>
      </c>
      <c r="E510" s="701"/>
      <c r="F510" s="701"/>
      <c r="G510" s="226" t="s">
        <v>129</v>
      </c>
      <c r="H510" s="226">
        <v>1</v>
      </c>
      <c r="I510" s="226">
        <v>85.78</v>
      </c>
      <c r="J510" s="226"/>
      <c r="K510" s="226"/>
      <c r="L510" s="226">
        <v>85.78</v>
      </c>
    </row>
    <row r="511" spans="1:12" s="227" customFormat="1" ht="10.95" customHeight="1" x14ac:dyDescent="0.3">
      <c r="A511" s="156" t="s">
        <v>1185</v>
      </c>
      <c r="B511" s="227" t="s">
        <v>1150</v>
      </c>
      <c r="C511" s="227" t="s">
        <v>1195</v>
      </c>
      <c r="D511" s="701" t="s">
        <v>1160</v>
      </c>
      <c r="E511" s="701"/>
      <c r="F511" s="701"/>
      <c r="G511" s="226" t="s">
        <v>129</v>
      </c>
      <c r="H511" s="226">
        <v>1</v>
      </c>
      <c r="I511" s="226">
        <v>11</v>
      </c>
      <c r="J511" s="226"/>
      <c r="K511" s="226"/>
      <c r="L511" s="226">
        <v>11</v>
      </c>
    </row>
    <row r="512" spans="1:12" s="227" customFormat="1" ht="10.95" customHeight="1" x14ac:dyDescent="0.3">
      <c r="A512" s="156" t="s">
        <v>1186</v>
      </c>
      <c r="B512" s="227" t="s">
        <v>1151</v>
      </c>
      <c r="C512" s="227" t="s">
        <v>1195</v>
      </c>
      <c r="D512" s="701" t="s">
        <v>1160</v>
      </c>
      <c r="E512" s="701"/>
      <c r="F512" s="701"/>
      <c r="G512" s="226" t="s">
        <v>129</v>
      </c>
      <c r="H512" s="226">
        <v>1</v>
      </c>
      <c r="I512" s="226">
        <v>80.75</v>
      </c>
      <c r="J512" s="226"/>
      <c r="K512" s="226"/>
      <c r="L512" s="226">
        <v>80.75</v>
      </c>
    </row>
    <row r="513" spans="1:15" ht="10.95" customHeight="1" x14ac:dyDescent="0.3">
      <c r="A513" s="156" t="s">
        <v>1187</v>
      </c>
      <c r="B513" s="227" t="s">
        <v>1152</v>
      </c>
      <c r="C513" s="227" t="s">
        <v>1195</v>
      </c>
      <c r="D513" s="701" t="s">
        <v>1160</v>
      </c>
      <c r="E513" s="701"/>
      <c r="F513" s="701"/>
      <c r="G513" s="226" t="s">
        <v>129</v>
      </c>
      <c r="H513" s="226">
        <v>1</v>
      </c>
      <c r="I513" s="226">
        <v>15.18</v>
      </c>
      <c r="L513" s="226">
        <v>15.18</v>
      </c>
      <c r="M513" s="227"/>
      <c r="N513" s="227"/>
      <c r="O513" s="227"/>
    </row>
    <row r="514" spans="1:15" ht="10.95" customHeight="1" x14ac:dyDescent="0.3">
      <c r="A514" s="156" t="s">
        <v>1188</v>
      </c>
      <c r="B514" s="227" t="s">
        <v>1153</v>
      </c>
      <c r="C514" s="227" t="s">
        <v>1195</v>
      </c>
      <c r="D514" s="701" t="s">
        <v>1160</v>
      </c>
      <c r="E514" s="701"/>
      <c r="F514" s="701"/>
      <c r="G514" s="226" t="s">
        <v>129</v>
      </c>
      <c r="H514" s="226">
        <v>1</v>
      </c>
      <c r="I514" s="226">
        <v>79.25</v>
      </c>
      <c r="L514" s="226">
        <v>79.25</v>
      </c>
      <c r="M514" s="227"/>
      <c r="N514" s="227"/>
      <c r="O514" s="227"/>
    </row>
    <row r="515" spans="1:15" ht="10.95" customHeight="1" x14ac:dyDescent="0.3">
      <c r="A515" s="156" t="s">
        <v>1189</v>
      </c>
      <c r="B515" s="227" t="s">
        <v>1154</v>
      </c>
      <c r="C515" s="227" t="s">
        <v>1195</v>
      </c>
      <c r="D515" s="701" t="s">
        <v>1160</v>
      </c>
      <c r="E515" s="701"/>
      <c r="F515" s="701"/>
      <c r="G515" s="226" t="s">
        <v>129</v>
      </c>
      <c r="H515" s="226">
        <v>1</v>
      </c>
      <c r="I515" s="226">
        <v>9.83</v>
      </c>
      <c r="L515" s="226">
        <v>9.83</v>
      </c>
      <c r="M515" s="227"/>
      <c r="N515" s="227"/>
      <c r="O515" s="227"/>
    </row>
    <row r="516" spans="1:15" ht="10.95" customHeight="1" x14ac:dyDescent="0.3">
      <c r="A516" s="156" t="s">
        <v>1190</v>
      </c>
      <c r="B516" s="227" t="s">
        <v>1155</v>
      </c>
      <c r="C516" s="227" t="s">
        <v>1195</v>
      </c>
      <c r="D516" s="701" t="s">
        <v>1160</v>
      </c>
      <c r="E516" s="701"/>
      <c r="F516" s="701"/>
      <c r="G516" s="226" t="s">
        <v>129</v>
      </c>
      <c r="H516" s="226">
        <v>1</v>
      </c>
      <c r="I516" s="226">
        <v>78.599999999999994</v>
      </c>
      <c r="L516" s="226">
        <v>78.599999999999994</v>
      </c>
      <c r="M516" s="227"/>
      <c r="N516" s="227"/>
      <c r="O516" s="227"/>
    </row>
    <row r="517" spans="1:15" ht="10.95" customHeight="1" x14ac:dyDescent="0.3">
      <c r="A517" s="156" t="s">
        <v>1191</v>
      </c>
      <c r="B517" s="227" t="s">
        <v>1156</v>
      </c>
      <c r="C517" s="227" t="s">
        <v>1195</v>
      </c>
      <c r="D517" s="701" t="s">
        <v>1160</v>
      </c>
      <c r="E517" s="701"/>
      <c r="F517" s="701"/>
      <c r="G517" s="226" t="s">
        <v>129</v>
      </c>
      <c r="H517" s="226">
        <v>1</v>
      </c>
      <c r="I517" s="226">
        <v>10.64</v>
      </c>
      <c r="L517" s="226">
        <v>10.64</v>
      </c>
      <c r="M517" s="227"/>
      <c r="N517" s="227"/>
      <c r="O517" s="227"/>
    </row>
    <row r="518" spans="1:15" ht="10.95" customHeight="1" x14ac:dyDescent="0.3">
      <c r="A518" s="156" t="s">
        <v>1192</v>
      </c>
      <c r="B518" s="227" t="s">
        <v>1157</v>
      </c>
      <c r="C518" s="227" t="s">
        <v>1195</v>
      </c>
      <c r="D518" s="701" t="s">
        <v>1160</v>
      </c>
      <c r="E518" s="701"/>
      <c r="F518" s="701"/>
      <c r="G518" s="226" t="s">
        <v>129</v>
      </c>
      <c r="H518" s="226">
        <v>1</v>
      </c>
      <c r="I518" s="226">
        <v>79.599999999999994</v>
      </c>
      <c r="L518" s="226">
        <v>79.599999999999994</v>
      </c>
      <c r="M518" s="227"/>
      <c r="N518" s="227"/>
      <c r="O518" s="227"/>
    </row>
    <row r="519" spans="1:15" ht="10.95" customHeight="1" x14ac:dyDescent="0.3">
      <c r="A519" s="156" t="s">
        <v>1193</v>
      </c>
      <c r="B519" s="227" t="s">
        <v>1158</v>
      </c>
      <c r="C519" s="227" t="s">
        <v>1195</v>
      </c>
      <c r="D519" s="701" t="s">
        <v>1160</v>
      </c>
      <c r="E519" s="701"/>
      <c r="F519" s="701"/>
      <c r="G519" s="226" t="s">
        <v>129</v>
      </c>
      <c r="H519" s="226">
        <v>1</v>
      </c>
      <c r="I519" s="226">
        <v>13.37</v>
      </c>
      <c r="L519" s="226">
        <v>13.37</v>
      </c>
      <c r="M519" s="227"/>
      <c r="N519" s="227"/>
      <c r="O519" s="227"/>
    </row>
    <row r="520" spans="1:15" ht="12" customHeight="1" x14ac:dyDescent="0.3">
      <c r="J520" s="701" t="s">
        <v>203</v>
      </c>
      <c r="K520" s="701"/>
      <c r="L520" s="226">
        <v>9030.6</v>
      </c>
    </row>
    <row r="521" spans="1:15" ht="12" customHeight="1" x14ac:dyDescent="0.3"/>
    <row r="522" spans="1:15" ht="36.75" customHeight="1" x14ac:dyDescent="0.3">
      <c r="A522" s="226" t="s">
        <v>11</v>
      </c>
      <c r="B522" s="226" t="s">
        <v>205</v>
      </c>
      <c r="C522" s="701" t="s">
        <v>35</v>
      </c>
      <c r="D522" s="701"/>
      <c r="E522" s="702" t="s">
        <v>1245</v>
      </c>
      <c r="F522" s="702"/>
      <c r="G522" s="702"/>
      <c r="H522" s="702"/>
      <c r="I522" s="226" t="s">
        <v>105</v>
      </c>
      <c r="J522" s="226" t="s">
        <v>26</v>
      </c>
      <c r="K522" s="226" t="s">
        <v>13</v>
      </c>
      <c r="L522" s="231">
        <v>4432</v>
      </c>
    </row>
    <row r="523" spans="1:15" ht="11.25" customHeight="1" x14ac:dyDescent="0.3"/>
    <row r="524" spans="1:15" ht="18.75" customHeight="1" x14ac:dyDescent="0.3">
      <c r="A524" s="234" t="s">
        <v>201</v>
      </c>
      <c r="B524" s="703" t="s">
        <v>405</v>
      </c>
      <c r="C524" s="703"/>
      <c r="D524" s="704" t="s">
        <v>193</v>
      </c>
      <c r="E524" s="704"/>
      <c r="F524" s="704"/>
      <c r="G524" s="234" t="s">
        <v>12</v>
      </c>
      <c r="H524" s="234" t="s">
        <v>194</v>
      </c>
      <c r="I524" s="234" t="s">
        <v>196</v>
      </c>
      <c r="J524" s="234" t="s">
        <v>195</v>
      </c>
      <c r="K524" s="234" t="s">
        <v>197</v>
      </c>
      <c r="L524" s="234" t="s">
        <v>198</v>
      </c>
      <c r="M524" s="100"/>
    </row>
    <row r="525" spans="1:15" ht="11.25" customHeight="1" x14ac:dyDescent="0.3">
      <c r="A525" s="156" t="s">
        <v>186</v>
      </c>
      <c r="B525" s="227" t="s">
        <v>672</v>
      </c>
      <c r="C525" s="226" t="s">
        <v>662</v>
      </c>
      <c r="D525" s="701" t="s">
        <v>685</v>
      </c>
      <c r="E525" s="701"/>
      <c r="F525" s="701"/>
      <c r="G525" s="226" t="s">
        <v>26</v>
      </c>
      <c r="H525" s="226">
        <v>2</v>
      </c>
      <c r="I525" s="226">
        <v>87.95</v>
      </c>
      <c r="J525" s="226">
        <v>1.2</v>
      </c>
      <c r="L525" s="226">
        <v>211.08</v>
      </c>
    </row>
    <row r="526" spans="1:15" ht="11.25" customHeight="1" x14ac:dyDescent="0.3">
      <c r="A526" s="156" t="s">
        <v>188</v>
      </c>
      <c r="B526" s="227" t="s">
        <v>1109</v>
      </c>
      <c r="C526" s="226" t="s">
        <v>662</v>
      </c>
      <c r="D526" s="701" t="s">
        <v>685</v>
      </c>
      <c r="E526" s="701"/>
      <c r="F526" s="701"/>
      <c r="G526" s="226" t="s">
        <v>26</v>
      </c>
      <c r="H526" s="226">
        <v>2</v>
      </c>
      <c r="I526" s="226">
        <v>93.72</v>
      </c>
      <c r="J526" s="226">
        <v>0.216</v>
      </c>
      <c r="L526" s="226">
        <v>40.48704</v>
      </c>
    </row>
    <row r="527" spans="1:15" ht="11.25" customHeight="1" x14ac:dyDescent="0.3">
      <c r="A527" s="156" t="s">
        <v>484</v>
      </c>
      <c r="B527" s="227" t="s">
        <v>675</v>
      </c>
      <c r="C527" s="226" t="s">
        <v>662</v>
      </c>
      <c r="D527" s="701" t="s">
        <v>685</v>
      </c>
      <c r="E527" s="701"/>
      <c r="F527" s="701"/>
      <c r="G527" s="226" t="s">
        <v>26</v>
      </c>
      <c r="H527" s="226">
        <v>2</v>
      </c>
      <c r="I527" s="226">
        <v>79.709999999999994</v>
      </c>
      <c r="J527" s="226">
        <v>0.216</v>
      </c>
      <c r="L527" s="226">
        <v>34.434719999999999</v>
      </c>
    </row>
    <row r="528" spans="1:15" ht="11.25" customHeight="1" x14ac:dyDescent="0.3">
      <c r="A528" s="156" t="s">
        <v>485</v>
      </c>
      <c r="B528" s="227" t="s">
        <v>676</v>
      </c>
      <c r="C528" s="226" t="s">
        <v>662</v>
      </c>
      <c r="D528" s="701" t="s">
        <v>685</v>
      </c>
      <c r="E528" s="701"/>
      <c r="F528" s="701"/>
      <c r="G528" s="226" t="s">
        <v>26</v>
      </c>
      <c r="H528" s="226">
        <v>2</v>
      </c>
      <c r="I528" s="226">
        <v>93.02</v>
      </c>
      <c r="J528" s="226">
        <v>0.216</v>
      </c>
      <c r="L528" s="226">
        <v>40.184639999999995</v>
      </c>
    </row>
    <row r="529" spans="1:12" ht="11.25" customHeight="1" x14ac:dyDescent="0.3">
      <c r="A529" s="156" t="s">
        <v>486</v>
      </c>
      <c r="B529" s="227" t="s">
        <v>698</v>
      </c>
      <c r="C529" s="226" t="s">
        <v>662</v>
      </c>
      <c r="D529" s="701" t="s">
        <v>685</v>
      </c>
      <c r="E529" s="701"/>
      <c r="F529" s="701"/>
      <c r="G529" s="226" t="s">
        <v>26</v>
      </c>
      <c r="H529" s="226">
        <v>2</v>
      </c>
      <c r="I529" s="226">
        <v>48.73</v>
      </c>
      <c r="J529" s="226">
        <v>0.216</v>
      </c>
      <c r="L529" s="226">
        <v>21.051359999999999</v>
      </c>
    </row>
    <row r="530" spans="1:12" ht="11.25" customHeight="1" x14ac:dyDescent="0.3">
      <c r="A530" s="156" t="s">
        <v>398</v>
      </c>
      <c r="B530" s="227" t="s">
        <v>678</v>
      </c>
      <c r="C530" s="226" t="s">
        <v>662</v>
      </c>
      <c r="D530" s="701" t="s">
        <v>685</v>
      </c>
      <c r="E530" s="701"/>
      <c r="F530" s="701"/>
      <c r="G530" s="226" t="s">
        <v>26</v>
      </c>
      <c r="H530" s="226">
        <v>2</v>
      </c>
      <c r="I530" s="226">
        <v>44.93</v>
      </c>
      <c r="J530" s="226">
        <v>0.216</v>
      </c>
      <c r="L530" s="226">
        <v>19.409759999999999</v>
      </c>
    </row>
    <row r="531" spans="1:12" ht="11.25" customHeight="1" x14ac:dyDescent="0.3">
      <c r="A531" s="156" t="s">
        <v>529</v>
      </c>
      <c r="B531" s="227" t="s">
        <v>679</v>
      </c>
      <c r="C531" s="226" t="s">
        <v>662</v>
      </c>
      <c r="D531" s="701" t="s">
        <v>685</v>
      </c>
      <c r="E531" s="701"/>
      <c r="F531" s="701"/>
      <c r="G531" s="226" t="s">
        <v>26</v>
      </c>
      <c r="H531" s="226">
        <v>2</v>
      </c>
      <c r="I531" s="226">
        <v>42.8</v>
      </c>
      <c r="J531" s="226">
        <v>0.216</v>
      </c>
      <c r="L531" s="226">
        <v>18.489599999999999</v>
      </c>
    </row>
    <row r="532" spans="1:12" ht="11.25" customHeight="1" x14ac:dyDescent="0.3">
      <c r="A532" s="156" t="s">
        <v>532</v>
      </c>
      <c r="B532" s="227" t="s">
        <v>885</v>
      </c>
      <c r="C532" s="226" t="s">
        <v>662</v>
      </c>
      <c r="D532" s="701" t="s">
        <v>685</v>
      </c>
      <c r="E532" s="701"/>
      <c r="F532" s="701"/>
      <c r="G532" s="226" t="s">
        <v>26</v>
      </c>
      <c r="H532" s="226">
        <v>2</v>
      </c>
      <c r="I532" s="226">
        <v>45</v>
      </c>
      <c r="J532" s="226">
        <v>0.216</v>
      </c>
      <c r="L532" s="226">
        <v>19.440000000000001</v>
      </c>
    </row>
    <row r="533" spans="1:12" ht="11.25" customHeight="1" x14ac:dyDescent="0.3">
      <c r="A533" s="156" t="s">
        <v>534</v>
      </c>
      <c r="B533" s="227" t="s">
        <v>682</v>
      </c>
      <c r="C533" s="226" t="s">
        <v>662</v>
      </c>
      <c r="D533" s="701" t="s">
        <v>685</v>
      </c>
      <c r="E533" s="701"/>
      <c r="F533" s="701"/>
      <c r="G533" s="226" t="s">
        <v>26</v>
      </c>
      <c r="H533" s="226">
        <v>2</v>
      </c>
      <c r="I533" s="226">
        <v>40.57</v>
      </c>
      <c r="J533" s="226">
        <v>0.216</v>
      </c>
      <c r="L533" s="226">
        <v>17.526240000000001</v>
      </c>
    </row>
    <row r="534" spans="1:12" ht="11.25" customHeight="1" x14ac:dyDescent="0.3">
      <c r="A534" s="156" t="s">
        <v>537</v>
      </c>
      <c r="B534" s="227" t="s">
        <v>1110</v>
      </c>
      <c r="C534" s="226" t="s">
        <v>662</v>
      </c>
      <c r="D534" s="701" t="s">
        <v>685</v>
      </c>
      <c r="E534" s="701"/>
      <c r="F534" s="701"/>
      <c r="G534" s="226" t="s">
        <v>26</v>
      </c>
      <c r="H534" s="226">
        <v>2</v>
      </c>
      <c r="I534" s="226">
        <v>102.75</v>
      </c>
      <c r="J534" s="226">
        <v>0.216</v>
      </c>
      <c r="L534" s="226">
        <v>44.387999999999998</v>
      </c>
    </row>
    <row r="535" spans="1:12" ht="11.25" customHeight="1" x14ac:dyDescent="0.3">
      <c r="A535" s="156" t="s">
        <v>540</v>
      </c>
      <c r="B535" s="227" t="s">
        <v>708</v>
      </c>
      <c r="C535" s="226" t="s">
        <v>666</v>
      </c>
      <c r="D535" s="701" t="s">
        <v>729</v>
      </c>
      <c r="E535" s="701"/>
      <c r="F535" s="701"/>
      <c r="G535" s="226" t="s">
        <v>26</v>
      </c>
      <c r="H535" s="226">
        <v>2</v>
      </c>
      <c r="I535" s="226">
        <v>180.84</v>
      </c>
      <c r="J535" s="226">
        <v>0.216</v>
      </c>
      <c r="L535" s="226">
        <v>78.122879999999995</v>
      </c>
    </row>
    <row r="536" spans="1:12" ht="11.25" customHeight="1" x14ac:dyDescent="0.3">
      <c r="A536" s="156" t="s">
        <v>543</v>
      </c>
      <c r="B536" s="227" t="s">
        <v>707</v>
      </c>
      <c r="C536" s="226" t="s">
        <v>666</v>
      </c>
      <c r="D536" s="701" t="s">
        <v>729</v>
      </c>
      <c r="E536" s="701"/>
      <c r="F536" s="701"/>
      <c r="G536" s="226" t="s">
        <v>26</v>
      </c>
      <c r="H536" s="226">
        <v>2</v>
      </c>
      <c r="I536" s="226">
        <v>129.94</v>
      </c>
      <c r="J536" s="226">
        <v>0.216</v>
      </c>
      <c r="L536" s="226">
        <v>56.134079999999997</v>
      </c>
    </row>
    <row r="537" spans="1:12" ht="11.25" customHeight="1" x14ac:dyDescent="0.3">
      <c r="A537" s="156" t="s">
        <v>546</v>
      </c>
      <c r="B537" s="227" t="s">
        <v>712</v>
      </c>
      <c r="C537" s="226" t="s">
        <v>666</v>
      </c>
      <c r="D537" s="701" t="s">
        <v>729</v>
      </c>
      <c r="E537" s="701"/>
      <c r="F537" s="701"/>
      <c r="G537" s="226" t="s">
        <v>26</v>
      </c>
      <c r="H537" s="226">
        <v>2</v>
      </c>
      <c r="I537" s="226">
        <v>143.56</v>
      </c>
      <c r="J537" s="226">
        <v>0.216</v>
      </c>
      <c r="L537" s="226">
        <v>62.017920000000004</v>
      </c>
    </row>
    <row r="538" spans="1:12" ht="11.25" customHeight="1" x14ac:dyDescent="0.3">
      <c r="A538" s="156" t="s">
        <v>548</v>
      </c>
      <c r="B538" s="227" t="s">
        <v>713</v>
      </c>
      <c r="C538" s="226" t="s">
        <v>666</v>
      </c>
      <c r="D538" s="701" t="s">
        <v>729</v>
      </c>
      <c r="E538" s="701"/>
      <c r="F538" s="701"/>
      <c r="G538" s="226" t="s">
        <v>26</v>
      </c>
      <c r="H538" s="226">
        <v>2</v>
      </c>
      <c r="I538" s="226">
        <v>86.13</v>
      </c>
      <c r="J538" s="226">
        <v>0.216</v>
      </c>
      <c r="L538" s="226">
        <v>37.208159999999999</v>
      </c>
    </row>
    <row r="539" spans="1:12" ht="11.25" customHeight="1" x14ac:dyDescent="0.3">
      <c r="A539" s="156" t="s">
        <v>551</v>
      </c>
      <c r="B539" s="227" t="s">
        <v>714</v>
      </c>
      <c r="C539" s="226" t="s">
        <v>666</v>
      </c>
      <c r="D539" s="701" t="s">
        <v>729</v>
      </c>
      <c r="E539" s="701"/>
      <c r="F539" s="701"/>
      <c r="G539" s="226" t="s">
        <v>26</v>
      </c>
      <c r="H539" s="226">
        <v>2</v>
      </c>
      <c r="I539" s="226">
        <v>155.94999999999999</v>
      </c>
      <c r="J539" s="226">
        <v>0.216</v>
      </c>
      <c r="L539" s="226">
        <v>67.370399999999989</v>
      </c>
    </row>
    <row r="540" spans="1:12" ht="11.25" customHeight="1" x14ac:dyDescent="0.3">
      <c r="A540" s="156" t="s">
        <v>554</v>
      </c>
      <c r="B540" s="227" t="s">
        <v>722</v>
      </c>
      <c r="C540" s="226" t="s">
        <v>666</v>
      </c>
      <c r="D540" s="701" t="s">
        <v>729</v>
      </c>
      <c r="E540" s="701"/>
      <c r="F540" s="701"/>
      <c r="G540" s="226" t="s">
        <v>26</v>
      </c>
      <c r="H540" s="226">
        <v>2</v>
      </c>
      <c r="I540" s="226">
        <v>44.239999999999995</v>
      </c>
      <c r="J540" s="226">
        <v>0.216</v>
      </c>
      <c r="L540" s="226">
        <v>19.111679999999996</v>
      </c>
    </row>
    <row r="541" spans="1:12" ht="11.25" customHeight="1" x14ac:dyDescent="0.3">
      <c r="A541" s="156" t="s">
        <v>557</v>
      </c>
      <c r="B541" s="227" t="s">
        <v>724</v>
      </c>
      <c r="C541" s="226" t="s">
        <v>666</v>
      </c>
      <c r="D541" s="701" t="s">
        <v>729</v>
      </c>
      <c r="E541" s="701"/>
      <c r="F541" s="701"/>
      <c r="G541" s="226" t="s">
        <v>26</v>
      </c>
      <c r="H541" s="226">
        <v>2</v>
      </c>
      <c r="I541" s="226">
        <v>100.75</v>
      </c>
      <c r="J541" s="226">
        <v>0.216</v>
      </c>
      <c r="L541" s="226">
        <v>43.524000000000001</v>
      </c>
    </row>
    <row r="542" spans="1:12" ht="11.25" customHeight="1" x14ac:dyDescent="0.3">
      <c r="A542" s="156" t="s">
        <v>559</v>
      </c>
      <c r="B542" s="227" t="s">
        <v>725</v>
      </c>
      <c r="C542" s="226" t="s">
        <v>666</v>
      </c>
      <c r="D542" s="701" t="s">
        <v>729</v>
      </c>
      <c r="E542" s="701"/>
      <c r="F542" s="701"/>
      <c r="G542" s="226" t="s">
        <v>26</v>
      </c>
      <c r="H542" s="226">
        <v>2</v>
      </c>
      <c r="I542" s="226">
        <v>72.400000000000006</v>
      </c>
      <c r="J542" s="226">
        <v>0.216</v>
      </c>
      <c r="L542" s="226">
        <v>31.276800000000001</v>
      </c>
    </row>
    <row r="543" spans="1:12" ht="11.25" customHeight="1" x14ac:dyDescent="0.3">
      <c r="A543" s="156" t="s">
        <v>561</v>
      </c>
      <c r="B543" s="227" t="s">
        <v>726</v>
      </c>
      <c r="C543" s="226" t="s">
        <v>666</v>
      </c>
      <c r="D543" s="701" t="s">
        <v>729</v>
      </c>
      <c r="E543" s="701"/>
      <c r="F543" s="701"/>
      <c r="G543" s="226" t="s">
        <v>26</v>
      </c>
      <c r="H543" s="226">
        <v>2</v>
      </c>
      <c r="I543" s="226">
        <v>56.95</v>
      </c>
      <c r="J543" s="226">
        <v>0.216</v>
      </c>
      <c r="L543" s="233">
        <v>24.602399999999999</v>
      </c>
    </row>
    <row r="544" spans="1:12" ht="11.25" customHeight="1" x14ac:dyDescent="0.3">
      <c r="A544" s="156" t="s">
        <v>563</v>
      </c>
      <c r="B544" s="227" t="s">
        <v>727</v>
      </c>
      <c r="C544" s="226" t="s">
        <v>666</v>
      </c>
      <c r="D544" s="701" t="s">
        <v>729</v>
      </c>
      <c r="E544" s="701"/>
      <c r="F544" s="701"/>
      <c r="G544" s="226" t="s">
        <v>26</v>
      </c>
      <c r="H544" s="226">
        <v>2</v>
      </c>
      <c r="I544" s="226">
        <v>57.339999999999996</v>
      </c>
      <c r="J544" s="226">
        <v>0.216</v>
      </c>
      <c r="L544" s="233">
        <v>24.770879999999998</v>
      </c>
    </row>
    <row r="545" spans="1:12" ht="11.25" customHeight="1" x14ac:dyDescent="0.3">
      <c r="A545" s="156" t="s">
        <v>566</v>
      </c>
      <c r="B545" s="227" t="s">
        <v>835</v>
      </c>
      <c r="C545" s="226" t="s">
        <v>683</v>
      </c>
      <c r="D545" s="701" t="s">
        <v>855</v>
      </c>
      <c r="E545" s="701"/>
      <c r="F545" s="701"/>
      <c r="G545" s="226" t="s">
        <v>26</v>
      </c>
      <c r="H545" s="226">
        <v>2</v>
      </c>
      <c r="I545" s="226">
        <v>71.13</v>
      </c>
      <c r="J545" s="226">
        <v>0.216</v>
      </c>
      <c r="L545" s="233">
        <v>30.728159999999999</v>
      </c>
    </row>
    <row r="546" spans="1:12" ht="11.25" customHeight="1" x14ac:dyDescent="0.3">
      <c r="A546" s="156" t="s">
        <v>568</v>
      </c>
      <c r="B546" s="227" t="s">
        <v>836</v>
      </c>
      <c r="C546" s="226" t="s">
        <v>683</v>
      </c>
      <c r="D546" s="701" t="s">
        <v>855</v>
      </c>
      <c r="E546" s="701"/>
      <c r="F546" s="701"/>
      <c r="G546" s="226" t="s">
        <v>26</v>
      </c>
      <c r="H546" s="226">
        <v>2</v>
      </c>
      <c r="I546" s="226">
        <v>74.91</v>
      </c>
      <c r="J546" s="226">
        <v>0.216</v>
      </c>
      <c r="L546" s="233">
        <v>32.36112</v>
      </c>
    </row>
    <row r="547" spans="1:12" ht="11.25" customHeight="1" x14ac:dyDescent="0.3">
      <c r="A547" s="156" t="s">
        <v>571</v>
      </c>
      <c r="B547" s="227" t="s">
        <v>839</v>
      </c>
      <c r="C547" s="226" t="s">
        <v>683</v>
      </c>
      <c r="D547" s="701" t="s">
        <v>855</v>
      </c>
      <c r="E547" s="701"/>
      <c r="F547" s="701"/>
      <c r="G547" s="226" t="s">
        <v>26</v>
      </c>
      <c r="H547" s="226">
        <v>2</v>
      </c>
      <c r="I547" s="226">
        <v>69.63</v>
      </c>
      <c r="J547" s="226">
        <v>0.216</v>
      </c>
      <c r="L547" s="233">
        <v>30.080159999999999</v>
      </c>
    </row>
    <row r="548" spans="1:12" ht="11.25" customHeight="1" x14ac:dyDescent="0.3">
      <c r="A548" s="156" t="s">
        <v>574</v>
      </c>
      <c r="B548" s="227" t="s">
        <v>841</v>
      </c>
      <c r="C548" s="226" t="s">
        <v>683</v>
      </c>
      <c r="D548" s="701" t="s">
        <v>855</v>
      </c>
      <c r="E548" s="701"/>
      <c r="F548" s="701"/>
      <c r="G548" s="226" t="s">
        <v>26</v>
      </c>
      <c r="H548" s="226">
        <v>2</v>
      </c>
      <c r="I548" s="226">
        <v>63.64</v>
      </c>
      <c r="J548" s="226">
        <v>0.216</v>
      </c>
      <c r="L548" s="233">
        <v>27.49248</v>
      </c>
    </row>
    <row r="549" spans="1:12" ht="11.25" customHeight="1" x14ac:dyDescent="0.3">
      <c r="A549" s="156" t="s">
        <v>577</v>
      </c>
      <c r="B549" s="227" t="s">
        <v>843</v>
      </c>
      <c r="C549" s="226" t="s">
        <v>683</v>
      </c>
      <c r="D549" s="701" t="s">
        <v>855</v>
      </c>
      <c r="E549" s="701"/>
      <c r="F549" s="701"/>
      <c r="G549" s="226" t="s">
        <v>26</v>
      </c>
      <c r="H549" s="226">
        <v>2</v>
      </c>
      <c r="I549" s="226">
        <v>54.67</v>
      </c>
      <c r="J549" s="226">
        <v>0.216</v>
      </c>
      <c r="L549" s="233">
        <v>23.617440000000002</v>
      </c>
    </row>
    <row r="550" spans="1:12" ht="11.25" customHeight="1" x14ac:dyDescent="0.3">
      <c r="A550" s="156" t="s">
        <v>580</v>
      </c>
      <c r="B550" s="227" t="s">
        <v>845</v>
      </c>
      <c r="C550" s="226" t="s">
        <v>683</v>
      </c>
      <c r="D550" s="701" t="s">
        <v>855</v>
      </c>
      <c r="E550" s="701"/>
      <c r="F550" s="701"/>
      <c r="G550" s="226" t="s">
        <v>26</v>
      </c>
      <c r="H550" s="226">
        <v>2</v>
      </c>
      <c r="I550" s="226">
        <v>67</v>
      </c>
      <c r="J550" s="226">
        <v>0.216</v>
      </c>
      <c r="L550" s="233">
        <v>28.943999999999999</v>
      </c>
    </row>
    <row r="551" spans="1:12" ht="11.25" customHeight="1" x14ac:dyDescent="0.3">
      <c r="A551" s="156" t="s">
        <v>582</v>
      </c>
      <c r="B551" s="227" t="s">
        <v>844</v>
      </c>
      <c r="C551" s="226" t="s">
        <v>683</v>
      </c>
      <c r="D551" s="701" t="s">
        <v>855</v>
      </c>
      <c r="E551" s="701"/>
      <c r="F551" s="701"/>
      <c r="G551" s="226" t="s">
        <v>26</v>
      </c>
      <c r="H551" s="226">
        <v>2</v>
      </c>
      <c r="I551" s="226">
        <v>49.3</v>
      </c>
      <c r="J551" s="226">
        <v>0.216</v>
      </c>
      <c r="L551" s="233">
        <v>21.297599999999999</v>
      </c>
    </row>
    <row r="552" spans="1:12" ht="11.25" customHeight="1" x14ac:dyDescent="0.3">
      <c r="A552" s="156" t="s">
        <v>584</v>
      </c>
      <c r="B552" s="227" t="s">
        <v>846</v>
      </c>
      <c r="C552" s="226" t="s">
        <v>683</v>
      </c>
      <c r="D552" s="701" t="s">
        <v>855</v>
      </c>
      <c r="E552" s="701"/>
      <c r="F552" s="701"/>
      <c r="G552" s="226" t="s">
        <v>26</v>
      </c>
      <c r="H552" s="226">
        <v>2</v>
      </c>
      <c r="I552" s="226">
        <v>150</v>
      </c>
      <c r="J552" s="226">
        <v>0.216</v>
      </c>
      <c r="L552" s="233">
        <v>64.8</v>
      </c>
    </row>
    <row r="553" spans="1:12" ht="11.25" customHeight="1" x14ac:dyDescent="0.3">
      <c r="A553" s="156" t="s">
        <v>587</v>
      </c>
      <c r="B553" s="227" t="s">
        <v>847</v>
      </c>
      <c r="C553" s="226" t="s">
        <v>683</v>
      </c>
      <c r="D553" s="701" t="s">
        <v>855</v>
      </c>
      <c r="E553" s="701"/>
      <c r="F553" s="701"/>
      <c r="G553" s="226" t="s">
        <v>26</v>
      </c>
      <c r="H553" s="226">
        <v>2</v>
      </c>
      <c r="I553" s="226">
        <v>150</v>
      </c>
      <c r="J553" s="226">
        <v>0.216</v>
      </c>
      <c r="L553" s="233">
        <v>64.8</v>
      </c>
    </row>
    <row r="554" spans="1:12" ht="11.25" customHeight="1" x14ac:dyDescent="0.3">
      <c r="A554" s="156" t="s">
        <v>590</v>
      </c>
      <c r="B554" s="227" t="s">
        <v>849</v>
      </c>
      <c r="C554" s="226" t="s">
        <v>683</v>
      </c>
      <c r="D554" s="701" t="s">
        <v>855</v>
      </c>
      <c r="E554" s="701"/>
      <c r="F554" s="701"/>
      <c r="G554" s="226" t="s">
        <v>26</v>
      </c>
      <c r="H554" s="226">
        <v>2</v>
      </c>
      <c r="I554" s="226">
        <v>54</v>
      </c>
      <c r="J554" s="226">
        <v>0.216</v>
      </c>
      <c r="L554" s="233">
        <v>23.327999999999999</v>
      </c>
    </row>
    <row r="555" spans="1:12" ht="11.25" customHeight="1" x14ac:dyDescent="0.3">
      <c r="A555" s="156" t="s">
        <v>592</v>
      </c>
      <c r="B555" s="227" t="s">
        <v>850</v>
      </c>
      <c r="C555" s="226" t="s">
        <v>683</v>
      </c>
      <c r="D555" s="701" t="s">
        <v>855</v>
      </c>
      <c r="E555" s="701"/>
      <c r="F555" s="701"/>
      <c r="G555" s="226" t="s">
        <v>26</v>
      </c>
      <c r="H555" s="226">
        <v>2</v>
      </c>
      <c r="I555" s="226">
        <v>56.37</v>
      </c>
      <c r="J555" s="226">
        <v>0.216</v>
      </c>
      <c r="L555" s="233">
        <v>24.351839999999999</v>
      </c>
    </row>
    <row r="556" spans="1:12" ht="11.25" customHeight="1" x14ac:dyDescent="0.3">
      <c r="A556" s="156" t="s">
        <v>594</v>
      </c>
      <c r="B556" s="227" t="s">
        <v>851</v>
      </c>
      <c r="C556" s="226" t="s">
        <v>683</v>
      </c>
      <c r="D556" s="701" t="s">
        <v>855</v>
      </c>
      <c r="E556" s="701"/>
      <c r="F556" s="701"/>
      <c r="G556" s="226" t="s">
        <v>26</v>
      </c>
      <c r="H556" s="226">
        <v>2</v>
      </c>
      <c r="I556" s="226">
        <v>23.93</v>
      </c>
      <c r="J556" s="226">
        <v>0.216</v>
      </c>
      <c r="L556" s="233">
        <v>10.337759999999999</v>
      </c>
    </row>
    <row r="557" spans="1:12" ht="11.25" customHeight="1" x14ac:dyDescent="0.3">
      <c r="A557" s="156" t="s">
        <v>596</v>
      </c>
      <c r="B557" s="227" t="s">
        <v>852</v>
      </c>
      <c r="C557" s="226" t="s">
        <v>683</v>
      </c>
      <c r="D557" s="701" t="s">
        <v>855</v>
      </c>
      <c r="E557" s="701"/>
      <c r="F557" s="701"/>
      <c r="G557" s="226" t="s">
        <v>26</v>
      </c>
      <c r="H557" s="226">
        <v>2</v>
      </c>
      <c r="I557" s="226">
        <v>82.740000000000009</v>
      </c>
      <c r="J557" s="226">
        <v>0.216</v>
      </c>
      <c r="L557" s="233">
        <v>35.743680000000005</v>
      </c>
    </row>
    <row r="558" spans="1:12" ht="11.25" customHeight="1" x14ac:dyDescent="0.3">
      <c r="A558" s="156" t="s">
        <v>604</v>
      </c>
      <c r="B558" s="227" t="s">
        <v>853</v>
      </c>
      <c r="C558" s="226" t="s">
        <v>683</v>
      </c>
      <c r="D558" s="701" t="s">
        <v>855</v>
      </c>
      <c r="E558" s="701"/>
      <c r="F558" s="701"/>
      <c r="G558" s="226" t="s">
        <v>26</v>
      </c>
      <c r="H558" s="226">
        <v>2</v>
      </c>
      <c r="I558" s="226">
        <v>37.61</v>
      </c>
      <c r="J558" s="226">
        <v>0.216</v>
      </c>
      <c r="L558" s="233">
        <v>16.247519999999998</v>
      </c>
    </row>
    <row r="559" spans="1:12" ht="11.25" customHeight="1" x14ac:dyDescent="0.3">
      <c r="A559" s="156" t="s">
        <v>606</v>
      </c>
      <c r="B559" s="227" t="s">
        <v>854</v>
      </c>
      <c r="C559" s="226" t="s">
        <v>683</v>
      </c>
      <c r="D559" s="701" t="s">
        <v>855</v>
      </c>
      <c r="E559" s="701"/>
      <c r="F559" s="701"/>
      <c r="G559" s="226" t="s">
        <v>26</v>
      </c>
      <c r="H559" s="226">
        <v>2</v>
      </c>
      <c r="I559" s="226">
        <v>74</v>
      </c>
      <c r="J559" s="226">
        <v>0.216</v>
      </c>
      <c r="L559" s="233">
        <v>31.968</v>
      </c>
    </row>
    <row r="560" spans="1:12" ht="11.25" customHeight="1" x14ac:dyDescent="0.3">
      <c r="A560" s="156" t="s">
        <v>609</v>
      </c>
      <c r="B560" s="227" t="s">
        <v>1114</v>
      </c>
      <c r="C560" s="226" t="s">
        <v>683</v>
      </c>
      <c r="D560" s="701" t="s">
        <v>855</v>
      </c>
      <c r="E560" s="701"/>
      <c r="F560" s="701"/>
      <c r="G560" s="226" t="s">
        <v>26</v>
      </c>
      <c r="H560" s="226">
        <v>2</v>
      </c>
      <c r="I560" s="226">
        <v>107.91</v>
      </c>
      <c r="J560" s="226">
        <v>0.216</v>
      </c>
      <c r="L560" s="233">
        <v>46.61712</v>
      </c>
    </row>
    <row r="561" spans="1:12" ht="11.25" customHeight="1" x14ac:dyDescent="0.3">
      <c r="A561" s="156" t="s">
        <v>611</v>
      </c>
      <c r="B561" s="227" t="s">
        <v>1115</v>
      </c>
      <c r="C561" s="226" t="s">
        <v>683</v>
      </c>
      <c r="D561" s="701" t="s">
        <v>855</v>
      </c>
      <c r="E561" s="701"/>
      <c r="F561" s="701"/>
      <c r="G561" s="226" t="s">
        <v>26</v>
      </c>
      <c r="H561" s="226">
        <v>2</v>
      </c>
      <c r="I561" s="226">
        <v>122.36000000000001</v>
      </c>
      <c r="J561" s="226">
        <v>0.216</v>
      </c>
      <c r="L561" s="233">
        <v>52.859520000000003</v>
      </c>
    </row>
    <row r="562" spans="1:12" ht="11.25" customHeight="1" x14ac:dyDescent="0.3">
      <c r="A562" s="156" t="s">
        <v>613</v>
      </c>
      <c r="B562" s="227" t="s">
        <v>851</v>
      </c>
      <c r="C562" s="226" t="s">
        <v>683</v>
      </c>
      <c r="D562" s="701" t="s">
        <v>855</v>
      </c>
      <c r="E562" s="701"/>
      <c r="F562" s="701"/>
      <c r="G562" s="226" t="s">
        <v>26</v>
      </c>
      <c r="H562" s="226">
        <v>2</v>
      </c>
      <c r="I562" s="226">
        <v>44</v>
      </c>
      <c r="J562" s="226">
        <v>0.216</v>
      </c>
      <c r="L562" s="233">
        <v>19.007999999999999</v>
      </c>
    </row>
    <row r="563" spans="1:12" ht="11.25" customHeight="1" x14ac:dyDescent="0.3">
      <c r="A563" s="156" t="s">
        <v>616</v>
      </c>
      <c r="B563" s="227" t="s">
        <v>734</v>
      </c>
      <c r="C563" s="226" t="s">
        <v>684</v>
      </c>
      <c r="D563" s="701" t="s">
        <v>738</v>
      </c>
      <c r="E563" s="701"/>
      <c r="F563" s="701"/>
      <c r="G563" s="226" t="s">
        <v>26</v>
      </c>
      <c r="H563" s="226">
        <v>2</v>
      </c>
      <c r="I563" s="226">
        <v>102.49</v>
      </c>
      <c r="J563" s="226">
        <v>0.216</v>
      </c>
      <c r="L563" s="233">
        <v>44.275679999999994</v>
      </c>
    </row>
    <row r="564" spans="1:12" ht="11.25" customHeight="1" x14ac:dyDescent="0.3">
      <c r="A564" s="156" t="s">
        <v>618</v>
      </c>
      <c r="B564" s="227" t="s">
        <v>735</v>
      </c>
      <c r="C564" s="226" t="s">
        <v>684</v>
      </c>
      <c r="D564" s="701" t="s">
        <v>738</v>
      </c>
      <c r="E564" s="701"/>
      <c r="F564" s="701"/>
      <c r="G564" s="226" t="s">
        <v>26</v>
      </c>
      <c r="H564" s="226">
        <v>2</v>
      </c>
      <c r="I564" s="226">
        <v>96.72999999999999</v>
      </c>
      <c r="J564" s="226">
        <v>0.216</v>
      </c>
      <c r="L564" s="233">
        <v>41.787359999999993</v>
      </c>
    </row>
    <row r="565" spans="1:12" ht="11.25" customHeight="1" x14ac:dyDescent="0.3">
      <c r="A565" s="156" t="s">
        <v>620</v>
      </c>
      <c r="B565" s="227" t="s">
        <v>736</v>
      </c>
      <c r="C565" s="226" t="s">
        <v>684</v>
      </c>
      <c r="D565" s="701" t="s">
        <v>738</v>
      </c>
      <c r="E565" s="701"/>
      <c r="F565" s="701"/>
      <c r="G565" s="226" t="s">
        <v>26</v>
      </c>
      <c r="H565" s="226">
        <v>2</v>
      </c>
      <c r="I565" s="226">
        <v>102.87</v>
      </c>
      <c r="J565" s="226">
        <v>0.216</v>
      </c>
      <c r="L565" s="233">
        <v>44.439840000000004</v>
      </c>
    </row>
    <row r="566" spans="1:12" ht="11.25" customHeight="1" x14ac:dyDescent="0.3">
      <c r="A566" s="156" t="s">
        <v>623</v>
      </c>
      <c r="B566" s="227" t="s">
        <v>755</v>
      </c>
      <c r="C566" s="226" t="s">
        <v>684</v>
      </c>
      <c r="D566" s="701" t="s">
        <v>738</v>
      </c>
      <c r="E566" s="701"/>
      <c r="F566" s="701"/>
      <c r="G566" s="226" t="s">
        <v>26</v>
      </c>
      <c r="H566" s="226">
        <v>2</v>
      </c>
      <c r="I566" s="226">
        <v>66.39</v>
      </c>
      <c r="J566" s="226">
        <v>0.216</v>
      </c>
      <c r="L566" s="233">
        <v>28.680479999999999</v>
      </c>
    </row>
    <row r="567" spans="1:12" ht="11.25" customHeight="1" x14ac:dyDescent="0.3">
      <c r="A567" s="156" t="s">
        <v>625</v>
      </c>
      <c r="B567" s="227" t="s">
        <v>758</v>
      </c>
      <c r="C567" s="226" t="s">
        <v>684</v>
      </c>
      <c r="D567" s="701" t="s">
        <v>738</v>
      </c>
      <c r="E567" s="701"/>
      <c r="F567" s="701"/>
      <c r="G567" s="226" t="s">
        <v>26</v>
      </c>
      <c r="H567" s="226">
        <v>2</v>
      </c>
      <c r="I567" s="226">
        <v>47.15</v>
      </c>
      <c r="J567" s="226">
        <v>0.216</v>
      </c>
      <c r="L567" s="233">
        <v>20.3688</v>
      </c>
    </row>
    <row r="568" spans="1:12" ht="11.25" customHeight="1" x14ac:dyDescent="0.3">
      <c r="A568" s="156" t="s">
        <v>627</v>
      </c>
      <c r="B568" s="227" t="s">
        <v>761</v>
      </c>
      <c r="C568" s="226" t="s">
        <v>684</v>
      </c>
      <c r="D568" s="701" t="s">
        <v>738</v>
      </c>
      <c r="E568" s="701"/>
      <c r="F568" s="701"/>
      <c r="G568" s="226" t="s">
        <v>26</v>
      </c>
      <c r="H568" s="226">
        <v>2</v>
      </c>
      <c r="I568" s="226">
        <v>111.63</v>
      </c>
      <c r="J568" s="226">
        <v>0.216</v>
      </c>
      <c r="L568" s="233">
        <v>48.224159999999998</v>
      </c>
    </row>
    <row r="569" spans="1:12" ht="11.25" customHeight="1" x14ac:dyDescent="0.3">
      <c r="A569" s="156" t="s">
        <v>629</v>
      </c>
      <c r="B569" s="227" t="s">
        <v>752</v>
      </c>
      <c r="C569" s="226" t="s">
        <v>684</v>
      </c>
      <c r="D569" s="701" t="s">
        <v>738</v>
      </c>
      <c r="E569" s="701"/>
      <c r="F569" s="701"/>
      <c r="G569" s="226" t="s">
        <v>26</v>
      </c>
      <c r="H569" s="226">
        <v>2</v>
      </c>
      <c r="I569" s="226">
        <v>98.31</v>
      </c>
      <c r="J569" s="226">
        <v>0.216</v>
      </c>
      <c r="L569" s="233">
        <v>42.469920000000002</v>
      </c>
    </row>
    <row r="570" spans="1:12" ht="11.25" customHeight="1" x14ac:dyDescent="0.3">
      <c r="A570" s="156" t="s">
        <v>631</v>
      </c>
      <c r="B570" s="227" t="s">
        <v>759</v>
      </c>
      <c r="C570" s="226" t="s">
        <v>684</v>
      </c>
      <c r="D570" s="701" t="s">
        <v>738</v>
      </c>
      <c r="E570" s="701"/>
      <c r="F570" s="701"/>
      <c r="G570" s="226" t="s">
        <v>26</v>
      </c>
      <c r="H570" s="226">
        <v>2</v>
      </c>
      <c r="I570" s="226">
        <v>101.73</v>
      </c>
      <c r="J570" s="226">
        <v>0.216</v>
      </c>
      <c r="L570" s="233">
        <v>43.947360000000003</v>
      </c>
    </row>
    <row r="571" spans="1:12" ht="11.25" customHeight="1" x14ac:dyDescent="0.3">
      <c r="A571" s="156" t="s">
        <v>633</v>
      </c>
      <c r="B571" s="227" t="s">
        <v>760</v>
      </c>
      <c r="C571" s="226" t="s">
        <v>684</v>
      </c>
      <c r="D571" s="701" t="s">
        <v>738</v>
      </c>
      <c r="E571" s="701"/>
      <c r="F571" s="701"/>
      <c r="G571" s="226" t="s">
        <v>26</v>
      </c>
      <c r="H571" s="226">
        <v>2</v>
      </c>
      <c r="I571" s="226">
        <v>101.04</v>
      </c>
      <c r="J571" s="226">
        <v>0.216</v>
      </c>
      <c r="L571" s="233">
        <v>43.649280000000005</v>
      </c>
    </row>
    <row r="572" spans="1:12" ht="11.25" customHeight="1" x14ac:dyDescent="0.3">
      <c r="A572" s="156" t="s">
        <v>639</v>
      </c>
      <c r="B572" s="227" t="s">
        <v>792</v>
      </c>
      <c r="C572" s="226" t="s">
        <v>684</v>
      </c>
      <c r="D572" s="701" t="s">
        <v>738</v>
      </c>
      <c r="E572" s="701"/>
      <c r="F572" s="701"/>
      <c r="G572" s="226" t="s">
        <v>26</v>
      </c>
      <c r="H572" s="226">
        <v>2</v>
      </c>
      <c r="I572" s="226">
        <v>111.7</v>
      </c>
      <c r="J572" s="226">
        <v>0.216</v>
      </c>
      <c r="L572" s="233">
        <v>48.254400000000004</v>
      </c>
    </row>
    <row r="573" spans="1:12" ht="11.25" customHeight="1" x14ac:dyDescent="0.3">
      <c r="A573" s="156" t="s">
        <v>641</v>
      </c>
      <c r="B573" s="227" t="s">
        <v>778</v>
      </c>
      <c r="C573" s="226" t="s">
        <v>684</v>
      </c>
      <c r="D573" s="701" t="s">
        <v>738</v>
      </c>
      <c r="E573" s="701"/>
      <c r="F573" s="701"/>
      <c r="G573" s="226" t="s">
        <v>26</v>
      </c>
      <c r="H573" s="226">
        <v>2</v>
      </c>
      <c r="I573" s="226">
        <v>108.14</v>
      </c>
      <c r="J573" s="226">
        <v>0.216</v>
      </c>
      <c r="L573" s="233">
        <v>46.716479999999997</v>
      </c>
    </row>
    <row r="574" spans="1:12" ht="11.25" customHeight="1" x14ac:dyDescent="0.3">
      <c r="A574" s="156" t="s">
        <v>643</v>
      </c>
      <c r="B574" s="227" t="s">
        <v>779</v>
      </c>
      <c r="C574" s="226" t="s">
        <v>684</v>
      </c>
      <c r="D574" s="701" t="s">
        <v>738</v>
      </c>
      <c r="E574" s="701"/>
      <c r="F574" s="701"/>
      <c r="G574" s="226" t="s">
        <v>26</v>
      </c>
      <c r="H574" s="226">
        <v>2</v>
      </c>
      <c r="I574" s="226">
        <v>99.02</v>
      </c>
      <c r="J574" s="226">
        <v>0.216</v>
      </c>
      <c r="L574" s="233">
        <v>42.77664</v>
      </c>
    </row>
    <row r="575" spans="1:12" ht="11.25" customHeight="1" x14ac:dyDescent="0.3">
      <c r="A575" s="156" t="s">
        <v>645</v>
      </c>
      <c r="B575" s="227" t="s">
        <v>780</v>
      </c>
      <c r="C575" s="226" t="s">
        <v>684</v>
      </c>
      <c r="D575" s="701" t="s">
        <v>738</v>
      </c>
      <c r="E575" s="701"/>
      <c r="F575" s="701"/>
      <c r="G575" s="226" t="s">
        <v>26</v>
      </c>
      <c r="H575" s="226">
        <v>2</v>
      </c>
      <c r="I575" s="226">
        <v>101.32</v>
      </c>
      <c r="J575" s="226">
        <v>0.216</v>
      </c>
      <c r="L575" s="233">
        <v>43.770239999999994</v>
      </c>
    </row>
    <row r="576" spans="1:12" ht="11.25" customHeight="1" x14ac:dyDescent="0.3">
      <c r="A576" s="156" t="s">
        <v>647</v>
      </c>
      <c r="B576" s="227" t="s">
        <v>781</v>
      </c>
      <c r="C576" s="226" t="s">
        <v>684</v>
      </c>
      <c r="D576" s="701" t="s">
        <v>738</v>
      </c>
      <c r="E576" s="701"/>
      <c r="F576" s="701"/>
      <c r="G576" s="226" t="s">
        <v>26</v>
      </c>
      <c r="H576" s="226">
        <v>2</v>
      </c>
      <c r="I576" s="226">
        <v>99.2</v>
      </c>
      <c r="J576" s="226">
        <v>0.216</v>
      </c>
      <c r="L576" s="233">
        <v>42.854399999999998</v>
      </c>
    </row>
    <row r="577" spans="1:12" ht="11.25" customHeight="1" x14ac:dyDescent="0.3">
      <c r="A577" s="156" t="s">
        <v>650</v>
      </c>
      <c r="B577" s="227" t="s">
        <v>793</v>
      </c>
      <c r="C577" s="226" t="s">
        <v>684</v>
      </c>
      <c r="D577" s="701" t="s">
        <v>738</v>
      </c>
      <c r="E577" s="701"/>
      <c r="F577" s="701"/>
      <c r="G577" s="226" t="s">
        <v>26</v>
      </c>
      <c r="H577" s="226">
        <v>2</v>
      </c>
      <c r="I577" s="226">
        <v>100.5</v>
      </c>
      <c r="J577" s="226">
        <v>0.216</v>
      </c>
      <c r="L577" s="233">
        <v>43.415999999999997</v>
      </c>
    </row>
    <row r="578" spans="1:12" ht="11.25" customHeight="1" x14ac:dyDescent="0.3">
      <c r="A578" s="156" t="s">
        <v>652</v>
      </c>
      <c r="B578" s="227" t="s">
        <v>794</v>
      </c>
      <c r="C578" s="226" t="s">
        <v>684</v>
      </c>
      <c r="D578" s="701" t="s">
        <v>738</v>
      </c>
      <c r="E578" s="701"/>
      <c r="F578" s="701"/>
      <c r="G578" s="226" t="s">
        <v>26</v>
      </c>
      <c r="H578" s="226">
        <v>2</v>
      </c>
      <c r="I578" s="226">
        <v>110.91</v>
      </c>
      <c r="J578" s="226">
        <v>0.216</v>
      </c>
      <c r="L578" s="233">
        <v>47.913119999999999</v>
      </c>
    </row>
    <row r="579" spans="1:12" ht="11.25" customHeight="1" x14ac:dyDescent="0.3">
      <c r="A579" s="156" t="s">
        <v>654</v>
      </c>
      <c r="B579" s="227" t="s">
        <v>795</v>
      </c>
      <c r="C579" s="226" t="s">
        <v>684</v>
      </c>
      <c r="D579" s="701" t="s">
        <v>738</v>
      </c>
      <c r="E579" s="701"/>
      <c r="F579" s="701"/>
      <c r="G579" s="226" t="s">
        <v>26</v>
      </c>
      <c r="H579" s="226">
        <v>2</v>
      </c>
      <c r="I579" s="226">
        <v>100.12</v>
      </c>
      <c r="J579" s="226">
        <v>0.216</v>
      </c>
      <c r="L579" s="233">
        <v>43.251840000000001</v>
      </c>
    </row>
    <row r="580" spans="1:12" ht="11.25" customHeight="1" x14ac:dyDescent="0.3">
      <c r="A580" s="156" t="s">
        <v>656</v>
      </c>
      <c r="B580" s="227" t="s">
        <v>796</v>
      </c>
      <c r="C580" s="226" t="s">
        <v>684</v>
      </c>
      <c r="D580" s="701" t="s">
        <v>738</v>
      </c>
      <c r="E580" s="701"/>
      <c r="F580" s="701"/>
      <c r="G580" s="226" t="s">
        <v>26</v>
      </c>
      <c r="H580" s="226">
        <v>2</v>
      </c>
      <c r="I580" s="226">
        <v>102.38</v>
      </c>
      <c r="J580" s="226">
        <v>0.216</v>
      </c>
      <c r="L580" s="233">
        <v>44.228159999999995</v>
      </c>
    </row>
    <row r="581" spans="1:12" ht="11.25" customHeight="1" x14ac:dyDescent="0.3">
      <c r="A581" s="156" t="s">
        <v>658</v>
      </c>
      <c r="B581" s="227" t="s">
        <v>797</v>
      </c>
      <c r="C581" s="226" t="s">
        <v>684</v>
      </c>
      <c r="D581" s="701" t="s">
        <v>738</v>
      </c>
      <c r="E581" s="701"/>
      <c r="F581" s="701"/>
      <c r="G581" s="226" t="s">
        <v>26</v>
      </c>
      <c r="H581" s="226">
        <v>2</v>
      </c>
      <c r="I581" s="226">
        <v>101.4</v>
      </c>
      <c r="J581" s="226">
        <v>0.216</v>
      </c>
      <c r="L581" s="233">
        <v>43.8048</v>
      </c>
    </row>
    <row r="582" spans="1:12" ht="11.25" customHeight="1" x14ac:dyDescent="0.3">
      <c r="A582" s="156" t="s">
        <v>661</v>
      </c>
      <c r="B582" s="227" t="s">
        <v>800</v>
      </c>
      <c r="C582" s="226" t="s">
        <v>684</v>
      </c>
      <c r="D582" s="701" t="s">
        <v>738</v>
      </c>
      <c r="E582" s="701"/>
      <c r="F582" s="701"/>
      <c r="G582" s="226" t="s">
        <v>26</v>
      </c>
      <c r="H582" s="226">
        <v>2</v>
      </c>
      <c r="I582" s="226">
        <v>99.98</v>
      </c>
      <c r="J582" s="226">
        <v>0.216</v>
      </c>
      <c r="L582" s="233">
        <v>43.191360000000003</v>
      </c>
    </row>
    <row r="583" spans="1:12" ht="11.25" customHeight="1" x14ac:dyDescent="0.3">
      <c r="A583" s="156" t="s">
        <v>687</v>
      </c>
      <c r="B583" s="227" t="s">
        <v>801</v>
      </c>
      <c r="C583" s="226" t="s">
        <v>684</v>
      </c>
      <c r="D583" s="701" t="s">
        <v>738</v>
      </c>
      <c r="E583" s="701"/>
      <c r="F583" s="701"/>
      <c r="G583" s="226" t="s">
        <v>26</v>
      </c>
      <c r="H583" s="226">
        <v>2</v>
      </c>
      <c r="I583" s="226">
        <v>102.15</v>
      </c>
      <c r="J583" s="226">
        <v>0.216</v>
      </c>
      <c r="L583" s="233">
        <v>44.128800000000005</v>
      </c>
    </row>
    <row r="584" spans="1:12" ht="11.25" customHeight="1" x14ac:dyDescent="0.3">
      <c r="A584" s="156" t="s">
        <v>689</v>
      </c>
      <c r="B584" s="227" t="s">
        <v>802</v>
      </c>
      <c r="C584" s="226" t="s">
        <v>684</v>
      </c>
      <c r="D584" s="701" t="s">
        <v>738</v>
      </c>
      <c r="E584" s="701"/>
      <c r="F584" s="701"/>
      <c r="G584" s="226" t="s">
        <v>26</v>
      </c>
      <c r="H584" s="226">
        <v>2</v>
      </c>
      <c r="I584" s="226">
        <v>100.63</v>
      </c>
      <c r="J584" s="226">
        <v>0.216</v>
      </c>
      <c r="L584" s="233">
        <v>43.472159999999995</v>
      </c>
    </row>
    <row r="585" spans="1:12" ht="11.25" customHeight="1" x14ac:dyDescent="0.3">
      <c r="A585" s="156" t="s">
        <v>692</v>
      </c>
      <c r="B585" s="227" t="s">
        <v>805</v>
      </c>
      <c r="C585" s="226" t="s">
        <v>684</v>
      </c>
      <c r="D585" s="701" t="s">
        <v>738</v>
      </c>
      <c r="E585" s="701"/>
      <c r="F585" s="701"/>
      <c r="G585" s="226" t="s">
        <v>26</v>
      </c>
      <c r="H585" s="226">
        <v>2</v>
      </c>
      <c r="I585" s="226">
        <v>102.03</v>
      </c>
      <c r="J585" s="226">
        <v>0.216</v>
      </c>
      <c r="L585" s="233">
        <v>44.07696</v>
      </c>
    </row>
    <row r="586" spans="1:12" ht="11.25" customHeight="1" x14ac:dyDescent="0.3">
      <c r="A586" s="156" t="s">
        <v>694</v>
      </c>
      <c r="B586" s="227" t="s">
        <v>806</v>
      </c>
      <c r="C586" s="226" t="s">
        <v>684</v>
      </c>
      <c r="D586" s="701" t="s">
        <v>738</v>
      </c>
      <c r="E586" s="701"/>
      <c r="F586" s="701"/>
      <c r="G586" s="226" t="s">
        <v>26</v>
      </c>
      <c r="H586" s="226">
        <v>2</v>
      </c>
      <c r="I586" s="226">
        <v>98.36</v>
      </c>
      <c r="J586" s="226">
        <v>0.216</v>
      </c>
      <c r="L586" s="233">
        <v>42.491520000000001</v>
      </c>
    </row>
    <row r="587" spans="1:12" ht="11.25" customHeight="1" x14ac:dyDescent="0.3">
      <c r="A587" s="156" t="s">
        <v>696</v>
      </c>
      <c r="B587" s="227" t="s">
        <v>807</v>
      </c>
      <c r="C587" s="226" t="s">
        <v>684</v>
      </c>
      <c r="D587" s="701" t="s">
        <v>738</v>
      </c>
      <c r="E587" s="701"/>
      <c r="F587" s="701"/>
      <c r="G587" s="226" t="s">
        <v>26</v>
      </c>
      <c r="H587" s="226">
        <v>2</v>
      </c>
      <c r="I587" s="226">
        <v>100.79</v>
      </c>
      <c r="J587" s="226">
        <v>0.216</v>
      </c>
      <c r="L587" s="233">
        <v>43.54128</v>
      </c>
    </row>
    <row r="588" spans="1:12" ht="11.25" customHeight="1" x14ac:dyDescent="0.3">
      <c r="A588" s="156" t="s">
        <v>700</v>
      </c>
      <c r="B588" s="227" t="s">
        <v>809</v>
      </c>
      <c r="C588" s="226" t="s">
        <v>684</v>
      </c>
      <c r="D588" s="701" t="s">
        <v>738</v>
      </c>
      <c r="E588" s="701"/>
      <c r="F588" s="701"/>
      <c r="G588" s="226" t="s">
        <v>26</v>
      </c>
      <c r="H588" s="226">
        <v>2</v>
      </c>
      <c r="I588" s="226">
        <v>105.65</v>
      </c>
      <c r="J588" s="226">
        <v>0.216</v>
      </c>
      <c r="L588" s="233">
        <v>45.640799999999999</v>
      </c>
    </row>
    <row r="589" spans="1:12" ht="11.25" customHeight="1" x14ac:dyDescent="0.3">
      <c r="A589" s="156" t="s">
        <v>702</v>
      </c>
      <c r="B589" s="227" t="s">
        <v>810</v>
      </c>
      <c r="C589" s="226" t="s">
        <v>684</v>
      </c>
      <c r="D589" s="701" t="s">
        <v>738</v>
      </c>
      <c r="E589" s="701"/>
      <c r="F589" s="701"/>
      <c r="G589" s="226" t="s">
        <v>26</v>
      </c>
      <c r="H589" s="226">
        <v>2</v>
      </c>
      <c r="I589" s="226">
        <v>71.7</v>
      </c>
      <c r="J589" s="226">
        <v>0.216</v>
      </c>
      <c r="L589" s="233">
        <v>30.974399999999999</v>
      </c>
    </row>
    <row r="590" spans="1:12" ht="11.25" customHeight="1" x14ac:dyDescent="0.3">
      <c r="A590" s="156" t="s">
        <v>704</v>
      </c>
      <c r="B590" s="227" t="s">
        <v>811</v>
      </c>
      <c r="C590" s="226" t="s">
        <v>684</v>
      </c>
      <c r="D590" s="701" t="s">
        <v>738</v>
      </c>
      <c r="E590" s="701"/>
      <c r="F590" s="701"/>
      <c r="G590" s="226" t="s">
        <v>26</v>
      </c>
      <c r="H590" s="226">
        <v>2</v>
      </c>
      <c r="I590" s="226">
        <v>101.82</v>
      </c>
      <c r="J590" s="226">
        <v>0.216</v>
      </c>
      <c r="L590" s="233">
        <v>43.986239999999995</v>
      </c>
    </row>
    <row r="591" spans="1:12" ht="11.25" customHeight="1" x14ac:dyDescent="0.3">
      <c r="A591" s="156" t="s">
        <v>706</v>
      </c>
      <c r="B591" s="227" t="s">
        <v>812</v>
      </c>
      <c r="C591" s="226" t="s">
        <v>684</v>
      </c>
      <c r="D591" s="701" t="s">
        <v>738</v>
      </c>
      <c r="E591" s="701"/>
      <c r="F591" s="701"/>
      <c r="G591" s="226" t="s">
        <v>26</v>
      </c>
      <c r="H591" s="226">
        <v>2</v>
      </c>
      <c r="I591" s="226">
        <v>99.53</v>
      </c>
      <c r="J591" s="226">
        <v>0.216</v>
      </c>
      <c r="L591" s="233">
        <v>42.996960000000001</v>
      </c>
    </row>
    <row r="592" spans="1:12" ht="11.25" customHeight="1" x14ac:dyDescent="0.3">
      <c r="A592" s="156" t="s">
        <v>731</v>
      </c>
      <c r="B592" s="227" t="s">
        <v>813</v>
      </c>
      <c r="C592" s="226" t="s">
        <v>684</v>
      </c>
      <c r="D592" s="701" t="s">
        <v>738</v>
      </c>
      <c r="E592" s="701"/>
      <c r="F592" s="701"/>
      <c r="G592" s="226" t="s">
        <v>26</v>
      </c>
      <c r="H592" s="226">
        <v>2</v>
      </c>
      <c r="I592" s="226">
        <v>103.29</v>
      </c>
      <c r="J592" s="226">
        <v>0.216</v>
      </c>
      <c r="L592" s="233">
        <v>44.621279999999999</v>
      </c>
    </row>
    <row r="593" spans="1:12" ht="11.25" customHeight="1" x14ac:dyDescent="0.3">
      <c r="A593" s="156" t="s">
        <v>741</v>
      </c>
      <c r="B593" s="227" t="s">
        <v>815</v>
      </c>
      <c r="C593" s="226" t="s">
        <v>684</v>
      </c>
      <c r="D593" s="701" t="s">
        <v>738</v>
      </c>
      <c r="E593" s="701"/>
      <c r="F593" s="701"/>
      <c r="G593" s="226" t="s">
        <v>26</v>
      </c>
      <c r="H593" s="226">
        <v>2</v>
      </c>
      <c r="I593" s="226">
        <v>50.06</v>
      </c>
      <c r="J593" s="226">
        <v>0.216</v>
      </c>
      <c r="L593" s="233">
        <v>21.625920000000001</v>
      </c>
    </row>
    <row r="594" spans="1:12" ht="11.25" customHeight="1" x14ac:dyDescent="0.3">
      <c r="A594" s="156" t="s">
        <v>743</v>
      </c>
      <c r="B594" s="227" t="s">
        <v>816</v>
      </c>
      <c r="C594" s="226" t="s">
        <v>684</v>
      </c>
      <c r="D594" s="701" t="s">
        <v>738</v>
      </c>
      <c r="E594" s="701"/>
      <c r="F594" s="701"/>
      <c r="G594" s="226" t="s">
        <v>26</v>
      </c>
      <c r="H594" s="226">
        <v>2</v>
      </c>
      <c r="I594" s="226">
        <v>40.24</v>
      </c>
      <c r="J594" s="226">
        <v>0.216</v>
      </c>
      <c r="L594" s="233">
        <v>17.383680000000002</v>
      </c>
    </row>
    <row r="595" spans="1:12" ht="11.25" customHeight="1" x14ac:dyDescent="0.3">
      <c r="A595" s="156" t="s">
        <v>745</v>
      </c>
      <c r="B595" s="227" t="s">
        <v>817</v>
      </c>
      <c r="C595" s="226" t="s">
        <v>684</v>
      </c>
      <c r="D595" s="701" t="s">
        <v>738</v>
      </c>
      <c r="E595" s="701"/>
      <c r="F595" s="701"/>
      <c r="G595" s="226" t="s">
        <v>26</v>
      </c>
      <c r="H595" s="226">
        <v>2</v>
      </c>
      <c r="I595" s="226">
        <v>46.44</v>
      </c>
      <c r="J595" s="226">
        <v>0.216</v>
      </c>
      <c r="L595" s="233">
        <v>20.062079999999998</v>
      </c>
    </row>
    <row r="596" spans="1:12" ht="11.25" customHeight="1" x14ac:dyDescent="0.3">
      <c r="A596" s="156" t="s">
        <v>747</v>
      </c>
      <c r="B596" s="227" t="s">
        <v>818</v>
      </c>
      <c r="C596" s="226" t="s">
        <v>684</v>
      </c>
      <c r="D596" s="701" t="s">
        <v>738</v>
      </c>
      <c r="E596" s="701"/>
      <c r="F596" s="701"/>
      <c r="G596" s="226" t="s">
        <v>26</v>
      </c>
      <c r="H596" s="226">
        <v>2</v>
      </c>
      <c r="I596" s="226">
        <v>40.380000000000003</v>
      </c>
      <c r="J596" s="226">
        <v>0.216</v>
      </c>
      <c r="L596" s="233">
        <v>17.44416</v>
      </c>
    </row>
    <row r="597" spans="1:12" ht="11.25" customHeight="1" x14ac:dyDescent="0.3">
      <c r="A597" s="156" t="s">
        <v>749</v>
      </c>
      <c r="B597" s="227" t="s">
        <v>819</v>
      </c>
      <c r="C597" s="226" t="s">
        <v>684</v>
      </c>
      <c r="D597" s="701" t="s">
        <v>738</v>
      </c>
      <c r="E597" s="701"/>
      <c r="F597" s="701"/>
      <c r="G597" s="226" t="s">
        <v>26</v>
      </c>
      <c r="H597" s="226">
        <v>2</v>
      </c>
      <c r="I597" s="226">
        <v>51.63</v>
      </c>
      <c r="J597" s="226">
        <v>0.216</v>
      </c>
      <c r="L597" s="233">
        <v>22.30416</v>
      </c>
    </row>
    <row r="598" spans="1:12" ht="11.25" customHeight="1" x14ac:dyDescent="0.3">
      <c r="A598" s="156" t="s">
        <v>753</v>
      </c>
      <c r="B598" s="227" t="s">
        <v>821</v>
      </c>
      <c r="C598" s="226" t="s">
        <v>684</v>
      </c>
      <c r="D598" s="701" t="s">
        <v>738</v>
      </c>
      <c r="E598" s="701"/>
      <c r="F598" s="701"/>
      <c r="G598" s="226" t="s">
        <v>26</v>
      </c>
      <c r="H598" s="226">
        <v>2</v>
      </c>
      <c r="I598" s="226">
        <v>28.89</v>
      </c>
      <c r="J598" s="226">
        <v>0.216</v>
      </c>
      <c r="L598" s="233">
        <v>12.48048</v>
      </c>
    </row>
    <row r="599" spans="1:12" ht="11.25" customHeight="1" x14ac:dyDescent="0.3">
      <c r="A599" s="156" t="s">
        <v>756</v>
      </c>
      <c r="B599" s="227" t="s">
        <v>822</v>
      </c>
      <c r="C599" s="226" t="s">
        <v>684</v>
      </c>
      <c r="D599" s="701" t="s">
        <v>738</v>
      </c>
      <c r="E599" s="701"/>
      <c r="F599" s="701"/>
      <c r="G599" s="226" t="s">
        <v>26</v>
      </c>
      <c r="H599" s="226">
        <v>2</v>
      </c>
      <c r="I599" s="226">
        <v>39.590000000000003</v>
      </c>
      <c r="J599" s="226">
        <v>0.216</v>
      </c>
      <c r="L599" s="233">
        <v>17.102880000000003</v>
      </c>
    </row>
    <row r="600" spans="1:12" ht="11.25" customHeight="1" x14ac:dyDescent="0.3">
      <c r="A600" s="156" t="s">
        <v>762</v>
      </c>
      <c r="B600" s="227" t="s">
        <v>823</v>
      </c>
      <c r="C600" s="226" t="s">
        <v>684</v>
      </c>
      <c r="D600" s="701" t="s">
        <v>738</v>
      </c>
      <c r="E600" s="701"/>
      <c r="F600" s="701"/>
      <c r="G600" s="226" t="s">
        <v>26</v>
      </c>
      <c r="H600" s="226">
        <v>2</v>
      </c>
      <c r="I600" s="226">
        <v>41.77</v>
      </c>
      <c r="J600" s="226">
        <v>0.216</v>
      </c>
      <c r="L600" s="233">
        <v>18.044640000000001</v>
      </c>
    </row>
    <row r="601" spans="1:12" ht="11.25" customHeight="1" x14ac:dyDescent="0.3">
      <c r="A601" s="156" t="s">
        <v>764</v>
      </c>
      <c r="B601" s="227" t="s">
        <v>824</v>
      </c>
      <c r="C601" s="226" t="s">
        <v>684</v>
      </c>
      <c r="D601" s="701" t="s">
        <v>738</v>
      </c>
      <c r="E601" s="701"/>
      <c r="F601" s="701"/>
      <c r="G601" s="226" t="s">
        <v>26</v>
      </c>
      <c r="H601" s="226">
        <v>2</v>
      </c>
      <c r="I601" s="226">
        <v>42.25</v>
      </c>
      <c r="J601" s="226">
        <v>0.216</v>
      </c>
      <c r="L601" s="233">
        <v>18.251999999999999</v>
      </c>
    </row>
    <row r="602" spans="1:12" ht="11.25" customHeight="1" x14ac:dyDescent="0.3">
      <c r="A602" s="156" t="s">
        <v>766</v>
      </c>
      <c r="B602" s="227" t="s">
        <v>825</v>
      </c>
      <c r="C602" s="226" t="s">
        <v>684</v>
      </c>
      <c r="D602" s="701" t="s">
        <v>738</v>
      </c>
      <c r="E602" s="701"/>
      <c r="F602" s="701"/>
      <c r="G602" s="226" t="s">
        <v>26</v>
      </c>
      <c r="H602" s="226">
        <v>2</v>
      </c>
      <c r="I602" s="226">
        <v>41.33</v>
      </c>
      <c r="J602" s="226">
        <v>0.216</v>
      </c>
      <c r="L602" s="233">
        <v>17.854559999999999</v>
      </c>
    </row>
    <row r="603" spans="1:12" ht="11.25" customHeight="1" x14ac:dyDescent="0.3">
      <c r="A603" s="156" t="s">
        <v>768</v>
      </c>
      <c r="B603" s="227" t="s">
        <v>826</v>
      </c>
      <c r="C603" s="226" t="s">
        <v>684</v>
      </c>
      <c r="D603" s="701" t="s">
        <v>738</v>
      </c>
      <c r="E603" s="701"/>
      <c r="F603" s="701"/>
      <c r="G603" s="226" t="s">
        <v>26</v>
      </c>
      <c r="H603" s="226">
        <v>2</v>
      </c>
      <c r="I603" s="226">
        <v>54</v>
      </c>
      <c r="J603" s="226">
        <v>0.216</v>
      </c>
      <c r="L603" s="233">
        <v>23.327999999999999</v>
      </c>
    </row>
    <row r="604" spans="1:12" ht="11.25" customHeight="1" x14ac:dyDescent="0.3">
      <c r="A604" s="156" t="s">
        <v>771</v>
      </c>
      <c r="B604" s="227" t="s">
        <v>827</v>
      </c>
      <c r="C604" s="226" t="s">
        <v>684</v>
      </c>
      <c r="D604" s="701" t="s">
        <v>738</v>
      </c>
      <c r="E604" s="701"/>
      <c r="F604" s="701"/>
      <c r="G604" s="226" t="s">
        <v>26</v>
      </c>
      <c r="H604" s="226">
        <v>2</v>
      </c>
      <c r="I604" s="226">
        <v>32.44</v>
      </c>
      <c r="J604" s="226">
        <v>0.216</v>
      </c>
      <c r="L604" s="233">
        <v>14.014079999999998</v>
      </c>
    </row>
    <row r="605" spans="1:12" ht="11.25" customHeight="1" x14ac:dyDescent="0.3">
      <c r="A605" s="156" t="s">
        <v>773</v>
      </c>
      <c r="B605" s="227" t="s">
        <v>828</v>
      </c>
      <c r="C605" s="226" t="s">
        <v>684</v>
      </c>
      <c r="D605" s="701" t="s">
        <v>738</v>
      </c>
      <c r="E605" s="701"/>
      <c r="F605" s="701"/>
      <c r="G605" s="226" t="s">
        <v>26</v>
      </c>
      <c r="H605" s="226">
        <v>2</v>
      </c>
      <c r="I605" s="226">
        <v>40.58</v>
      </c>
      <c r="J605" s="226">
        <v>0.216</v>
      </c>
      <c r="L605" s="233">
        <v>17.530559999999998</v>
      </c>
    </row>
    <row r="606" spans="1:12" ht="11.25" customHeight="1" x14ac:dyDescent="0.3">
      <c r="A606" s="156" t="s">
        <v>775</v>
      </c>
      <c r="B606" s="227" t="s">
        <v>829</v>
      </c>
      <c r="C606" s="226" t="s">
        <v>684</v>
      </c>
      <c r="D606" s="701" t="s">
        <v>738</v>
      </c>
      <c r="E606" s="701"/>
      <c r="F606" s="701"/>
      <c r="G606" s="226" t="s">
        <v>26</v>
      </c>
      <c r="H606" s="226">
        <v>2</v>
      </c>
      <c r="I606" s="226">
        <v>42.43</v>
      </c>
      <c r="J606" s="226">
        <v>0.216</v>
      </c>
      <c r="L606" s="233">
        <v>18.32976</v>
      </c>
    </row>
    <row r="607" spans="1:12" ht="11.25" customHeight="1" x14ac:dyDescent="0.3">
      <c r="A607" s="156" t="s">
        <v>786</v>
      </c>
      <c r="B607" s="227" t="s">
        <v>830</v>
      </c>
      <c r="C607" s="226" t="s">
        <v>684</v>
      </c>
      <c r="D607" s="701" t="s">
        <v>738</v>
      </c>
      <c r="E607" s="701"/>
      <c r="F607" s="701"/>
      <c r="G607" s="226" t="s">
        <v>26</v>
      </c>
      <c r="H607" s="226">
        <v>2</v>
      </c>
      <c r="I607" s="226">
        <v>40.01</v>
      </c>
      <c r="J607" s="226">
        <v>0.216</v>
      </c>
      <c r="L607" s="233">
        <v>17.284319999999997</v>
      </c>
    </row>
    <row r="608" spans="1:12" ht="11.25" customHeight="1" x14ac:dyDescent="0.3">
      <c r="A608" s="156" t="s">
        <v>788</v>
      </c>
      <c r="B608" s="227" t="s">
        <v>831</v>
      </c>
      <c r="C608" s="226" t="s">
        <v>684</v>
      </c>
      <c r="D608" s="701" t="s">
        <v>738</v>
      </c>
      <c r="E608" s="701"/>
      <c r="F608" s="701"/>
      <c r="G608" s="226" t="s">
        <v>26</v>
      </c>
      <c r="H608" s="226">
        <v>2</v>
      </c>
      <c r="I608" s="226">
        <v>42.87</v>
      </c>
      <c r="J608" s="226">
        <v>0.216</v>
      </c>
      <c r="L608" s="233">
        <v>18.519839999999999</v>
      </c>
    </row>
    <row r="609" spans="1:12" ht="11.25" customHeight="1" x14ac:dyDescent="0.3">
      <c r="A609" s="156" t="s">
        <v>790</v>
      </c>
      <c r="B609" s="227" t="s">
        <v>832</v>
      </c>
      <c r="C609" s="226" t="s">
        <v>684</v>
      </c>
      <c r="D609" s="701" t="s">
        <v>738</v>
      </c>
      <c r="E609" s="701"/>
      <c r="F609" s="701"/>
      <c r="G609" s="226" t="s">
        <v>26</v>
      </c>
      <c r="H609" s="226">
        <v>2</v>
      </c>
      <c r="I609" s="226">
        <v>52.73</v>
      </c>
      <c r="J609" s="226">
        <v>0.216</v>
      </c>
      <c r="L609" s="233">
        <v>22.779359999999997</v>
      </c>
    </row>
    <row r="610" spans="1:12" ht="11.25" customHeight="1" x14ac:dyDescent="0.3">
      <c r="A610" s="156" t="s">
        <v>1161</v>
      </c>
      <c r="B610" s="227" t="s">
        <v>1126</v>
      </c>
      <c r="C610" s="226" t="s">
        <v>1195</v>
      </c>
      <c r="D610" s="701" t="s">
        <v>1160</v>
      </c>
      <c r="E610" s="701"/>
      <c r="F610" s="701"/>
      <c r="G610" s="226" t="s">
        <v>26</v>
      </c>
      <c r="H610" s="226">
        <v>2</v>
      </c>
      <c r="I610" s="226">
        <v>4</v>
      </c>
      <c r="J610" s="226">
        <v>0.48</v>
      </c>
      <c r="L610" s="233">
        <v>3.84</v>
      </c>
    </row>
    <row r="611" spans="1:12" ht="11.25" customHeight="1" x14ac:dyDescent="0.3">
      <c r="A611" s="156" t="s">
        <v>1162</v>
      </c>
      <c r="B611" s="227" t="s">
        <v>1127</v>
      </c>
      <c r="C611" s="226" t="s">
        <v>1195</v>
      </c>
      <c r="D611" s="701" t="s">
        <v>1160</v>
      </c>
      <c r="E611" s="701"/>
      <c r="F611" s="701"/>
      <c r="G611" s="226" t="s">
        <v>26</v>
      </c>
      <c r="H611" s="226">
        <v>2</v>
      </c>
      <c r="I611" s="226">
        <v>68.86</v>
      </c>
      <c r="J611" s="226">
        <v>0.48</v>
      </c>
      <c r="L611" s="233">
        <v>66.105599999999995</v>
      </c>
    </row>
    <row r="612" spans="1:12" ht="11.25" customHeight="1" x14ac:dyDescent="0.3">
      <c r="A612" s="156" t="s">
        <v>1163</v>
      </c>
      <c r="B612" s="227" t="s">
        <v>1128</v>
      </c>
      <c r="C612" s="226" t="s">
        <v>1195</v>
      </c>
      <c r="D612" s="701" t="s">
        <v>1160</v>
      </c>
      <c r="E612" s="701"/>
      <c r="F612" s="701"/>
      <c r="G612" s="226" t="s">
        <v>26</v>
      </c>
      <c r="H612" s="226">
        <v>2</v>
      </c>
      <c r="I612" s="226">
        <v>11.3</v>
      </c>
      <c r="J612" s="226">
        <v>0.48</v>
      </c>
      <c r="L612" s="233">
        <v>10.848000000000001</v>
      </c>
    </row>
    <row r="613" spans="1:12" ht="11.25" customHeight="1" x14ac:dyDescent="0.3">
      <c r="A613" s="156" t="s">
        <v>1164</v>
      </c>
      <c r="B613" s="227" t="s">
        <v>1129</v>
      </c>
      <c r="C613" s="226" t="s">
        <v>1195</v>
      </c>
      <c r="D613" s="701" t="s">
        <v>1160</v>
      </c>
      <c r="E613" s="701"/>
      <c r="F613" s="701"/>
      <c r="G613" s="226" t="s">
        <v>26</v>
      </c>
      <c r="H613" s="226">
        <v>2</v>
      </c>
      <c r="I613" s="226">
        <v>52.429999999999993</v>
      </c>
      <c r="J613" s="226">
        <v>0.48</v>
      </c>
      <c r="L613" s="233">
        <v>50.332799999999992</v>
      </c>
    </row>
    <row r="614" spans="1:12" ht="11.25" customHeight="1" x14ac:dyDescent="0.3">
      <c r="A614" s="156" t="s">
        <v>1165</v>
      </c>
      <c r="B614" s="227" t="s">
        <v>1130</v>
      </c>
      <c r="C614" s="226" t="s">
        <v>1195</v>
      </c>
      <c r="D614" s="701" t="s">
        <v>1160</v>
      </c>
      <c r="E614" s="701"/>
      <c r="F614" s="701"/>
      <c r="G614" s="226" t="s">
        <v>26</v>
      </c>
      <c r="H614" s="226">
        <v>2</v>
      </c>
      <c r="I614" s="226">
        <v>11.6</v>
      </c>
      <c r="J614" s="226">
        <v>0.48</v>
      </c>
      <c r="L614" s="233">
        <v>11.135999999999999</v>
      </c>
    </row>
    <row r="615" spans="1:12" ht="11.25" customHeight="1" x14ac:dyDescent="0.3">
      <c r="A615" s="156" t="s">
        <v>1166</v>
      </c>
      <c r="B615" s="227" t="s">
        <v>1131</v>
      </c>
      <c r="C615" s="226" t="s">
        <v>1195</v>
      </c>
      <c r="D615" s="701" t="s">
        <v>1160</v>
      </c>
      <c r="E615" s="701"/>
      <c r="F615" s="701"/>
      <c r="G615" s="226" t="s">
        <v>26</v>
      </c>
      <c r="H615" s="226">
        <v>2</v>
      </c>
      <c r="I615" s="226">
        <v>114.43999999999998</v>
      </c>
      <c r="J615" s="226">
        <v>0.48</v>
      </c>
      <c r="L615" s="233">
        <v>109.86239999999998</v>
      </c>
    </row>
    <row r="616" spans="1:12" ht="11.25" customHeight="1" x14ac:dyDescent="0.3">
      <c r="A616" s="156" t="s">
        <v>1167</v>
      </c>
      <c r="B616" s="227" t="s">
        <v>1132</v>
      </c>
      <c r="C616" s="226" t="s">
        <v>1195</v>
      </c>
      <c r="D616" s="701" t="s">
        <v>1160</v>
      </c>
      <c r="E616" s="701"/>
      <c r="F616" s="701"/>
      <c r="G616" s="226" t="s">
        <v>26</v>
      </c>
      <c r="H616" s="226">
        <v>2</v>
      </c>
      <c r="I616" s="226">
        <v>14.2</v>
      </c>
      <c r="J616" s="226">
        <v>0.48</v>
      </c>
      <c r="L616" s="233">
        <v>13.632</v>
      </c>
    </row>
    <row r="617" spans="1:12" ht="11.25" customHeight="1" x14ac:dyDescent="0.3">
      <c r="A617" s="156" t="s">
        <v>1168</v>
      </c>
      <c r="B617" s="227" t="s">
        <v>1133</v>
      </c>
      <c r="C617" s="226" t="s">
        <v>1195</v>
      </c>
      <c r="D617" s="701" t="s">
        <v>1160</v>
      </c>
      <c r="E617" s="701"/>
      <c r="F617" s="701"/>
      <c r="G617" s="226" t="s">
        <v>26</v>
      </c>
      <c r="H617" s="226">
        <v>2</v>
      </c>
      <c r="I617" s="226">
        <v>73.349999999999994</v>
      </c>
      <c r="J617" s="226">
        <v>0.48</v>
      </c>
      <c r="L617" s="233">
        <v>70.415999999999997</v>
      </c>
    </row>
    <row r="618" spans="1:12" ht="11.25" customHeight="1" x14ac:dyDescent="0.3">
      <c r="A618" s="156" t="s">
        <v>1169</v>
      </c>
      <c r="B618" s="227" t="s">
        <v>1134</v>
      </c>
      <c r="C618" s="226" t="s">
        <v>1195</v>
      </c>
      <c r="D618" s="701" t="s">
        <v>1160</v>
      </c>
      <c r="E618" s="701"/>
      <c r="F618" s="701"/>
      <c r="G618" s="226" t="s">
        <v>26</v>
      </c>
      <c r="H618" s="226">
        <v>2</v>
      </c>
      <c r="I618" s="226">
        <v>10.61</v>
      </c>
      <c r="J618" s="226">
        <v>0.48</v>
      </c>
      <c r="L618" s="233">
        <v>10.185599999999999</v>
      </c>
    </row>
    <row r="619" spans="1:12" ht="11.25" customHeight="1" x14ac:dyDescent="0.3">
      <c r="A619" s="156" t="s">
        <v>1170</v>
      </c>
      <c r="B619" s="227" t="s">
        <v>1135</v>
      </c>
      <c r="C619" s="226" t="s">
        <v>1195</v>
      </c>
      <c r="D619" s="701" t="s">
        <v>1160</v>
      </c>
      <c r="E619" s="701"/>
      <c r="F619" s="701"/>
      <c r="G619" s="226" t="s">
        <v>26</v>
      </c>
      <c r="H619" s="226">
        <v>2</v>
      </c>
      <c r="I619" s="226">
        <v>120.88</v>
      </c>
      <c r="J619" s="226">
        <v>0.48</v>
      </c>
      <c r="L619" s="233">
        <v>116.0448</v>
      </c>
    </row>
    <row r="620" spans="1:12" ht="11.25" customHeight="1" x14ac:dyDescent="0.3">
      <c r="A620" s="156" t="s">
        <v>1171</v>
      </c>
      <c r="B620" s="227" t="s">
        <v>1136</v>
      </c>
      <c r="C620" s="226" t="s">
        <v>1195</v>
      </c>
      <c r="D620" s="701" t="s">
        <v>1160</v>
      </c>
      <c r="E620" s="701"/>
      <c r="F620" s="701"/>
      <c r="G620" s="226" t="s">
        <v>26</v>
      </c>
      <c r="H620" s="226">
        <v>2</v>
      </c>
      <c r="I620" s="226">
        <v>11.64</v>
      </c>
      <c r="J620" s="226">
        <v>0.48</v>
      </c>
      <c r="L620" s="233">
        <v>11.1744</v>
      </c>
    </row>
    <row r="621" spans="1:12" ht="11.25" customHeight="1" x14ac:dyDescent="0.3">
      <c r="A621" s="156" t="s">
        <v>1172</v>
      </c>
      <c r="B621" s="227" t="s">
        <v>1137</v>
      </c>
      <c r="C621" s="226" t="s">
        <v>1195</v>
      </c>
      <c r="D621" s="701" t="s">
        <v>1160</v>
      </c>
      <c r="E621" s="701"/>
      <c r="F621" s="701"/>
      <c r="G621" s="226" t="s">
        <v>26</v>
      </c>
      <c r="H621" s="226">
        <v>2</v>
      </c>
      <c r="I621" s="226">
        <v>175.6</v>
      </c>
      <c r="J621" s="226">
        <v>0.48</v>
      </c>
      <c r="L621" s="233">
        <v>168.57599999999999</v>
      </c>
    </row>
    <row r="622" spans="1:12" ht="11.25" customHeight="1" x14ac:dyDescent="0.3">
      <c r="A622" s="156" t="s">
        <v>1173</v>
      </c>
      <c r="B622" s="227" t="s">
        <v>1138</v>
      </c>
      <c r="C622" s="226" t="s">
        <v>1195</v>
      </c>
      <c r="D622" s="701" t="s">
        <v>1160</v>
      </c>
      <c r="E622" s="701"/>
      <c r="F622" s="701"/>
      <c r="G622" s="226" t="s">
        <v>26</v>
      </c>
      <c r="H622" s="226">
        <v>2</v>
      </c>
      <c r="I622" s="226">
        <v>10.18</v>
      </c>
      <c r="J622" s="226">
        <v>0.48</v>
      </c>
      <c r="L622" s="233">
        <v>9.7728000000000002</v>
      </c>
    </row>
    <row r="623" spans="1:12" ht="11.25" customHeight="1" x14ac:dyDescent="0.3">
      <c r="A623" s="156" t="s">
        <v>1174</v>
      </c>
      <c r="B623" s="227" t="s">
        <v>1139</v>
      </c>
      <c r="C623" s="226" t="s">
        <v>1195</v>
      </c>
      <c r="D623" s="701" t="s">
        <v>1160</v>
      </c>
      <c r="E623" s="701"/>
      <c r="F623" s="701"/>
      <c r="G623" s="226" t="s">
        <v>26</v>
      </c>
      <c r="H623" s="226">
        <v>2</v>
      </c>
      <c r="I623" s="226">
        <v>32.76</v>
      </c>
      <c r="J623" s="226">
        <v>0.48</v>
      </c>
      <c r="L623" s="233">
        <v>31.449599999999997</v>
      </c>
    </row>
    <row r="624" spans="1:12" ht="11.25" customHeight="1" x14ac:dyDescent="0.3">
      <c r="A624" s="156" t="s">
        <v>1175</v>
      </c>
      <c r="B624" s="227" t="s">
        <v>1140</v>
      </c>
      <c r="C624" s="226" t="s">
        <v>1195</v>
      </c>
      <c r="D624" s="701" t="s">
        <v>1160</v>
      </c>
      <c r="E624" s="701"/>
      <c r="F624" s="701"/>
      <c r="G624" s="226" t="s">
        <v>26</v>
      </c>
      <c r="H624" s="226">
        <v>2</v>
      </c>
      <c r="I624" s="226">
        <v>10.050000000000001</v>
      </c>
      <c r="J624" s="226">
        <v>0.48</v>
      </c>
      <c r="L624" s="233">
        <v>9.6479999999999997</v>
      </c>
    </row>
    <row r="625" spans="1:12" ht="11.25" customHeight="1" x14ac:dyDescent="0.3">
      <c r="A625" s="156" t="s">
        <v>1176</v>
      </c>
      <c r="B625" s="227" t="s">
        <v>1141</v>
      </c>
      <c r="C625" s="226" t="s">
        <v>1195</v>
      </c>
      <c r="D625" s="701" t="s">
        <v>1160</v>
      </c>
      <c r="E625" s="701"/>
      <c r="F625" s="701"/>
      <c r="G625" s="226" t="s">
        <v>26</v>
      </c>
      <c r="H625" s="226">
        <v>2</v>
      </c>
      <c r="I625" s="226">
        <v>36.520000000000003</v>
      </c>
      <c r="J625" s="226">
        <v>0.48</v>
      </c>
      <c r="L625" s="233">
        <v>35.059200000000004</v>
      </c>
    </row>
    <row r="626" spans="1:12" ht="11.25" customHeight="1" x14ac:dyDescent="0.3">
      <c r="A626" s="156" t="s">
        <v>1177</v>
      </c>
      <c r="B626" s="227" t="s">
        <v>1142</v>
      </c>
      <c r="C626" s="226" t="s">
        <v>1195</v>
      </c>
      <c r="D626" s="701" t="s">
        <v>1160</v>
      </c>
      <c r="E626" s="701"/>
      <c r="F626" s="701"/>
      <c r="G626" s="226" t="s">
        <v>26</v>
      </c>
      <c r="H626" s="226">
        <v>2</v>
      </c>
      <c r="I626" s="226">
        <v>14.54</v>
      </c>
      <c r="J626" s="226">
        <v>0.48</v>
      </c>
      <c r="L626" s="233">
        <v>13.958399999999999</v>
      </c>
    </row>
    <row r="627" spans="1:12" ht="11.25" customHeight="1" x14ac:dyDescent="0.3">
      <c r="A627" s="156" t="s">
        <v>1178</v>
      </c>
      <c r="B627" s="227" t="s">
        <v>1143</v>
      </c>
      <c r="C627" s="226" t="s">
        <v>1195</v>
      </c>
      <c r="D627" s="701" t="s">
        <v>1160</v>
      </c>
      <c r="E627" s="701"/>
      <c r="F627" s="701"/>
      <c r="G627" s="226" t="s">
        <v>26</v>
      </c>
      <c r="H627" s="226">
        <v>2</v>
      </c>
      <c r="I627" s="226">
        <v>11.29</v>
      </c>
      <c r="J627" s="226">
        <v>0.48</v>
      </c>
      <c r="L627" s="233">
        <v>10.838399999999998</v>
      </c>
    </row>
    <row r="628" spans="1:12" ht="11.25" customHeight="1" x14ac:dyDescent="0.3">
      <c r="A628" s="156" t="s">
        <v>1179</v>
      </c>
      <c r="B628" s="227" t="s">
        <v>1144</v>
      </c>
      <c r="C628" s="226" t="s">
        <v>1195</v>
      </c>
      <c r="D628" s="701" t="s">
        <v>1160</v>
      </c>
      <c r="E628" s="701"/>
      <c r="F628" s="701"/>
      <c r="G628" s="226" t="s">
        <v>26</v>
      </c>
      <c r="H628" s="226">
        <v>2</v>
      </c>
      <c r="I628" s="226">
        <v>6</v>
      </c>
      <c r="J628" s="226">
        <v>0.48</v>
      </c>
      <c r="L628" s="233">
        <v>5.76</v>
      </c>
    </row>
    <row r="629" spans="1:12" ht="11.25" customHeight="1" x14ac:dyDescent="0.3">
      <c r="A629" s="156" t="s">
        <v>1180</v>
      </c>
      <c r="B629" s="227" t="s">
        <v>1145</v>
      </c>
      <c r="C629" s="226" t="s">
        <v>1195</v>
      </c>
      <c r="D629" s="701" t="s">
        <v>1160</v>
      </c>
      <c r="E629" s="701"/>
      <c r="F629" s="701"/>
      <c r="G629" s="226" t="s">
        <v>26</v>
      </c>
      <c r="H629" s="226">
        <v>2</v>
      </c>
      <c r="I629" s="226">
        <v>27.05</v>
      </c>
      <c r="J629" s="226">
        <v>0.48</v>
      </c>
      <c r="L629" s="233">
        <v>25.968</v>
      </c>
    </row>
    <row r="630" spans="1:12" ht="11.25" customHeight="1" x14ac:dyDescent="0.3">
      <c r="A630" s="156" t="s">
        <v>1181</v>
      </c>
      <c r="B630" s="227" t="s">
        <v>1146</v>
      </c>
      <c r="C630" s="226" t="s">
        <v>1195</v>
      </c>
      <c r="D630" s="701" t="s">
        <v>1160</v>
      </c>
      <c r="E630" s="701"/>
      <c r="F630" s="701"/>
      <c r="G630" s="226" t="s">
        <v>26</v>
      </c>
      <c r="H630" s="226">
        <v>2</v>
      </c>
      <c r="I630" s="226">
        <v>12.8</v>
      </c>
      <c r="J630" s="226">
        <v>0.48</v>
      </c>
      <c r="L630" s="233">
        <v>12.288</v>
      </c>
    </row>
    <row r="631" spans="1:12" ht="11.25" customHeight="1" x14ac:dyDescent="0.3">
      <c r="A631" s="156" t="s">
        <v>1182</v>
      </c>
      <c r="B631" s="227" t="s">
        <v>1147</v>
      </c>
      <c r="C631" s="226" t="s">
        <v>1195</v>
      </c>
      <c r="D631" s="701" t="s">
        <v>1160</v>
      </c>
      <c r="E631" s="701"/>
      <c r="F631" s="701"/>
      <c r="G631" s="226" t="s">
        <v>26</v>
      </c>
      <c r="H631" s="226">
        <v>2</v>
      </c>
      <c r="I631" s="226">
        <v>94.210000000000008</v>
      </c>
      <c r="J631" s="226">
        <v>0.48</v>
      </c>
      <c r="L631" s="233">
        <v>90.441600000000008</v>
      </c>
    </row>
    <row r="632" spans="1:12" ht="11.25" customHeight="1" x14ac:dyDescent="0.3">
      <c r="A632" s="156" t="s">
        <v>1183</v>
      </c>
      <c r="B632" s="227" t="s">
        <v>1148</v>
      </c>
      <c r="C632" s="226" t="s">
        <v>1195</v>
      </c>
      <c r="D632" s="701" t="s">
        <v>1160</v>
      </c>
      <c r="E632" s="701"/>
      <c r="F632" s="701"/>
      <c r="G632" s="226" t="s">
        <v>26</v>
      </c>
      <c r="H632" s="226">
        <v>2</v>
      </c>
      <c r="I632" s="226">
        <v>16.88</v>
      </c>
      <c r="J632" s="226">
        <v>0.48</v>
      </c>
      <c r="L632" s="233">
        <v>16.204799999999999</v>
      </c>
    </row>
    <row r="633" spans="1:12" ht="11.25" customHeight="1" x14ac:dyDescent="0.3">
      <c r="A633" s="156" t="s">
        <v>1184</v>
      </c>
      <c r="B633" s="227" t="s">
        <v>1149</v>
      </c>
      <c r="C633" s="226" t="s">
        <v>1195</v>
      </c>
      <c r="D633" s="701" t="s">
        <v>1160</v>
      </c>
      <c r="E633" s="701"/>
      <c r="F633" s="701"/>
      <c r="G633" s="226" t="s">
        <v>26</v>
      </c>
      <c r="H633" s="226">
        <v>2</v>
      </c>
      <c r="I633" s="226">
        <v>85.78</v>
      </c>
      <c r="J633" s="226">
        <v>0.48</v>
      </c>
      <c r="L633" s="233">
        <v>82.348799999999997</v>
      </c>
    </row>
    <row r="634" spans="1:12" ht="11.25" customHeight="1" x14ac:dyDescent="0.3">
      <c r="A634" s="156" t="s">
        <v>1185</v>
      </c>
      <c r="B634" s="227" t="s">
        <v>1150</v>
      </c>
      <c r="C634" s="226" t="s">
        <v>1195</v>
      </c>
      <c r="D634" s="701" t="s">
        <v>1160</v>
      </c>
      <c r="E634" s="701"/>
      <c r="F634" s="701"/>
      <c r="G634" s="226" t="s">
        <v>26</v>
      </c>
      <c r="H634" s="226">
        <v>2</v>
      </c>
      <c r="I634" s="226">
        <v>11</v>
      </c>
      <c r="J634" s="226">
        <v>0.48</v>
      </c>
      <c r="L634" s="233">
        <v>10.559999999999999</v>
      </c>
    </row>
    <row r="635" spans="1:12" ht="11.25" customHeight="1" x14ac:dyDescent="0.3">
      <c r="A635" s="156" t="s">
        <v>1186</v>
      </c>
      <c r="B635" s="227" t="s">
        <v>1151</v>
      </c>
      <c r="C635" s="226" t="s">
        <v>1195</v>
      </c>
      <c r="D635" s="701" t="s">
        <v>1160</v>
      </c>
      <c r="E635" s="701"/>
      <c r="F635" s="701"/>
      <c r="G635" s="226" t="s">
        <v>26</v>
      </c>
      <c r="H635" s="226">
        <v>2</v>
      </c>
      <c r="I635" s="226">
        <v>80.75</v>
      </c>
      <c r="J635" s="226">
        <v>0.48</v>
      </c>
      <c r="L635" s="233">
        <v>77.52</v>
      </c>
    </row>
    <row r="636" spans="1:12" ht="11.25" customHeight="1" x14ac:dyDescent="0.3">
      <c r="A636" s="156" t="s">
        <v>1187</v>
      </c>
      <c r="B636" s="227" t="s">
        <v>1152</v>
      </c>
      <c r="C636" s="226" t="s">
        <v>1195</v>
      </c>
      <c r="D636" s="701" t="s">
        <v>1160</v>
      </c>
      <c r="E636" s="701"/>
      <c r="F636" s="701"/>
      <c r="G636" s="226" t="s">
        <v>26</v>
      </c>
      <c r="H636" s="226">
        <v>2</v>
      </c>
      <c r="I636" s="226">
        <v>15.18</v>
      </c>
      <c r="J636" s="226">
        <v>0.48</v>
      </c>
      <c r="L636" s="233">
        <v>14.572799999999999</v>
      </c>
    </row>
    <row r="637" spans="1:12" ht="11.25" customHeight="1" x14ac:dyDescent="0.3">
      <c r="A637" s="156" t="s">
        <v>1188</v>
      </c>
      <c r="B637" s="227" t="s">
        <v>1153</v>
      </c>
      <c r="C637" s="226" t="s">
        <v>1195</v>
      </c>
      <c r="D637" s="701" t="s">
        <v>1160</v>
      </c>
      <c r="E637" s="701"/>
      <c r="F637" s="701"/>
      <c r="G637" s="226" t="s">
        <v>26</v>
      </c>
      <c r="H637" s="226">
        <v>2</v>
      </c>
      <c r="I637" s="226">
        <v>79.25</v>
      </c>
      <c r="J637" s="226">
        <v>0.48</v>
      </c>
      <c r="L637" s="233">
        <v>76.08</v>
      </c>
    </row>
    <row r="638" spans="1:12" ht="11.25" customHeight="1" x14ac:dyDescent="0.3">
      <c r="A638" s="156" t="s">
        <v>1189</v>
      </c>
      <c r="B638" s="227" t="s">
        <v>1154</v>
      </c>
      <c r="C638" s="226" t="s">
        <v>1195</v>
      </c>
      <c r="D638" s="701" t="s">
        <v>1160</v>
      </c>
      <c r="E638" s="701"/>
      <c r="F638" s="701"/>
      <c r="G638" s="226" t="s">
        <v>26</v>
      </c>
      <c r="H638" s="226">
        <v>2</v>
      </c>
      <c r="I638" s="226">
        <v>9.83</v>
      </c>
      <c r="J638" s="226">
        <v>0.48</v>
      </c>
      <c r="L638" s="233">
        <v>9.4367999999999999</v>
      </c>
    </row>
    <row r="639" spans="1:12" ht="11.25" customHeight="1" x14ac:dyDescent="0.3">
      <c r="A639" s="156" t="s">
        <v>1190</v>
      </c>
      <c r="B639" s="227" t="s">
        <v>1155</v>
      </c>
      <c r="C639" s="226" t="s">
        <v>1195</v>
      </c>
      <c r="D639" s="701" t="s">
        <v>1160</v>
      </c>
      <c r="E639" s="701"/>
      <c r="F639" s="701"/>
      <c r="G639" s="226" t="s">
        <v>26</v>
      </c>
      <c r="H639" s="226">
        <v>2</v>
      </c>
      <c r="I639" s="226">
        <v>78.599999999999994</v>
      </c>
      <c r="J639" s="226">
        <v>0.48</v>
      </c>
      <c r="L639" s="233">
        <v>75.455999999999989</v>
      </c>
    </row>
    <row r="640" spans="1:12" ht="11.25" customHeight="1" x14ac:dyDescent="0.3">
      <c r="A640" s="156" t="s">
        <v>1191</v>
      </c>
      <c r="B640" s="227" t="s">
        <v>1156</v>
      </c>
      <c r="C640" s="226" t="s">
        <v>1195</v>
      </c>
      <c r="D640" s="701" t="s">
        <v>1160</v>
      </c>
      <c r="E640" s="701"/>
      <c r="F640" s="701"/>
      <c r="G640" s="226" t="s">
        <v>26</v>
      </c>
      <c r="H640" s="226">
        <v>2</v>
      </c>
      <c r="I640" s="226">
        <v>10.64</v>
      </c>
      <c r="J640" s="226">
        <v>0.48</v>
      </c>
      <c r="L640" s="233">
        <v>10.214399999999999</v>
      </c>
    </row>
    <row r="641" spans="1:15" ht="11.25" customHeight="1" x14ac:dyDescent="0.3">
      <c r="A641" s="156" t="s">
        <v>1192</v>
      </c>
      <c r="B641" s="227" t="s">
        <v>1157</v>
      </c>
      <c r="C641" s="226" t="s">
        <v>1195</v>
      </c>
      <c r="D641" s="701" t="s">
        <v>1160</v>
      </c>
      <c r="E641" s="701"/>
      <c r="F641" s="701"/>
      <c r="G641" s="226" t="s">
        <v>26</v>
      </c>
      <c r="H641" s="226">
        <v>2</v>
      </c>
      <c r="I641" s="226">
        <v>79.599999999999994</v>
      </c>
      <c r="J641" s="226">
        <v>0.48</v>
      </c>
      <c r="L641" s="233">
        <v>76.415999999999997</v>
      </c>
    </row>
    <row r="642" spans="1:15" ht="11.25" customHeight="1" x14ac:dyDescent="0.3">
      <c r="A642" s="156" t="s">
        <v>1193</v>
      </c>
      <c r="B642" s="227" t="s">
        <v>1158</v>
      </c>
      <c r="C642" s="226" t="s">
        <v>1195</v>
      </c>
      <c r="D642" s="701" t="s">
        <v>1160</v>
      </c>
      <c r="E642" s="701"/>
      <c r="F642" s="701"/>
      <c r="G642" s="226" t="s">
        <v>26</v>
      </c>
      <c r="H642" s="226">
        <v>2</v>
      </c>
      <c r="I642" s="226">
        <v>13.37</v>
      </c>
      <c r="J642" s="226">
        <v>0.48</v>
      </c>
      <c r="L642" s="233">
        <v>12.835199999999999</v>
      </c>
    </row>
    <row r="643" spans="1:15" ht="12" customHeight="1" x14ac:dyDescent="0.3">
      <c r="J643" s="701" t="s">
        <v>203</v>
      </c>
      <c r="K643" s="701"/>
      <c r="L643" s="233">
        <v>4432.486560000003</v>
      </c>
      <c r="N643" s="227"/>
      <c r="O643" s="227"/>
    </row>
    <row r="644" spans="1:15" ht="12" customHeight="1" x14ac:dyDescent="0.3">
      <c r="N644" s="227"/>
      <c r="O644" s="227"/>
    </row>
    <row r="645" spans="1:15" ht="44.25" customHeight="1" x14ac:dyDescent="0.3">
      <c r="A645" s="226" t="s">
        <v>11</v>
      </c>
      <c r="B645" s="226" t="s">
        <v>209</v>
      </c>
      <c r="C645" s="701" t="s">
        <v>35</v>
      </c>
      <c r="D645" s="701"/>
      <c r="E645" s="702" t="s">
        <v>1251</v>
      </c>
      <c r="F645" s="702"/>
      <c r="G645" s="702"/>
      <c r="H645" s="702"/>
      <c r="I645" s="226" t="s">
        <v>105</v>
      </c>
      <c r="J645" s="226" t="s">
        <v>124</v>
      </c>
      <c r="K645" s="226" t="s">
        <v>13</v>
      </c>
      <c r="L645" s="231">
        <v>3180</v>
      </c>
      <c r="N645" s="227"/>
      <c r="O645" s="227"/>
    </row>
    <row r="646" spans="1:15" ht="12" customHeight="1" x14ac:dyDescent="0.3">
      <c r="N646" s="227"/>
      <c r="O646" s="227"/>
    </row>
    <row r="647" spans="1:15" ht="18.75" customHeight="1" x14ac:dyDescent="0.3">
      <c r="A647" s="234" t="s">
        <v>201</v>
      </c>
      <c r="B647" s="234" t="s">
        <v>200</v>
      </c>
      <c r="C647" s="235" t="s">
        <v>200</v>
      </c>
      <c r="D647" s="704" t="s">
        <v>193</v>
      </c>
      <c r="E647" s="704"/>
      <c r="F647" s="704"/>
      <c r="G647" s="234" t="s">
        <v>12</v>
      </c>
      <c r="H647" s="234" t="s">
        <v>194</v>
      </c>
      <c r="I647" s="234" t="s">
        <v>196</v>
      </c>
      <c r="J647" s="234" t="s">
        <v>195</v>
      </c>
      <c r="K647" s="234" t="s">
        <v>197</v>
      </c>
      <c r="L647" s="234" t="s">
        <v>198</v>
      </c>
      <c r="M647" s="100"/>
      <c r="N647" s="227"/>
      <c r="O647" s="227"/>
    </row>
    <row r="648" spans="1:15" ht="12" customHeight="1" x14ac:dyDescent="0.3">
      <c r="A648" s="226" t="s">
        <v>199</v>
      </c>
      <c r="B648" s="226" t="s">
        <v>408</v>
      </c>
      <c r="C648" s="226" t="s">
        <v>202</v>
      </c>
      <c r="D648" s="701" t="s">
        <v>409</v>
      </c>
      <c r="E648" s="701"/>
      <c r="F648" s="701"/>
      <c r="G648" s="226" t="s">
        <v>124</v>
      </c>
      <c r="H648" s="226">
        <v>1</v>
      </c>
      <c r="I648" s="226">
        <v>1797</v>
      </c>
      <c r="J648" s="226">
        <v>0.5</v>
      </c>
      <c r="K648" s="226">
        <v>0.7</v>
      </c>
      <c r="L648" s="226">
        <v>628.94999999999993</v>
      </c>
      <c r="N648" s="227"/>
      <c r="O648" s="227"/>
    </row>
    <row r="649" spans="1:15" ht="12" customHeight="1" x14ac:dyDescent="0.3">
      <c r="A649" s="226" t="s">
        <v>199</v>
      </c>
      <c r="B649" s="226" t="s">
        <v>408</v>
      </c>
      <c r="C649" s="226" t="s">
        <v>202</v>
      </c>
      <c r="D649" s="701" t="s">
        <v>459</v>
      </c>
      <c r="E649" s="701"/>
      <c r="F649" s="701"/>
      <c r="G649" s="226" t="s">
        <v>124</v>
      </c>
      <c r="H649" s="226">
        <v>1</v>
      </c>
      <c r="I649" s="226">
        <v>1428.02</v>
      </c>
      <c r="J649" s="226">
        <v>0.6</v>
      </c>
      <c r="K649" s="226">
        <v>0.9</v>
      </c>
      <c r="L649" s="226">
        <v>771.13080000000002</v>
      </c>
      <c r="N649" s="227"/>
      <c r="O649" s="227"/>
    </row>
    <row r="650" spans="1:15" ht="12" customHeight="1" x14ac:dyDescent="0.3">
      <c r="A650" s="226" t="s">
        <v>199</v>
      </c>
      <c r="B650" s="226" t="s">
        <v>408</v>
      </c>
      <c r="C650" s="226" t="s">
        <v>202</v>
      </c>
      <c r="D650" s="701" t="s">
        <v>873</v>
      </c>
      <c r="E650" s="701"/>
      <c r="F650" s="701"/>
      <c r="G650" s="226" t="s">
        <v>124</v>
      </c>
      <c r="H650" s="226">
        <v>1</v>
      </c>
      <c r="I650" s="226">
        <v>1228.6500000000001</v>
      </c>
      <c r="J650" s="226">
        <v>0.6</v>
      </c>
      <c r="K650" s="226">
        <v>0.9</v>
      </c>
      <c r="L650" s="226">
        <v>663.47100000000012</v>
      </c>
      <c r="N650" s="227"/>
      <c r="O650" s="227"/>
    </row>
    <row r="651" spans="1:15" ht="12" customHeight="1" x14ac:dyDescent="0.3">
      <c r="A651" s="226" t="s">
        <v>199</v>
      </c>
      <c r="B651" s="226" t="s">
        <v>408</v>
      </c>
      <c r="C651" s="226" t="s">
        <v>202</v>
      </c>
      <c r="D651" s="701" t="s">
        <v>874</v>
      </c>
      <c r="E651" s="701"/>
      <c r="F651" s="701"/>
      <c r="G651" s="226" t="s">
        <v>124</v>
      </c>
      <c r="H651" s="226">
        <v>1</v>
      </c>
      <c r="I651" s="226">
        <v>560</v>
      </c>
      <c r="J651" s="226">
        <v>0.6</v>
      </c>
      <c r="K651" s="226">
        <v>0.9</v>
      </c>
      <c r="L651" s="226">
        <v>302.40000000000003</v>
      </c>
      <c r="N651" s="227"/>
      <c r="O651" s="227"/>
    </row>
    <row r="652" spans="1:15" ht="12" customHeight="1" x14ac:dyDescent="0.3">
      <c r="A652" s="226" t="s">
        <v>199</v>
      </c>
      <c r="B652" s="226" t="s">
        <v>510</v>
      </c>
      <c r="C652" s="226" t="s">
        <v>202</v>
      </c>
      <c r="D652" s="701" t="s">
        <v>411</v>
      </c>
      <c r="E652" s="701"/>
      <c r="F652" s="701"/>
      <c r="G652" s="226" t="s">
        <v>124</v>
      </c>
      <c r="H652" s="226">
        <v>1</v>
      </c>
      <c r="I652" s="226">
        <v>0.9</v>
      </c>
      <c r="J652" s="226">
        <v>1.2</v>
      </c>
      <c r="K652" s="226">
        <v>0.9</v>
      </c>
      <c r="L652" s="226">
        <v>0.97200000000000009</v>
      </c>
      <c r="N652" s="227"/>
      <c r="O652" s="227"/>
    </row>
    <row r="653" spans="1:15" ht="12" customHeight="1" x14ac:dyDescent="0.3">
      <c r="A653" s="226" t="s">
        <v>199</v>
      </c>
      <c r="B653" s="226" t="s">
        <v>410</v>
      </c>
      <c r="C653" s="226" t="s">
        <v>202</v>
      </c>
      <c r="D653" s="701" t="s">
        <v>411</v>
      </c>
      <c r="E653" s="701"/>
      <c r="F653" s="701"/>
      <c r="G653" s="226" t="s">
        <v>124</v>
      </c>
      <c r="H653" s="226">
        <v>560</v>
      </c>
      <c r="I653" s="226">
        <v>1.1000000000000001</v>
      </c>
      <c r="J653" s="226">
        <v>1.1000000000000001</v>
      </c>
      <c r="K653" s="226">
        <v>1.2</v>
      </c>
      <c r="L653" s="226">
        <v>813.12000000000012</v>
      </c>
      <c r="N653" s="227"/>
      <c r="O653" s="227"/>
    </row>
    <row r="654" spans="1:15" ht="12" customHeight="1" x14ac:dyDescent="0.3">
      <c r="J654" s="701" t="s">
        <v>203</v>
      </c>
      <c r="K654" s="701"/>
      <c r="L654" s="226">
        <v>3180.0438000000004</v>
      </c>
      <c r="N654" s="227"/>
      <c r="O654" s="227"/>
    </row>
    <row r="655" spans="1:15" ht="12" customHeight="1" x14ac:dyDescent="0.3">
      <c r="N655" s="227"/>
      <c r="O655" s="227"/>
    </row>
    <row r="656" spans="1:15" ht="30.75" customHeight="1" x14ac:dyDescent="0.3">
      <c r="A656" s="226" t="s">
        <v>11</v>
      </c>
      <c r="B656" s="226" t="s">
        <v>211</v>
      </c>
      <c r="C656" s="701" t="s">
        <v>35</v>
      </c>
      <c r="D656" s="701"/>
      <c r="E656" s="702" t="s">
        <v>1252</v>
      </c>
      <c r="F656" s="702"/>
      <c r="G656" s="702"/>
      <c r="H656" s="702"/>
      <c r="I656" s="226" t="s">
        <v>105</v>
      </c>
      <c r="J656" s="226" t="s">
        <v>181</v>
      </c>
      <c r="K656" s="226" t="s">
        <v>13</v>
      </c>
      <c r="L656" s="231">
        <v>5385</v>
      </c>
      <c r="N656" s="227"/>
      <c r="O656" s="227"/>
    </row>
    <row r="657" spans="1:15" ht="12" customHeight="1" x14ac:dyDescent="0.3">
      <c r="N657" s="227"/>
      <c r="O657" s="227"/>
    </row>
    <row r="658" spans="1:15" ht="18.75" customHeight="1" x14ac:dyDescent="0.3">
      <c r="A658" s="234" t="s">
        <v>201</v>
      </c>
      <c r="B658" s="234" t="s">
        <v>200</v>
      </c>
      <c r="C658" s="235" t="s">
        <v>200</v>
      </c>
      <c r="D658" s="704" t="s">
        <v>193</v>
      </c>
      <c r="E658" s="704"/>
      <c r="F658" s="704"/>
      <c r="G658" s="234" t="s">
        <v>12</v>
      </c>
      <c r="H658" s="234" t="s">
        <v>194</v>
      </c>
      <c r="I658" s="234" t="s">
        <v>196</v>
      </c>
      <c r="J658" s="234" t="s">
        <v>195</v>
      </c>
      <c r="K658" s="234" t="s">
        <v>197</v>
      </c>
      <c r="L658" s="234" t="s">
        <v>198</v>
      </c>
      <c r="M658" s="100"/>
      <c r="N658" s="227"/>
      <c r="O658" s="227"/>
    </row>
    <row r="659" spans="1:15" ht="12" customHeight="1" x14ac:dyDescent="0.3">
      <c r="A659" s="158" t="s">
        <v>199</v>
      </c>
      <c r="B659" s="226" t="s">
        <v>11</v>
      </c>
      <c r="C659" s="226" t="s">
        <v>209</v>
      </c>
      <c r="D659" s="701" t="s">
        <v>400</v>
      </c>
      <c r="E659" s="701"/>
      <c r="F659" s="701"/>
      <c r="G659" s="226" t="s">
        <v>181</v>
      </c>
      <c r="H659" s="226">
        <v>3180</v>
      </c>
      <c r="L659" s="226">
        <v>3180</v>
      </c>
      <c r="N659" s="227"/>
      <c r="O659" s="227"/>
    </row>
    <row r="660" spans="1:15" ht="12" customHeight="1" x14ac:dyDescent="0.3">
      <c r="A660" s="158" t="s">
        <v>199</v>
      </c>
      <c r="B660" s="226" t="s">
        <v>11</v>
      </c>
      <c r="C660" s="226" t="s">
        <v>243</v>
      </c>
      <c r="D660" s="701" t="s">
        <v>401</v>
      </c>
      <c r="E660" s="701"/>
      <c r="F660" s="701"/>
      <c r="G660" s="226" t="s">
        <v>181</v>
      </c>
      <c r="H660" s="232">
        <v>2205.4994699999997</v>
      </c>
      <c r="L660" s="226">
        <v>2205.4994699999997</v>
      </c>
      <c r="N660" s="227"/>
      <c r="O660" s="227"/>
    </row>
    <row r="661" spans="1:15" ht="12" customHeight="1" x14ac:dyDescent="0.3">
      <c r="J661" s="701" t="s">
        <v>203</v>
      </c>
      <c r="K661" s="701"/>
      <c r="L661" s="226">
        <v>5385.4994699999997</v>
      </c>
      <c r="N661" s="227"/>
      <c r="O661" s="227"/>
    </row>
    <row r="662" spans="1:15" ht="12" customHeight="1" x14ac:dyDescent="0.3">
      <c r="N662" s="227"/>
      <c r="O662" s="227"/>
    </row>
    <row r="663" spans="1:15" ht="26.25" customHeight="1" x14ac:dyDescent="0.3">
      <c r="A663" s="226" t="s">
        <v>11</v>
      </c>
      <c r="B663" s="226" t="s">
        <v>214</v>
      </c>
      <c r="C663" s="701" t="s">
        <v>35</v>
      </c>
      <c r="D663" s="701"/>
      <c r="E663" s="702" t="s">
        <v>1253</v>
      </c>
      <c r="F663" s="702"/>
      <c r="G663" s="702"/>
      <c r="H663" s="702"/>
      <c r="I663" s="226" t="s">
        <v>105</v>
      </c>
      <c r="J663" s="226" t="s">
        <v>12</v>
      </c>
      <c r="K663" s="226" t="s">
        <v>13</v>
      </c>
      <c r="L663" s="231">
        <v>31</v>
      </c>
      <c r="N663" s="227"/>
      <c r="O663" s="227"/>
    </row>
    <row r="664" spans="1:15" ht="12" customHeight="1" x14ac:dyDescent="0.3">
      <c r="N664" s="227"/>
      <c r="O664" s="227"/>
    </row>
    <row r="665" spans="1:15" ht="18" customHeight="1" x14ac:dyDescent="0.3">
      <c r="A665" s="234" t="s">
        <v>201</v>
      </c>
      <c r="B665" s="234" t="s">
        <v>200</v>
      </c>
      <c r="C665" s="235" t="s">
        <v>200</v>
      </c>
      <c r="D665" s="704" t="s">
        <v>193</v>
      </c>
      <c r="E665" s="704"/>
      <c r="F665" s="704"/>
      <c r="G665" s="234" t="s">
        <v>12</v>
      </c>
      <c r="H665" s="234" t="s">
        <v>194</v>
      </c>
      <c r="I665" s="234" t="s">
        <v>196</v>
      </c>
      <c r="J665" s="234" t="s">
        <v>195</v>
      </c>
      <c r="K665" s="234" t="s">
        <v>197</v>
      </c>
      <c r="L665" s="234" t="s">
        <v>198</v>
      </c>
      <c r="M665" s="100"/>
      <c r="N665" s="227"/>
      <c r="O665" s="227"/>
    </row>
    <row r="666" spans="1:15" ht="11.25" customHeight="1" x14ac:dyDescent="0.3">
      <c r="A666" s="156" t="s">
        <v>597</v>
      </c>
      <c r="B666" s="227" t="s">
        <v>673</v>
      </c>
      <c r="C666" s="226" t="s">
        <v>662</v>
      </c>
      <c r="D666" s="701" t="s">
        <v>685</v>
      </c>
      <c r="E666" s="701"/>
      <c r="F666" s="701"/>
      <c r="G666" s="226" t="s">
        <v>12</v>
      </c>
      <c r="H666" s="226">
        <v>1</v>
      </c>
      <c r="L666" s="226">
        <v>1</v>
      </c>
    </row>
    <row r="667" spans="1:15" ht="11.25" customHeight="1" x14ac:dyDescent="0.3">
      <c r="A667" s="156" t="s">
        <v>598</v>
      </c>
      <c r="B667" s="227" t="s">
        <v>674</v>
      </c>
      <c r="C667" s="226" t="s">
        <v>662</v>
      </c>
      <c r="D667" s="701" t="s">
        <v>685</v>
      </c>
      <c r="E667" s="701"/>
      <c r="F667" s="701"/>
      <c r="G667" s="226" t="s">
        <v>12</v>
      </c>
      <c r="H667" s="226">
        <v>1</v>
      </c>
      <c r="L667" s="226">
        <v>1</v>
      </c>
    </row>
    <row r="668" spans="1:15" ht="11.25" customHeight="1" x14ac:dyDescent="0.3">
      <c r="A668" s="156" t="s">
        <v>601</v>
      </c>
      <c r="B668" s="227" t="s">
        <v>677</v>
      </c>
      <c r="C668" s="226" t="s">
        <v>662</v>
      </c>
      <c r="D668" s="701" t="s">
        <v>685</v>
      </c>
      <c r="E668" s="701"/>
      <c r="F668" s="701"/>
      <c r="G668" s="226" t="s">
        <v>12</v>
      </c>
      <c r="H668" s="226">
        <v>1</v>
      </c>
      <c r="L668" s="226">
        <v>1</v>
      </c>
    </row>
    <row r="669" spans="1:15" ht="11.25" customHeight="1" x14ac:dyDescent="0.3">
      <c r="A669" s="156" t="s">
        <v>602</v>
      </c>
      <c r="B669" s="227" t="s">
        <v>681</v>
      </c>
      <c r="C669" s="226" t="s">
        <v>662</v>
      </c>
      <c r="D669" s="701" t="s">
        <v>685</v>
      </c>
      <c r="E669" s="701"/>
      <c r="F669" s="701"/>
      <c r="G669" s="226" t="s">
        <v>12</v>
      </c>
      <c r="H669" s="226">
        <v>1</v>
      </c>
      <c r="L669" s="226">
        <v>1</v>
      </c>
    </row>
    <row r="670" spans="1:15" ht="11.25" customHeight="1" x14ac:dyDescent="0.3">
      <c r="A670" s="156" t="s">
        <v>635</v>
      </c>
      <c r="B670" s="227" t="s">
        <v>1111</v>
      </c>
      <c r="C670" s="226" t="s">
        <v>662</v>
      </c>
      <c r="D670" s="701" t="s">
        <v>685</v>
      </c>
      <c r="E670" s="701"/>
      <c r="F670" s="701"/>
      <c r="G670" s="226" t="s">
        <v>12</v>
      </c>
      <c r="H670" s="226">
        <v>1</v>
      </c>
      <c r="L670" s="226">
        <v>1</v>
      </c>
    </row>
    <row r="671" spans="1:15" ht="11.25" customHeight="1" x14ac:dyDescent="0.3">
      <c r="A671" s="156" t="s">
        <v>636</v>
      </c>
      <c r="B671" s="227" t="s">
        <v>710</v>
      </c>
      <c r="C671" s="226" t="s">
        <v>666</v>
      </c>
      <c r="D671" s="701" t="s">
        <v>729</v>
      </c>
      <c r="E671" s="701"/>
      <c r="F671" s="701"/>
      <c r="G671" s="226" t="s">
        <v>12</v>
      </c>
      <c r="H671" s="226">
        <v>1</v>
      </c>
      <c r="L671" s="226">
        <v>1</v>
      </c>
    </row>
    <row r="672" spans="1:15" ht="11.25" customHeight="1" x14ac:dyDescent="0.3">
      <c r="A672" s="156" t="s">
        <v>637</v>
      </c>
      <c r="B672" s="227" t="s">
        <v>709</v>
      </c>
      <c r="C672" s="226" t="s">
        <v>666</v>
      </c>
      <c r="D672" s="701" t="s">
        <v>729</v>
      </c>
      <c r="E672" s="701"/>
      <c r="F672" s="701"/>
      <c r="G672" s="226" t="s">
        <v>12</v>
      </c>
      <c r="H672" s="226">
        <v>1</v>
      </c>
      <c r="L672" s="226">
        <v>1</v>
      </c>
    </row>
    <row r="673" spans="1:12" ht="11.25" customHeight="1" x14ac:dyDescent="0.3">
      <c r="A673" s="156" t="s">
        <v>663</v>
      </c>
      <c r="B673" s="227" t="s">
        <v>711</v>
      </c>
      <c r="C673" s="226" t="s">
        <v>666</v>
      </c>
      <c r="D673" s="701" t="s">
        <v>729</v>
      </c>
      <c r="E673" s="701"/>
      <c r="F673" s="701"/>
      <c r="G673" s="226" t="s">
        <v>12</v>
      </c>
      <c r="H673" s="226">
        <v>1</v>
      </c>
      <c r="L673" s="226">
        <v>1</v>
      </c>
    </row>
    <row r="674" spans="1:12" ht="11.25" customHeight="1" x14ac:dyDescent="0.3">
      <c r="A674" s="156" t="s">
        <v>664</v>
      </c>
      <c r="B674" s="227" t="s">
        <v>715</v>
      </c>
      <c r="C674" s="226" t="s">
        <v>666</v>
      </c>
      <c r="D674" s="701" t="s">
        <v>729</v>
      </c>
      <c r="E674" s="701"/>
      <c r="F674" s="701"/>
      <c r="G674" s="226" t="s">
        <v>12</v>
      </c>
      <c r="H674" s="226">
        <v>1</v>
      </c>
      <c r="L674" s="226">
        <v>1</v>
      </c>
    </row>
    <row r="675" spans="1:12" ht="11.25" customHeight="1" x14ac:dyDescent="0.3">
      <c r="A675" s="156" t="s">
        <v>665</v>
      </c>
      <c r="B675" s="227" t="s">
        <v>1112</v>
      </c>
      <c r="C675" s="226" t="s">
        <v>666</v>
      </c>
      <c r="D675" s="701" t="s">
        <v>729</v>
      </c>
      <c r="E675" s="701"/>
      <c r="F675" s="701"/>
      <c r="G675" s="226" t="s">
        <v>12</v>
      </c>
      <c r="H675" s="226">
        <v>1</v>
      </c>
      <c r="L675" s="226">
        <v>1</v>
      </c>
    </row>
    <row r="676" spans="1:12" ht="11.25" customHeight="1" x14ac:dyDescent="0.3">
      <c r="A676" s="156" t="s">
        <v>667</v>
      </c>
      <c r="B676" s="227" t="s">
        <v>728</v>
      </c>
      <c r="C676" s="226" t="s">
        <v>666</v>
      </c>
      <c r="D676" s="701" t="s">
        <v>729</v>
      </c>
      <c r="E676" s="701"/>
      <c r="F676" s="701"/>
      <c r="G676" s="226" t="s">
        <v>12</v>
      </c>
      <c r="H676" s="226">
        <v>1</v>
      </c>
      <c r="L676" s="226">
        <v>1</v>
      </c>
    </row>
    <row r="677" spans="1:12" ht="11.25" customHeight="1" x14ac:dyDescent="0.3">
      <c r="A677" s="156" t="s">
        <v>668</v>
      </c>
      <c r="B677" s="227" t="s">
        <v>838</v>
      </c>
      <c r="C677" s="226" t="s">
        <v>683</v>
      </c>
      <c r="D677" s="701" t="s">
        <v>855</v>
      </c>
      <c r="E677" s="701"/>
      <c r="F677" s="701"/>
      <c r="G677" s="226" t="s">
        <v>12</v>
      </c>
      <c r="H677" s="226">
        <v>1</v>
      </c>
      <c r="L677" s="226">
        <v>1</v>
      </c>
    </row>
    <row r="678" spans="1:12" ht="11.25" customHeight="1" x14ac:dyDescent="0.3">
      <c r="A678" s="156" t="s">
        <v>669</v>
      </c>
      <c r="B678" s="227" t="s">
        <v>840</v>
      </c>
      <c r="C678" s="226" t="s">
        <v>683</v>
      </c>
      <c r="D678" s="701" t="s">
        <v>855</v>
      </c>
      <c r="E678" s="701"/>
      <c r="F678" s="701"/>
      <c r="G678" s="226" t="s">
        <v>12</v>
      </c>
      <c r="H678" s="226">
        <v>1</v>
      </c>
      <c r="L678" s="226">
        <v>1</v>
      </c>
    </row>
    <row r="679" spans="1:12" ht="11.25" customHeight="1" x14ac:dyDescent="0.3">
      <c r="A679" s="156" t="s">
        <v>670</v>
      </c>
      <c r="B679" s="227" t="s">
        <v>842</v>
      </c>
      <c r="C679" s="226" t="s">
        <v>683</v>
      </c>
      <c r="D679" s="701" t="s">
        <v>855</v>
      </c>
      <c r="E679" s="701"/>
      <c r="F679" s="701"/>
      <c r="G679" s="226" t="s">
        <v>12</v>
      </c>
      <c r="H679" s="226">
        <v>1</v>
      </c>
      <c r="L679" s="226">
        <v>1</v>
      </c>
    </row>
    <row r="680" spans="1:12" ht="11.25" customHeight="1" x14ac:dyDescent="0.3">
      <c r="A680" s="156" t="s">
        <v>671</v>
      </c>
      <c r="B680" s="227" t="s">
        <v>914</v>
      </c>
      <c r="C680" s="226" t="s">
        <v>683</v>
      </c>
      <c r="D680" s="701" t="s">
        <v>855</v>
      </c>
      <c r="E680" s="701"/>
      <c r="F680" s="701"/>
      <c r="G680" s="226" t="s">
        <v>12</v>
      </c>
      <c r="H680" s="226">
        <v>1</v>
      </c>
      <c r="L680" s="226">
        <v>1</v>
      </c>
    </row>
    <row r="681" spans="1:12" ht="11.25" customHeight="1" x14ac:dyDescent="0.3">
      <c r="A681" s="156" t="s">
        <v>680</v>
      </c>
      <c r="B681" s="227" t="s">
        <v>1048</v>
      </c>
      <c r="C681" s="226" t="s">
        <v>683</v>
      </c>
      <c r="D681" s="701" t="s">
        <v>855</v>
      </c>
      <c r="E681" s="701"/>
      <c r="F681" s="701"/>
      <c r="G681" s="226" t="s">
        <v>12</v>
      </c>
      <c r="H681" s="226">
        <v>1</v>
      </c>
      <c r="L681" s="226">
        <v>1</v>
      </c>
    </row>
    <row r="682" spans="1:12" ht="11.25" customHeight="1" x14ac:dyDescent="0.3">
      <c r="A682" s="156" t="s">
        <v>716</v>
      </c>
      <c r="B682" s="227" t="s">
        <v>848</v>
      </c>
      <c r="C682" s="226" t="s">
        <v>683</v>
      </c>
      <c r="D682" s="701" t="s">
        <v>855</v>
      </c>
      <c r="E682" s="701"/>
      <c r="F682" s="701"/>
      <c r="G682" s="226" t="s">
        <v>12</v>
      </c>
      <c r="H682" s="226">
        <v>1</v>
      </c>
      <c r="L682" s="226">
        <v>1</v>
      </c>
    </row>
    <row r="683" spans="1:12" ht="11.25" customHeight="1" x14ac:dyDescent="0.3">
      <c r="A683" s="156" t="s">
        <v>717</v>
      </c>
      <c r="B683" s="227" t="s">
        <v>1113</v>
      </c>
      <c r="C683" s="226" t="s">
        <v>683</v>
      </c>
      <c r="D683" s="701" t="s">
        <v>855</v>
      </c>
      <c r="E683" s="701"/>
      <c r="F683" s="701"/>
      <c r="G683" s="226" t="s">
        <v>12</v>
      </c>
      <c r="H683" s="226">
        <v>1</v>
      </c>
      <c r="L683" s="226">
        <v>1</v>
      </c>
    </row>
    <row r="684" spans="1:12" ht="11.25" customHeight="1" x14ac:dyDescent="0.3">
      <c r="A684" s="156" t="s">
        <v>718</v>
      </c>
      <c r="B684" s="227" t="s">
        <v>1116</v>
      </c>
      <c r="C684" s="226" t="s">
        <v>683</v>
      </c>
      <c r="D684" s="701" t="s">
        <v>855</v>
      </c>
      <c r="E684" s="701"/>
      <c r="F684" s="701"/>
      <c r="G684" s="226" t="s">
        <v>12</v>
      </c>
      <c r="H684" s="226">
        <v>1</v>
      </c>
      <c r="L684" s="226">
        <v>1</v>
      </c>
    </row>
    <row r="685" spans="1:12" ht="11.25" customHeight="1" x14ac:dyDescent="0.3">
      <c r="A685" s="156" t="s">
        <v>719</v>
      </c>
      <c r="B685" s="227" t="s">
        <v>739</v>
      </c>
      <c r="C685" s="226" t="s">
        <v>684</v>
      </c>
      <c r="D685" s="701" t="s">
        <v>738</v>
      </c>
      <c r="E685" s="701"/>
      <c r="F685" s="701"/>
      <c r="G685" s="226" t="s">
        <v>12</v>
      </c>
      <c r="H685" s="226">
        <v>1</v>
      </c>
      <c r="L685" s="226">
        <v>1</v>
      </c>
    </row>
    <row r="686" spans="1:12" ht="11.25" customHeight="1" x14ac:dyDescent="0.3">
      <c r="A686" s="156" t="s">
        <v>720</v>
      </c>
      <c r="B686" s="227" t="s">
        <v>782</v>
      </c>
      <c r="C686" s="226" t="s">
        <v>684</v>
      </c>
      <c r="D686" s="701" t="s">
        <v>738</v>
      </c>
      <c r="E686" s="701"/>
      <c r="F686" s="701"/>
      <c r="G686" s="226" t="s">
        <v>12</v>
      </c>
      <c r="H686" s="226">
        <v>1</v>
      </c>
      <c r="L686" s="226">
        <v>1</v>
      </c>
    </row>
    <row r="687" spans="1:12" ht="11.25" customHeight="1" x14ac:dyDescent="0.3">
      <c r="A687" s="156" t="s">
        <v>721</v>
      </c>
      <c r="B687" s="227" t="s">
        <v>784</v>
      </c>
      <c r="C687" s="226" t="s">
        <v>684</v>
      </c>
      <c r="D687" s="701" t="s">
        <v>738</v>
      </c>
      <c r="E687" s="701"/>
      <c r="F687" s="701"/>
      <c r="G687" s="226" t="s">
        <v>12</v>
      </c>
      <c r="H687" s="226">
        <v>1</v>
      </c>
      <c r="L687" s="226">
        <v>1</v>
      </c>
    </row>
    <row r="688" spans="1:12" ht="11.25" customHeight="1" x14ac:dyDescent="0.3">
      <c r="A688" s="156" t="s">
        <v>723</v>
      </c>
      <c r="B688" s="227" t="s">
        <v>783</v>
      </c>
      <c r="C688" s="226" t="s">
        <v>684</v>
      </c>
      <c r="D688" s="701" t="s">
        <v>738</v>
      </c>
      <c r="E688" s="701"/>
      <c r="F688" s="701"/>
      <c r="G688" s="226" t="s">
        <v>12</v>
      </c>
      <c r="H688" s="226">
        <v>1</v>
      </c>
      <c r="L688" s="226">
        <v>1</v>
      </c>
    </row>
    <row r="689" spans="1:15" ht="11.25" customHeight="1" x14ac:dyDescent="0.3">
      <c r="A689" s="156" t="s">
        <v>733</v>
      </c>
      <c r="B689" s="227" t="s">
        <v>804</v>
      </c>
      <c r="C689" s="226" t="s">
        <v>684</v>
      </c>
      <c r="D689" s="701" t="s">
        <v>738</v>
      </c>
      <c r="E689" s="701"/>
      <c r="F689" s="701"/>
      <c r="G689" s="226" t="s">
        <v>12</v>
      </c>
      <c r="H689" s="226">
        <v>1</v>
      </c>
      <c r="L689" s="226">
        <v>1</v>
      </c>
    </row>
    <row r="690" spans="1:15" ht="11.25" customHeight="1" x14ac:dyDescent="0.3">
      <c r="A690" s="156" t="s">
        <v>737</v>
      </c>
      <c r="B690" s="227" t="s">
        <v>808</v>
      </c>
      <c r="C690" s="226" t="s">
        <v>684</v>
      </c>
      <c r="D690" s="701" t="s">
        <v>738</v>
      </c>
      <c r="E690" s="701"/>
      <c r="F690" s="701"/>
      <c r="G690" s="226" t="s">
        <v>12</v>
      </c>
      <c r="H690" s="226">
        <v>1</v>
      </c>
      <c r="L690" s="226">
        <v>1</v>
      </c>
    </row>
    <row r="691" spans="1:15" ht="11.25" customHeight="1" x14ac:dyDescent="0.3">
      <c r="A691" s="156" t="s">
        <v>777</v>
      </c>
      <c r="B691" s="227" t="s">
        <v>814</v>
      </c>
      <c r="C691" s="226" t="s">
        <v>684</v>
      </c>
      <c r="D691" s="701" t="s">
        <v>738</v>
      </c>
      <c r="E691" s="701"/>
      <c r="F691" s="701"/>
      <c r="G691" s="226" t="s">
        <v>12</v>
      </c>
      <c r="H691" s="226">
        <v>1</v>
      </c>
      <c r="L691" s="226">
        <v>1</v>
      </c>
    </row>
    <row r="692" spans="1:15" ht="11.25" customHeight="1" x14ac:dyDescent="0.3">
      <c r="A692" s="156" t="s">
        <v>785</v>
      </c>
      <c r="B692" s="227" t="s">
        <v>820</v>
      </c>
      <c r="C692" s="226" t="s">
        <v>684</v>
      </c>
      <c r="D692" s="701" t="s">
        <v>738</v>
      </c>
      <c r="E692" s="701"/>
      <c r="F692" s="701"/>
      <c r="G692" s="226" t="s">
        <v>12</v>
      </c>
      <c r="H692" s="226">
        <v>1</v>
      </c>
      <c r="L692" s="226">
        <v>1</v>
      </c>
    </row>
    <row r="693" spans="1:15" ht="11.25" customHeight="1" x14ac:dyDescent="0.3">
      <c r="A693" s="156" t="s">
        <v>798</v>
      </c>
      <c r="B693" s="227" t="s">
        <v>834</v>
      </c>
      <c r="C693" s="226" t="s">
        <v>684</v>
      </c>
      <c r="D693" s="701" t="s">
        <v>738</v>
      </c>
      <c r="E693" s="701"/>
      <c r="F693" s="701"/>
      <c r="G693" s="226" t="s">
        <v>12</v>
      </c>
      <c r="H693" s="226">
        <v>1</v>
      </c>
      <c r="L693" s="226">
        <v>1</v>
      </c>
    </row>
    <row r="694" spans="1:15" ht="11.25" customHeight="1" x14ac:dyDescent="0.3">
      <c r="A694" s="156" t="s">
        <v>799</v>
      </c>
      <c r="B694" s="227" t="s">
        <v>833</v>
      </c>
      <c r="C694" s="226" t="s">
        <v>684</v>
      </c>
      <c r="D694" s="701" t="s">
        <v>738</v>
      </c>
      <c r="E694" s="701"/>
      <c r="F694" s="701"/>
      <c r="G694" s="226" t="s">
        <v>12</v>
      </c>
      <c r="H694" s="226">
        <v>1</v>
      </c>
      <c r="L694" s="226">
        <v>1</v>
      </c>
    </row>
    <row r="695" spans="1:15" ht="11.25" customHeight="1" x14ac:dyDescent="0.3">
      <c r="A695" s="156" t="s">
        <v>803</v>
      </c>
      <c r="B695" s="227" t="e">
        <v>#N/A</v>
      </c>
      <c r="C695" s="226" t="s">
        <v>684</v>
      </c>
      <c r="D695" s="701" t="s">
        <v>738</v>
      </c>
      <c r="E695" s="701"/>
      <c r="F695" s="701"/>
      <c r="G695" s="226" t="s">
        <v>12</v>
      </c>
      <c r="H695" s="226">
        <v>1</v>
      </c>
      <c r="L695" s="226">
        <v>1</v>
      </c>
    </row>
    <row r="696" spans="1:15" ht="11.25" customHeight="1" x14ac:dyDescent="0.3">
      <c r="A696" s="156" t="s">
        <v>1194</v>
      </c>
      <c r="B696" s="227" t="s">
        <v>1159</v>
      </c>
      <c r="C696" s="226" t="s">
        <v>684</v>
      </c>
      <c r="D696" s="701" t="s">
        <v>738</v>
      </c>
      <c r="E696" s="701"/>
      <c r="F696" s="701"/>
      <c r="G696" s="226" t="s">
        <v>12</v>
      </c>
      <c r="H696" s="226">
        <v>1</v>
      </c>
      <c r="L696" s="226">
        <v>1</v>
      </c>
    </row>
    <row r="697" spans="1:15" ht="11.25" customHeight="1" x14ac:dyDescent="0.3">
      <c r="A697" s="158"/>
      <c r="B697" s="226"/>
      <c r="C697" s="226"/>
      <c r="D697" s="226"/>
      <c r="E697" s="226"/>
      <c r="F697" s="226"/>
      <c r="G697" s="226"/>
      <c r="H697" s="226"/>
      <c r="J697" s="701" t="s">
        <v>203</v>
      </c>
      <c r="K697" s="701"/>
      <c r="L697" s="226">
        <v>31</v>
      </c>
    </row>
    <row r="698" spans="1:15" ht="11.4" customHeight="1" x14ac:dyDescent="0.3">
      <c r="A698" s="226"/>
      <c r="B698" s="701"/>
      <c r="C698" s="701"/>
      <c r="D698" s="701"/>
      <c r="E698" s="701"/>
      <c r="F698" s="701"/>
      <c r="G698" s="226"/>
      <c r="H698" s="226"/>
      <c r="N698" s="227"/>
      <c r="O698" s="227"/>
    </row>
    <row r="699" spans="1:15" ht="27.75" customHeight="1" x14ac:dyDescent="0.3">
      <c r="A699" s="226" t="s">
        <v>11</v>
      </c>
      <c r="B699" s="226" t="s">
        <v>215</v>
      </c>
      <c r="C699" s="701" t="s">
        <v>35</v>
      </c>
      <c r="D699" s="701"/>
      <c r="E699" s="702" t="s">
        <v>1254</v>
      </c>
      <c r="F699" s="702"/>
      <c r="G699" s="702"/>
      <c r="H699" s="702"/>
      <c r="I699" s="226" t="s">
        <v>105</v>
      </c>
      <c r="J699" s="226" t="s">
        <v>12</v>
      </c>
      <c r="K699" s="226" t="s">
        <v>13</v>
      </c>
      <c r="L699" s="231">
        <v>132</v>
      </c>
      <c r="N699" s="227"/>
      <c r="O699" s="227"/>
    </row>
    <row r="700" spans="1:15" x14ac:dyDescent="0.3">
      <c r="N700" s="227"/>
      <c r="O700" s="227"/>
    </row>
    <row r="701" spans="1:15" ht="18" customHeight="1" x14ac:dyDescent="0.3">
      <c r="A701" s="234" t="s">
        <v>201</v>
      </c>
      <c r="B701" s="234" t="s">
        <v>200</v>
      </c>
      <c r="C701" s="235" t="s">
        <v>200</v>
      </c>
      <c r="D701" s="704" t="s">
        <v>193</v>
      </c>
      <c r="E701" s="704"/>
      <c r="F701" s="704"/>
      <c r="G701" s="234" t="s">
        <v>12</v>
      </c>
      <c r="H701" s="234" t="s">
        <v>194</v>
      </c>
      <c r="I701" s="234" t="s">
        <v>196</v>
      </c>
      <c r="J701" s="234" t="s">
        <v>195</v>
      </c>
      <c r="K701" s="234" t="s">
        <v>197</v>
      </c>
      <c r="L701" s="234" t="s">
        <v>198</v>
      </c>
      <c r="M701" s="100"/>
      <c r="N701" s="227"/>
      <c r="O701" s="227"/>
    </row>
    <row r="702" spans="1:15" ht="10.5" customHeight="1" x14ac:dyDescent="0.3">
      <c r="A702" s="156" t="s">
        <v>185</v>
      </c>
      <c r="B702" s="227" t="s">
        <v>875</v>
      </c>
      <c r="C702" s="226" t="s">
        <v>662</v>
      </c>
      <c r="D702" s="701" t="s">
        <v>685</v>
      </c>
      <c r="E702" s="701"/>
      <c r="F702" s="701"/>
      <c r="G702" s="226" t="s">
        <v>12</v>
      </c>
      <c r="H702" s="226">
        <v>1</v>
      </c>
      <c r="L702" s="226">
        <v>1</v>
      </c>
    </row>
    <row r="703" spans="1:15" ht="10.5" customHeight="1" x14ac:dyDescent="0.3">
      <c r="A703" s="156" t="s">
        <v>187</v>
      </c>
      <c r="B703" s="227" t="s">
        <v>876</v>
      </c>
      <c r="C703" s="226" t="s">
        <v>662</v>
      </c>
      <c r="D703" s="701" t="s">
        <v>685</v>
      </c>
      <c r="E703" s="701"/>
      <c r="F703" s="701"/>
      <c r="G703" s="226" t="s">
        <v>12</v>
      </c>
      <c r="H703" s="226">
        <v>1</v>
      </c>
      <c r="L703" s="226">
        <v>1</v>
      </c>
    </row>
    <row r="704" spans="1:15" ht="10.5" customHeight="1" x14ac:dyDescent="0.3">
      <c r="A704" s="156" t="s">
        <v>482</v>
      </c>
      <c r="B704" s="227" t="s">
        <v>877</v>
      </c>
      <c r="C704" s="226" t="s">
        <v>662</v>
      </c>
      <c r="D704" s="701" t="s">
        <v>685</v>
      </c>
      <c r="E704" s="701"/>
      <c r="F704" s="701"/>
      <c r="G704" s="226" t="s">
        <v>12</v>
      </c>
      <c r="H704" s="226">
        <v>1</v>
      </c>
      <c r="L704" s="226">
        <v>1</v>
      </c>
    </row>
    <row r="705" spans="1:12" ht="10.5" customHeight="1" x14ac:dyDescent="0.3">
      <c r="A705" s="156" t="s">
        <v>189</v>
      </c>
      <c r="B705" s="227" t="s">
        <v>878</v>
      </c>
      <c r="C705" s="226" t="s">
        <v>662</v>
      </c>
      <c r="D705" s="701" t="s">
        <v>685</v>
      </c>
      <c r="E705" s="701"/>
      <c r="F705" s="701"/>
      <c r="G705" s="226" t="s">
        <v>12</v>
      </c>
      <c r="H705" s="226">
        <v>1</v>
      </c>
      <c r="L705" s="226">
        <v>1</v>
      </c>
    </row>
    <row r="706" spans="1:12" ht="10.5" customHeight="1" x14ac:dyDescent="0.3">
      <c r="A706" s="156" t="s">
        <v>190</v>
      </c>
      <c r="B706" s="227" t="s">
        <v>879</v>
      </c>
      <c r="C706" s="226" t="s">
        <v>662</v>
      </c>
      <c r="D706" s="701" t="s">
        <v>685</v>
      </c>
      <c r="E706" s="701"/>
      <c r="F706" s="701"/>
      <c r="G706" s="226" t="s">
        <v>12</v>
      </c>
      <c r="H706" s="226">
        <v>1</v>
      </c>
      <c r="L706" s="226">
        <v>1</v>
      </c>
    </row>
    <row r="707" spans="1:12" ht="10.5" customHeight="1" x14ac:dyDescent="0.3">
      <c r="A707" s="156" t="s">
        <v>191</v>
      </c>
      <c r="B707" s="227" t="s">
        <v>880</v>
      </c>
      <c r="C707" s="226" t="s">
        <v>662</v>
      </c>
      <c r="D707" s="701" t="s">
        <v>685</v>
      </c>
      <c r="E707" s="701"/>
      <c r="F707" s="701"/>
      <c r="G707" s="226" t="s">
        <v>12</v>
      </c>
      <c r="H707" s="226">
        <v>1</v>
      </c>
      <c r="L707" s="226">
        <v>1</v>
      </c>
    </row>
    <row r="708" spans="1:12" ht="10.5" customHeight="1" x14ac:dyDescent="0.3">
      <c r="A708" s="156" t="s">
        <v>192</v>
      </c>
      <c r="B708" s="227" t="s">
        <v>881</v>
      </c>
      <c r="C708" s="226" t="s">
        <v>662</v>
      </c>
      <c r="D708" s="701" t="s">
        <v>685</v>
      </c>
      <c r="E708" s="701"/>
      <c r="F708" s="701"/>
      <c r="G708" s="226" t="s">
        <v>12</v>
      </c>
      <c r="H708" s="226">
        <v>1</v>
      </c>
      <c r="L708" s="226">
        <v>1</v>
      </c>
    </row>
    <row r="709" spans="1:12" ht="10.5" customHeight="1" x14ac:dyDescent="0.3">
      <c r="A709" s="156" t="s">
        <v>487</v>
      </c>
      <c r="B709" s="227" t="s">
        <v>882</v>
      </c>
      <c r="C709" s="226" t="s">
        <v>662</v>
      </c>
      <c r="D709" s="701" t="s">
        <v>685</v>
      </c>
      <c r="E709" s="701"/>
      <c r="F709" s="701"/>
      <c r="G709" s="226" t="s">
        <v>12</v>
      </c>
      <c r="H709" s="226">
        <v>1</v>
      </c>
      <c r="L709" s="226">
        <v>1</v>
      </c>
    </row>
    <row r="710" spans="1:12" ht="10.5" customHeight="1" x14ac:dyDescent="0.3">
      <c r="A710" s="156" t="s">
        <v>488</v>
      </c>
      <c r="B710" s="227" t="s">
        <v>883</v>
      </c>
      <c r="C710" s="226" t="s">
        <v>662</v>
      </c>
      <c r="D710" s="701" t="s">
        <v>685</v>
      </c>
      <c r="E710" s="701"/>
      <c r="F710" s="701"/>
      <c r="G710" s="226" t="s">
        <v>12</v>
      </c>
      <c r="H710" s="226">
        <v>1</v>
      </c>
      <c r="L710" s="226">
        <v>1</v>
      </c>
    </row>
    <row r="711" spans="1:12" ht="10.5" customHeight="1" x14ac:dyDescent="0.3">
      <c r="A711" s="156" t="s">
        <v>530</v>
      </c>
      <c r="B711" s="227" t="s">
        <v>884</v>
      </c>
      <c r="C711" s="226" t="s">
        <v>662</v>
      </c>
      <c r="D711" s="701" t="s">
        <v>685</v>
      </c>
      <c r="E711" s="701"/>
      <c r="F711" s="701"/>
      <c r="G711" s="226" t="s">
        <v>12</v>
      </c>
      <c r="H711" s="226">
        <v>1</v>
      </c>
      <c r="L711" s="226">
        <v>1</v>
      </c>
    </row>
    <row r="712" spans="1:12" ht="10.5" customHeight="1" x14ac:dyDescent="0.3">
      <c r="A712" s="156" t="s">
        <v>531</v>
      </c>
      <c r="B712" s="227" t="s">
        <v>886</v>
      </c>
      <c r="C712" s="226" t="s">
        <v>662</v>
      </c>
      <c r="D712" s="701" t="s">
        <v>685</v>
      </c>
      <c r="E712" s="701"/>
      <c r="F712" s="701"/>
      <c r="G712" s="226" t="s">
        <v>12</v>
      </c>
      <c r="H712" s="226">
        <v>1</v>
      </c>
      <c r="L712" s="226">
        <v>1</v>
      </c>
    </row>
    <row r="713" spans="1:12" ht="10.5" customHeight="1" x14ac:dyDescent="0.3">
      <c r="A713" s="156" t="s">
        <v>533</v>
      </c>
      <c r="B713" s="227" t="s">
        <v>887</v>
      </c>
      <c r="C713" s="226" t="s">
        <v>662</v>
      </c>
      <c r="D713" s="701" t="s">
        <v>685</v>
      </c>
      <c r="E713" s="701"/>
      <c r="F713" s="701"/>
      <c r="G713" s="226" t="s">
        <v>12</v>
      </c>
      <c r="H713" s="226">
        <v>1</v>
      </c>
      <c r="L713" s="226">
        <v>1</v>
      </c>
    </row>
    <row r="714" spans="1:12" ht="10.5" customHeight="1" x14ac:dyDescent="0.3">
      <c r="A714" s="156" t="s">
        <v>535</v>
      </c>
      <c r="B714" s="227" t="s">
        <v>888</v>
      </c>
      <c r="C714" s="226" t="s">
        <v>662</v>
      </c>
      <c r="D714" s="701" t="s">
        <v>685</v>
      </c>
      <c r="E714" s="701"/>
      <c r="F714" s="701"/>
      <c r="G714" s="226" t="s">
        <v>12</v>
      </c>
      <c r="H714" s="226">
        <v>1</v>
      </c>
      <c r="L714" s="226">
        <v>1</v>
      </c>
    </row>
    <row r="715" spans="1:12" ht="10.5" customHeight="1" x14ac:dyDescent="0.3">
      <c r="A715" s="156" t="s">
        <v>536</v>
      </c>
      <c r="B715" s="227" t="s">
        <v>889</v>
      </c>
      <c r="C715" s="226" t="s">
        <v>662</v>
      </c>
      <c r="D715" s="701" t="s">
        <v>685</v>
      </c>
      <c r="E715" s="701"/>
      <c r="F715" s="701"/>
      <c r="G715" s="226" t="s">
        <v>12</v>
      </c>
      <c r="H715" s="226">
        <v>1</v>
      </c>
      <c r="L715" s="226">
        <v>1</v>
      </c>
    </row>
    <row r="716" spans="1:12" ht="10.5" customHeight="1" x14ac:dyDescent="0.3">
      <c r="A716" s="156" t="s">
        <v>538</v>
      </c>
      <c r="B716" s="227" t="s">
        <v>890</v>
      </c>
      <c r="C716" s="226" t="s">
        <v>662</v>
      </c>
      <c r="D716" s="701" t="s">
        <v>685</v>
      </c>
      <c r="E716" s="701"/>
      <c r="F716" s="701"/>
      <c r="G716" s="226" t="s">
        <v>12</v>
      </c>
      <c r="H716" s="226">
        <v>1</v>
      </c>
      <c r="L716" s="226">
        <v>1</v>
      </c>
    </row>
    <row r="717" spans="1:12" ht="10.5" customHeight="1" x14ac:dyDescent="0.3">
      <c r="A717" s="156" t="s">
        <v>539</v>
      </c>
      <c r="B717" s="227" t="s">
        <v>891</v>
      </c>
      <c r="C717" s="226" t="s">
        <v>666</v>
      </c>
      <c r="D717" s="701" t="s">
        <v>729</v>
      </c>
      <c r="E717" s="701"/>
      <c r="F717" s="701"/>
      <c r="G717" s="226" t="s">
        <v>12</v>
      </c>
      <c r="H717" s="226">
        <v>1</v>
      </c>
      <c r="L717" s="226">
        <v>1</v>
      </c>
    </row>
    <row r="718" spans="1:12" ht="10.5" customHeight="1" x14ac:dyDescent="0.3">
      <c r="A718" s="156" t="s">
        <v>541</v>
      </c>
      <c r="B718" s="227" t="s">
        <v>892</v>
      </c>
      <c r="C718" s="226" t="s">
        <v>666</v>
      </c>
      <c r="D718" s="701" t="s">
        <v>729</v>
      </c>
      <c r="E718" s="701"/>
      <c r="F718" s="701"/>
      <c r="G718" s="226" t="s">
        <v>12</v>
      </c>
      <c r="H718" s="226">
        <v>1</v>
      </c>
      <c r="L718" s="226">
        <v>1</v>
      </c>
    </row>
    <row r="719" spans="1:12" ht="10.5" customHeight="1" x14ac:dyDescent="0.3">
      <c r="A719" s="156" t="s">
        <v>542</v>
      </c>
      <c r="B719" s="227" t="s">
        <v>893</v>
      </c>
      <c r="C719" s="226" t="s">
        <v>666</v>
      </c>
      <c r="D719" s="701" t="s">
        <v>729</v>
      </c>
      <c r="E719" s="701"/>
      <c r="F719" s="701"/>
      <c r="G719" s="226" t="s">
        <v>12</v>
      </c>
      <c r="H719" s="226">
        <v>1</v>
      </c>
      <c r="L719" s="226">
        <v>1</v>
      </c>
    </row>
    <row r="720" spans="1:12" ht="10.5" customHeight="1" x14ac:dyDescent="0.3">
      <c r="A720" s="156" t="s">
        <v>544</v>
      </c>
      <c r="B720" s="227" t="s">
        <v>894</v>
      </c>
      <c r="C720" s="226" t="s">
        <v>666</v>
      </c>
      <c r="D720" s="701" t="s">
        <v>729</v>
      </c>
      <c r="E720" s="701"/>
      <c r="F720" s="701"/>
      <c r="G720" s="226" t="s">
        <v>12</v>
      </c>
      <c r="H720" s="226">
        <v>1</v>
      </c>
      <c r="L720" s="226">
        <v>1</v>
      </c>
    </row>
    <row r="721" spans="1:12" ht="10.5" customHeight="1" x14ac:dyDescent="0.3">
      <c r="A721" s="156" t="s">
        <v>545</v>
      </c>
      <c r="B721" s="227" t="s">
        <v>895</v>
      </c>
      <c r="C721" s="226" t="s">
        <v>666</v>
      </c>
      <c r="D721" s="701" t="s">
        <v>729</v>
      </c>
      <c r="E721" s="701"/>
      <c r="F721" s="701"/>
      <c r="G721" s="226" t="s">
        <v>12</v>
      </c>
      <c r="H721" s="226">
        <v>1</v>
      </c>
      <c r="L721" s="226">
        <v>1</v>
      </c>
    </row>
    <row r="722" spans="1:12" ht="10.5" customHeight="1" x14ac:dyDescent="0.3">
      <c r="A722" s="156" t="s">
        <v>547</v>
      </c>
      <c r="B722" s="227" t="s">
        <v>896</v>
      </c>
      <c r="C722" s="226" t="s">
        <v>666</v>
      </c>
      <c r="D722" s="701" t="s">
        <v>729</v>
      </c>
      <c r="E722" s="701"/>
      <c r="F722" s="701"/>
      <c r="G722" s="226" t="s">
        <v>12</v>
      </c>
      <c r="H722" s="226">
        <v>1</v>
      </c>
      <c r="L722" s="226">
        <v>1</v>
      </c>
    </row>
    <row r="723" spans="1:12" ht="10.5" customHeight="1" x14ac:dyDescent="0.3">
      <c r="A723" s="156" t="s">
        <v>549</v>
      </c>
      <c r="B723" s="227" t="s">
        <v>897</v>
      </c>
      <c r="C723" s="226" t="s">
        <v>666</v>
      </c>
      <c r="D723" s="701" t="s">
        <v>729</v>
      </c>
      <c r="E723" s="701"/>
      <c r="F723" s="701"/>
      <c r="G723" s="226" t="s">
        <v>12</v>
      </c>
      <c r="H723" s="226">
        <v>1</v>
      </c>
      <c r="L723" s="226">
        <v>1</v>
      </c>
    </row>
    <row r="724" spans="1:12" ht="10.5" customHeight="1" x14ac:dyDescent="0.3">
      <c r="A724" s="156" t="s">
        <v>550</v>
      </c>
      <c r="B724" s="227" t="s">
        <v>898</v>
      </c>
      <c r="C724" s="226" t="s">
        <v>666</v>
      </c>
      <c r="D724" s="701" t="s">
        <v>729</v>
      </c>
      <c r="E724" s="701"/>
      <c r="F724" s="701"/>
      <c r="G724" s="226" t="s">
        <v>12</v>
      </c>
      <c r="H724" s="226">
        <v>1</v>
      </c>
      <c r="L724" s="226">
        <v>1</v>
      </c>
    </row>
    <row r="725" spans="1:12" ht="10.5" customHeight="1" x14ac:dyDescent="0.3">
      <c r="A725" s="156" t="s">
        <v>552</v>
      </c>
      <c r="B725" s="227" t="s">
        <v>899</v>
      </c>
      <c r="C725" s="226" t="s">
        <v>666</v>
      </c>
      <c r="D725" s="701" t="s">
        <v>729</v>
      </c>
      <c r="E725" s="701"/>
      <c r="F725" s="701"/>
      <c r="G725" s="226" t="s">
        <v>12</v>
      </c>
      <c r="H725" s="226">
        <v>1</v>
      </c>
      <c r="L725" s="226">
        <v>1</v>
      </c>
    </row>
    <row r="726" spans="1:12" ht="10.5" customHeight="1" x14ac:dyDescent="0.3">
      <c r="A726" s="156" t="s">
        <v>553</v>
      </c>
      <c r="B726" s="227" t="s">
        <v>900</v>
      </c>
      <c r="C726" s="226" t="s">
        <v>666</v>
      </c>
      <c r="D726" s="701" t="s">
        <v>729</v>
      </c>
      <c r="E726" s="701"/>
      <c r="F726" s="701"/>
      <c r="G726" s="226" t="s">
        <v>12</v>
      </c>
      <c r="H726" s="226">
        <v>1</v>
      </c>
      <c r="L726" s="226">
        <v>1</v>
      </c>
    </row>
    <row r="727" spans="1:12" ht="10.5" customHeight="1" x14ac:dyDescent="0.3">
      <c r="A727" s="156" t="s">
        <v>555</v>
      </c>
      <c r="B727" s="227" t="s">
        <v>901</v>
      </c>
      <c r="C727" s="226" t="s">
        <v>666</v>
      </c>
      <c r="D727" s="701" t="s">
        <v>729</v>
      </c>
      <c r="E727" s="701"/>
      <c r="F727" s="701"/>
      <c r="G727" s="226" t="s">
        <v>12</v>
      </c>
      <c r="H727" s="226">
        <v>1</v>
      </c>
      <c r="L727" s="226">
        <v>1</v>
      </c>
    </row>
    <row r="728" spans="1:12" ht="10.5" customHeight="1" x14ac:dyDescent="0.3">
      <c r="A728" s="156" t="s">
        <v>556</v>
      </c>
      <c r="B728" s="227" t="s">
        <v>902</v>
      </c>
      <c r="C728" s="226" t="s">
        <v>666</v>
      </c>
      <c r="D728" s="701" t="s">
        <v>729</v>
      </c>
      <c r="E728" s="701"/>
      <c r="F728" s="701"/>
      <c r="G728" s="226" t="s">
        <v>12</v>
      </c>
      <c r="H728" s="226">
        <v>1</v>
      </c>
      <c r="L728" s="226">
        <v>1</v>
      </c>
    </row>
    <row r="729" spans="1:12" ht="10.5" customHeight="1" x14ac:dyDescent="0.3">
      <c r="A729" s="156" t="s">
        <v>558</v>
      </c>
      <c r="B729" s="227" t="s">
        <v>903</v>
      </c>
      <c r="C729" s="226" t="s">
        <v>666</v>
      </c>
      <c r="D729" s="701" t="s">
        <v>729</v>
      </c>
      <c r="E729" s="701"/>
      <c r="F729" s="701"/>
      <c r="G729" s="226" t="s">
        <v>12</v>
      </c>
      <c r="H729" s="226">
        <v>1</v>
      </c>
      <c r="L729" s="226">
        <v>1</v>
      </c>
    </row>
    <row r="730" spans="1:12" ht="10.5" customHeight="1" x14ac:dyDescent="0.3">
      <c r="A730" s="156" t="s">
        <v>560</v>
      </c>
      <c r="B730" s="227" t="s">
        <v>904</v>
      </c>
      <c r="C730" s="226" t="s">
        <v>666</v>
      </c>
      <c r="D730" s="701" t="s">
        <v>729</v>
      </c>
      <c r="E730" s="701"/>
      <c r="F730" s="701"/>
      <c r="G730" s="226" t="s">
        <v>12</v>
      </c>
      <c r="H730" s="226">
        <v>1</v>
      </c>
      <c r="L730" s="226">
        <v>1</v>
      </c>
    </row>
    <row r="731" spans="1:12" ht="10.5" customHeight="1" x14ac:dyDescent="0.3">
      <c r="A731" s="156" t="s">
        <v>562</v>
      </c>
      <c r="B731" s="227" t="s">
        <v>905</v>
      </c>
      <c r="C731" s="226" t="s">
        <v>666</v>
      </c>
      <c r="D731" s="701" t="s">
        <v>729</v>
      </c>
      <c r="E731" s="701"/>
      <c r="F731" s="701"/>
      <c r="G731" s="226" t="s">
        <v>12</v>
      </c>
      <c r="H731" s="226">
        <v>1</v>
      </c>
      <c r="L731" s="226">
        <v>1</v>
      </c>
    </row>
    <row r="732" spans="1:12" ht="10.5" customHeight="1" x14ac:dyDescent="0.3">
      <c r="A732" s="156" t="s">
        <v>564</v>
      </c>
      <c r="B732" s="227" t="s">
        <v>906</v>
      </c>
      <c r="C732" s="226" t="s">
        <v>666</v>
      </c>
      <c r="D732" s="701" t="s">
        <v>729</v>
      </c>
      <c r="E732" s="701"/>
      <c r="F732" s="701"/>
      <c r="G732" s="226" t="s">
        <v>12</v>
      </c>
      <c r="H732" s="226">
        <v>1</v>
      </c>
      <c r="L732" s="226">
        <v>1</v>
      </c>
    </row>
    <row r="733" spans="1:12" ht="10.5" customHeight="1" x14ac:dyDescent="0.3">
      <c r="A733" s="156" t="s">
        <v>565</v>
      </c>
      <c r="B733" s="227" t="s">
        <v>908</v>
      </c>
      <c r="C733" s="226" t="s">
        <v>683</v>
      </c>
      <c r="D733" s="701" t="s">
        <v>855</v>
      </c>
      <c r="E733" s="701"/>
      <c r="F733" s="701"/>
      <c r="G733" s="226" t="s">
        <v>12</v>
      </c>
      <c r="H733" s="226">
        <v>1</v>
      </c>
      <c r="L733" s="226">
        <v>1</v>
      </c>
    </row>
    <row r="734" spans="1:12" ht="10.5" customHeight="1" x14ac:dyDescent="0.3">
      <c r="A734" s="156" t="s">
        <v>567</v>
      </c>
      <c r="B734" s="227" t="s">
        <v>907</v>
      </c>
      <c r="C734" s="226" t="s">
        <v>683</v>
      </c>
      <c r="D734" s="701" t="s">
        <v>855</v>
      </c>
      <c r="E734" s="701"/>
      <c r="F734" s="701"/>
      <c r="G734" s="226" t="s">
        <v>12</v>
      </c>
      <c r="H734" s="226">
        <v>1</v>
      </c>
      <c r="L734" s="226">
        <v>1</v>
      </c>
    </row>
    <row r="735" spans="1:12" ht="10.5" customHeight="1" x14ac:dyDescent="0.3">
      <c r="A735" s="156" t="s">
        <v>569</v>
      </c>
      <c r="B735" s="227" t="s">
        <v>909</v>
      </c>
      <c r="C735" s="226" t="s">
        <v>683</v>
      </c>
      <c r="D735" s="701" t="s">
        <v>855</v>
      </c>
      <c r="E735" s="701"/>
      <c r="F735" s="701"/>
      <c r="G735" s="226" t="s">
        <v>12</v>
      </c>
      <c r="H735" s="226">
        <v>1</v>
      </c>
      <c r="L735" s="226">
        <v>1</v>
      </c>
    </row>
    <row r="736" spans="1:12" ht="10.5" customHeight="1" x14ac:dyDescent="0.3">
      <c r="A736" s="156" t="s">
        <v>570</v>
      </c>
      <c r="B736" s="227" t="s">
        <v>910</v>
      </c>
      <c r="C736" s="226" t="s">
        <v>683</v>
      </c>
      <c r="D736" s="701" t="s">
        <v>855</v>
      </c>
      <c r="E736" s="701"/>
      <c r="F736" s="701"/>
      <c r="G736" s="226" t="s">
        <v>12</v>
      </c>
      <c r="H736" s="226">
        <v>1</v>
      </c>
      <c r="L736" s="226">
        <v>1</v>
      </c>
    </row>
    <row r="737" spans="1:12" ht="10.5" customHeight="1" x14ac:dyDescent="0.3">
      <c r="A737" s="156" t="s">
        <v>572</v>
      </c>
      <c r="B737" s="227" t="s">
        <v>911</v>
      </c>
      <c r="C737" s="226" t="s">
        <v>683</v>
      </c>
      <c r="D737" s="701" t="s">
        <v>855</v>
      </c>
      <c r="E737" s="701"/>
      <c r="F737" s="701"/>
      <c r="G737" s="226" t="s">
        <v>12</v>
      </c>
      <c r="H737" s="226">
        <v>1</v>
      </c>
      <c r="L737" s="226">
        <v>1</v>
      </c>
    </row>
    <row r="738" spans="1:12" ht="10.5" customHeight="1" x14ac:dyDescent="0.3">
      <c r="A738" s="156" t="s">
        <v>573</v>
      </c>
      <c r="B738" s="227" t="s">
        <v>912</v>
      </c>
      <c r="C738" s="226" t="s">
        <v>683</v>
      </c>
      <c r="D738" s="701" t="s">
        <v>855</v>
      </c>
      <c r="E738" s="701"/>
      <c r="F738" s="701"/>
      <c r="G738" s="226" t="s">
        <v>12</v>
      </c>
      <c r="H738" s="226">
        <v>1</v>
      </c>
      <c r="L738" s="226">
        <v>1</v>
      </c>
    </row>
    <row r="739" spans="1:12" ht="10.5" customHeight="1" x14ac:dyDescent="0.3">
      <c r="A739" s="156" t="s">
        <v>575</v>
      </c>
      <c r="B739" s="227" t="s">
        <v>913</v>
      </c>
      <c r="C739" s="226" t="s">
        <v>683</v>
      </c>
      <c r="D739" s="701" t="s">
        <v>855</v>
      </c>
      <c r="E739" s="701"/>
      <c r="F739" s="701"/>
      <c r="G739" s="226" t="s">
        <v>12</v>
      </c>
      <c r="H739" s="226">
        <v>1</v>
      </c>
      <c r="L739" s="226">
        <v>1</v>
      </c>
    </row>
    <row r="740" spans="1:12" ht="10.5" customHeight="1" x14ac:dyDescent="0.3">
      <c r="A740" s="156" t="s">
        <v>576</v>
      </c>
      <c r="B740" s="227" t="s">
        <v>837</v>
      </c>
      <c r="C740" s="226" t="s">
        <v>683</v>
      </c>
      <c r="D740" s="701" t="s">
        <v>855</v>
      </c>
      <c r="E740" s="701"/>
      <c r="F740" s="701"/>
      <c r="G740" s="226" t="s">
        <v>12</v>
      </c>
      <c r="H740" s="226">
        <v>1</v>
      </c>
      <c r="L740" s="226">
        <v>1</v>
      </c>
    </row>
    <row r="741" spans="1:12" ht="10.5" customHeight="1" x14ac:dyDescent="0.3">
      <c r="A741" s="156" t="s">
        <v>578</v>
      </c>
      <c r="B741" s="227" t="s">
        <v>915</v>
      </c>
      <c r="C741" s="226" t="s">
        <v>683</v>
      </c>
      <c r="D741" s="701" t="s">
        <v>855</v>
      </c>
      <c r="E741" s="701"/>
      <c r="F741" s="701"/>
      <c r="G741" s="226" t="s">
        <v>12</v>
      </c>
      <c r="H741" s="226">
        <v>1</v>
      </c>
      <c r="L741" s="226">
        <v>1</v>
      </c>
    </row>
    <row r="742" spans="1:12" ht="10.5" customHeight="1" x14ac:dyDescent="0.3">
      <c r="A742" s="156" t="s">
        <v>579</v>
      </c>
      <c r="B742" s="227" t="s">
        <v>916</v>
      </c>
      <c r="C742" s="226" t="s">
        <v>683</v>
      </c>
      <c r="D742" s="701" t="s">
        <v>855</v>
      </c>
      <c r="E742" s="701"/>
      <c r="F742" s="701"/>
      <c r="G742" s="226" t="s">
        <v>12</v>
      </c>
      <c r="H742" s="226">
        <v>1</v>
      </c>
      <c r="L742" s="226">
        <v>1</v>
      </c>
    </row>
    <row r="743" spans="1:12" ht="10.5" customHeight="1" x14ac:dyDescent="0.3">
      <c r="A743" s="156" t="s">
        <v>581</v>
      </c>
      <c r="B743" s="227" t="s">
        <v>917</v>
      </c>
      <c r="C743" s="226" t="s">
        <v>683</v>
      </c>
      <c r="D743" s="701" t="s">
        <v>855</v>
      </c>
      <c r="E743" s="701"/>
      <c r="F743" s="701"/>
      <c r="G743" s="226" t="s">
        <v>12</v>
      </c>
      <c r="H743" s="226">
        <v>1</v>
      </c>
      <c r="L743" s="226">
        <v>1</v>
      </c>
    </row>
    <row r="744" spans="1:12" ht="10.5" customHeight="1" x14ac:dyDescent="0.3">
      <c r="A744" s="156" t="s">
        <v>583</v>
      </c>
      <c r="B744" s="227" t="s">
        <v>918</v>
      </c>
      <c r="C744" s="226" t="s">
        <v>683</v>
      </c>
      <c r="D744" s="701" t="s">
        <v>855</v>
      </c>
      <c r="E744" s="701"/>
      <c r="F744" s="701"/>
      <c r="G744" s="226" t="s">
        <v>12</v>
      </c>
      <c r="H744" s="226">
        <v>1</v>
      </c>
      <c r="L744" s="226">
        <v>1</v>
      </c>
    </row>
    <row r="745" spans="1:12" ht="10.5" customHeight="1" x14ac:dyDescent="0.3">
      <c r="A745" s="156" t="s">
        <v>585</v>
      </c>
      <c r="B745" s="227" t="s">
        <v>919</v>
      </c>
      <c r="C745" s="226" t="s">
        <v>683</v>
      </c>
      <c r="D745" s="701" t="s">
        <v>855</v>
      </c>
      <c r="E745" s="701"/>
      <c r="F745" s="701"/>
      <c r="G745" s="226" t="s">
        <v>12</v>
      </c>
      <c r="H745" s="226">
        <v>1</v>
      </c>
      <c r="L745" s="226">
        <v>1</v>
      </c>
    </row>
    <row r="746" spans="1:12" ht="10.5" customHeight="1" x14ac:dyDescent="0.3">
      <c r="A746" s="156" t="s">
        <v>586</v>
      </c>
      <c r="B746" s="227" t="s">
        <v>920</v>
      </c>
      <c r="C746" s="226" t="s">
        <v>683</v>
      </c>
      <c r="D746" s="701" t="s">
        <v>855</v>
      </c>
      <c r="E746" s="701"/>
      <c r="F746" s="701"/>
      <c r="G746" s="226" t="s">
        <v>12</v>
      </c>
      <c r="H746" s="226">
        <v>1</v>
      </c>
      <c r="L746" s="226">
        <v>1</v>
      </c>
    </row>
    <row r="747" spans="1:12" ht="10.5" customHeight="1" x14ac:dyDescent="0.3">
      <c r="A747" s="156" t="s">
        <v>588</v>
      </c>
      <c r="B747" s="227" t="s">
        <v>921</v>
      </c>
      <c r="C747" s="226" t="s">
        <v>683</v>
      </c>
      <c r="D747" s="701" t="s">
        <v>855</v>
      </c>
      <c r="E747" s="701"/>
      <c r="F747" s="701"/>
      <c r="G747" s="226" t="s">
        <v>12</v>
      </c>
      <c r="H747" s="226">
        <v>1</v>
      </c>
      <c r="L747" s="226">
        <v>1</v>
      </c>
    </row>
    <row r="748" spans="1:12" ht="10.5" customHeight="1" x14ac:dyDescent="0.3">
      <c r="A748" s="156" t="s">
        <v>589</v>
      </c>
      <c r="B748" s="227" t="s">
        <v>922</v>
      </c>
      <c r="C748" s="226" t="s">
        <v>683</v>
      </c>
      <c r="D748" s="701" t="s">
        <v>855</v>
      </c>
      <c r="E748" s="701"/>
      <c r="F748" s="701"/>
      <c r="G748" s="226" t="s">
        <v>12</v>
      </c>
      <c r="H748" s="226">
        <v>1</v>
      </c>
      <c r="L748" s="226">
        <v>1</v>
      </c>
    </row>
    <row r="749" spans="1:12" ht="10.5" customHeight="1" x14ac:dyDescent="0.3">
      <c r="A749" s="156" t="s">
        <v>591</v>
      </c>
      <c r="B749" s="227" t="s">
        <v>923</v>
      </c>
      <c r="C749" s="226" t="s">
        <v>683</v>
      </c>
      <c r="D749" s="701" t="s">
        <v>855</v>
      </c>
      <c r="E749" s="701"/>
      <c r="F749" s="701"/>
      <c r="G749" s="226" t="s">
        <v>12</v>
      </c>
      <c r="H749" s="226">
        <v>1</v>
      </c>
      <c r="L749" s="226">
        <v>1</v>
      </c>
    </row>
    <row r="750" spans="1:12" ht="10.5" customHeight="1" x14ac:dyDescent="0.3">
      <c r="A750" s="156" t="s">
        <v>593</v>
      </c>
      <c r="B750" s="227" t="s">
        <v>924</v>
      </c>
      <c r="C750" s="226" t="s">
        <v>683</v>
      </c>
      <c r="D750" s="701" t="s">
        <v>855</v>
      </c>
      <c r="E750" s="701"/>
      <c r="F750" s="701"/>
      <c r="G750" s="226" t="s">
        <v>12</v>
      </c>
      <c r="H750" s="226">
        <v>1</v>
      </c>
      <c r="L750" s="226">
        <v>1</v>
      </c>
    </row>
    <row r="751" spans="1:12" ht="10.5" customHeight="1" x14ac:dyDescent="0.3">
      <c r="A751" s="156" t="s">
        <v>595</v>
      </c>
      <c r="B751" s="227" t="s">
        <v>925</v>
      </c>
      <c r="C751" s="226" t="s">
        <v>683</v>
      </c>
      <c r="D751" s="701" t="s">
        <v>855</v>
      </c>
      <c r="E751" s="701"/>
      <c r="F751" s="701"/>
      <c r="G751" s="226" t="s">
        <v>12</v>
      </c>
      <c r="H751" s="226">
        <v>1</v>
      </c>
      <c r="L751" s="226">
        <v>1</v>
      </c>
    </row>
    <row r="752" spans="1:12" ht="10.5" customHeight="1" x14ac:dyDescent="0.3">
      <c r="A752" s="156" t="s">
        <v>603</v>
      </c>
      <c r="B752" s="227" t="s">
        <v>926</v>
      </c>
      <c r="C752" s="226" t="s">
        <v>683</v>
      </c>
      <c r="D752" s="701" t="s">
        <v>855</v>
      </c>
      <c r="E752" s="701"/>
      <c r="F752" s="701"/>
      <c r="G752" s="226" t="s">
        <v>12</v>
      </c>
      <c r="H752" s="226">
        <v>1</v>
      </c>
      <c r="L752" s="226">
        <v>1</v>
      </c>
    </row>
    <row r="753" spans="1:12" ht="10.5" customHeight="1" x14ac:dyDescent="0.3">
      <c r="A753" s="156" t="s">
        <v>605</v>
      </c>
      <c r="B753" s="227" t="s">
        <v>927</v>
      </c>
      <c r="C753" s="226" t="s">
        <v>683</v>
      </c>
      <c r="D753" s="701" t="s">
        <v>855</v>
      </c>
      <c r="E753" s="701"/>
      <c r="F753" s="701"/>
      <c r="G753" s="226" t="s">
        <v>12</v>
      </c>
      <c r="H753" s="226">
        <v>1</v>
      </c>
      <c r="L753" s="226">
        <v>1</v>
      </c>
    </row>
    <row r="754" spans="1:12" ht="10.5" customHeight="1" x14ac:dyDescent="0.3">
      <c r="A754" s="156" t="s">
        <v>607</v>
      </c>
      <c r="B754" s="227" t="s">
        <v>928</v>
      </c>
      <c r="C754" s="226" t="s">
        <v>683</v>
      </c>
      <c r="D754" s="701" t="s">
        <v>855</v>
      </c>
      <c r="E754" s="701"/>
      <c r="F754" s="701"/>
      <c r="G754" s="226" t="s">
        <v>12</v>
      </c>
      <c r="H754" s="226">
        <v>1</v>
      </c>
      <c r="L754" s="226">
        <v>1</v>
      </c>
    </row>
    <row r="755" spans="1:12" ht="10.5" customHeight="1" x14ac:dyDescent="0.3">
      <c r="A755" s="156" t="s">
        <v>608</v>
      </c>
      <c r="B755" s="227" t="s">
        <v>1004</v>
      </c>
      <c r="C755" s="226" t="s">
        <v>683</v>
      </c>
      <c r="D755" s="701" t="s">
        <v>855</v>
      </c>
      <c r="E755" s="701"/>
      <c r="F755" s="701"/>
      <c r="G755" s="226" t="s">
        <v>12</v>
      </c>
      <c r="H755" s="226">
        <v>1</v>
      </c>
      <c r="L755" s="226">
        <v>1</v>
      </c>
    </row>
    <row r="756" spans="1:12" ht="10.5" customHeight="1" x14ac:dyDescent="0.3">
      <c r="A756" s="156" t="s">
        <v>610</v>
      </c>
      <c r="B756" s="227" t="s">
        <v>929</v>
      </c>
      <c r="C756" s="226" t="s">
        <v>683</v>
      </c>
      <c r="D756" s="701" t="s">
        <v>855</v>
      </c>
      <c r="E756" s="701"/>
      <c r="F756" s="701"/>
      <c r="G756" s="226" t="s">
        <v>12</v>
      </c>
      <c r="H756" s="226">
        <v>1</v>
      </c>
      <c r="L756" s="226">
        <v>1</v>
      </c>
    </row>
    <row r="757" spans="1:12" ht="10.5" customHeight="1" x14ac:dyDescent="0.3">
      <c r="A757" s="156" t="s">
        <v>612</v>
      </c>
      <c r="B757" s="227" t="s">
        <v>930</v>
      </c>
      <c r="C757" s="226" t="s">
        <v>683</v>
      </c>
      <c r="D757" s="701" t="s">
        <v>855</v>
      </c>
      <c r="E757" s="701"/>
      <c r="F757" s="701"/>
      <c r="G757" s="226" t="s">
        <v>12</v>
      </c>
      <c r="H757" s="226">
        <v>1</v>
      </c>
      <c r="L757" s="226">
        <v>1</v>
      </c>
    </row>
    <row r="758" spans="1:12" ht="10.5" customHeight="1" x14ac:dyDescent="0.3">
      <c r="A758" s="156" t="s">
        <v>614</v>
      </c>
      <c r="B758" s="227" t="s">
        <v>931</v>
      </c>
      <c r="C758" s="226" t="s">
        <v>683</v>
      </c>
      <c r="D758" s="701" t="s">
        <v>855</v>
      </c>
      <c r="E758" s="701"/>
      <c r="F758" s="701"/>
      <c r="G758" s="226" t="s">
        <v>12</v>
      </c>
      <c r="H758" s="226">
        <v>1</v>
      </c>
      <c r="L758" s="226">
        <v>1</v>
      </c>
    </row>
    <row r="759" spans="1:12" ht="10.5" customHeight="1" x14ac:dyDescent="0.3">
      <c r="A759" s="156" t="s">
        <v>615</v>
      </c>
      <c r="B759" s="227" t="s">
        <v>934</v>
      </c>
      <c r="C759" s="226" t="s">
        <v>684</v>
      </c>
      <c r="D759" s="701" t="s">
        <v>738</v>
      </c>
      <c r="E759" s="701"/>
      <c r="F759" s="701"/>
      <c r="G759" s="226" t="s">
        <v>12</v>
      </c>
      <c r="H759" s="226">
        <v>1</v>
      </c>
      <c r="L759" s="226">
        <v>1</v>
      </c>
    </row>
    <row r="760" spans="1:12" ht="10.5" customHeight="1" x14ac:dyDescent="0.3">
      <c r="A760" s="156" t="s">
        <v>617</v>
      </c>
      <c r="B760" s="227" t="s">
        <v>935</v>
      </c>
      <c r="C760" s="226" t="s">
        <v>684</v>
      </c>
      <c r="D760" s="701" t="s">
        <v>738</v>
      </c>
      <c r="E760" s="701"/>
      <c r="F760" s="701"/>
      <c r="G760" s="226" t="s">
        <v>12</v>
      </c>
      <c r="H760" s="226">
        <v>1</v>
      </c>
      <c r="L760" s="226">
        <v>1</v>
      </c>
    </row>
    <row r="761" spans="1:12" ht="10.5" customHeight="1" x14ac:dyDescent="0.3">
      <c r="A761" s="156" t="s">
        <v>619</v>
      </c>
      <c r="B761" s="227" t="s">
        <v>936</v>
      </c>
      <c r="C761" s="226" t="s">
        <v>684</v>
      </c>
      <c r="D761" s="701" t="s">
        <v>738</v>
      </c>
      <c r="E761" s="701"/>
      <c r="F761" s="701"/>
      <c r="G761" s="226" t="s">
        <v>12</v>
      </c>
      <c r="H761" s="226">
        <v>1</v>
      </c>
      <c r="L761" s="226">
        <v>1</v>
      </c>
    </row>
    <row r="762" spans="1:12" ht="10.5" customHeight="1" x14ac:dyDescent="0.3">
      <c r="A762" s="156" t="s">
        <v>621</v>
      </c>
      <c r="B762" s="227" t="s">
        <v>937</v>
      </c>
      <c r="C762" s="226" t="s">
        <v>684</v>
      </c>
      <c r="D762" s="701" t="s">
        <v>738</v>
      </c>
      <c r="E762" s="701"/>
      <c r="F762" s="701"/>
      <c r="G762" s="226" t="s">
        <v>12</v>
      </c>
      <c r="H762" s="226">
        <v>1</v>
      </c>
      <c r="L762" s="226">
        <v>1</v>
      </c>
    </row>
    <row r="763" spans="1:12" ht="10.5" customHeight="1" x14ac:dyDescent="0.3">
      <c r="A763" s="156" t="s">
        <v>622</v>
      </c>
      <c r="B763" s="227" t="s">
        <v>932</v>
      </c>
      <c r="C763" s="226" t="s">
        <v>684</v>
      </c>
      <c r="D763" s="701" t="s">
        <v>738</v>
      </c>
      <c r="E763" s="701"/>
      <c r="F763" s="701"/>
      <c r="G763" s="226" t="s">
        <v>12</v>
      </c>
      <c r="H763" s="226">
        <v>1</v>
      </c>
      <c r="L763" s="226">
        <v>1</v>
      </c>
    </row>
    <row r="764" spans="1:12" ht="10.5" customHeight="1" x14ac:dyDescent="0.3">
      <c r="A764" s="156" t="s">
        <v>624</v>
      </c>
      <c r="B764" s="227" t="s">
        <v>938</v>
      </c>
      <c r="C764" s="226" t="s">
        <v>684</v>
      </c>
      <c r="D764" s="701" t="s">
        <v>738</v>
      </c>
      <c r="E764" s="701"/>
      <c r="F764" s="701"/>
      <c r="G764" s="226" t="s">
        <v>12</v>
      </c>
      <c r="H764" s="226">
        <v>1</v>
      </c>
      <c r="L764" s="226">
        <v>1</v>
      </c>
    </row>
    <row r="765" spans="1:12" ht="10.5" customHeight="1" x14ac:dyDescent="0.3">
      <c r="A765" s="156" t="s">
        <v>626</v>
      </c>
      <c r="B765" s="227" t="s">
        <v>939</v>
      </c>
      <c r="C765" s="226" t="s">
        <v>684</v>
      </c>
      <c r="D765" s="701" t="s">
        <v>738</v>
      </c>
      <c r="E765" s="701"/>
      <c r="F765" s="701"/>
      <c r="G765" s="226" t="s">
        <v>12</v>
      </c>
      <c r="H765" s="226">
        <v>1</v>
      </c>
      <c r="L765" s="226">
        <v>1</v>
      </c>
    </row>
    <row r="766" spans="1:12" ht="10.5" customHeight="1" x14ac:dyDescent="0.3">
      <c r="A766" s="156" t="s">
        <v>628</v>
      </c>
      <c r="B766" s="227" t="s">
        <v>940</v>
      </c>
      <c r="C766" s="226" t="s">
        <v>684</v>
      </c>
      <c r="D766" s="701" t="s">
        <v>738</v>
      </c>
      <c r="E766" s="701"/>
      <c r="F766" s="701"/>
      <c r="G766" s="226" t="s">
        <v>12</v>
      </c>
      <c r="H766" s="226">
        <v>1</v>
      </c>
      <c r="L766" s="226">
        <v>1</v>
      </c>
    </row>
    <row r="767" spans="1:12" ht="10.5" customHeight="1" x14ac:dyDescent="0.3">
      <c r="A767" s="156" t="s">
        <v>630</v>
      </c>
      <c r="B767" s="227" t="s">
        <v>941</v>
      </c>
      <c r="C767" s="226" t="s">
        <v>684</v>
      </c>
      <c r="D767" s="701" t="s">
        <v>738</v>
      </c>
      <c r="E767" s="701"/>
      <c r="F767" s="701"/>
      <c r="G767" s="226" t="s">
        <v>12</v>
      </c>
      <c r="H767" s="226">
        <v>1</v>
      </c>
      <c r="L767" s="226">
        <v>1</v>
      </c>
    </row>
    <row r="768" spans="1:12" ht="10.5" customHeight="1" x14ac:dyDescent="0.3">
      <c r="A768" s="156" t="s">
        <v>632</v>
      </c>
      <c r="B768" s="227" t="s">
        <v>942</v>
      </c>
      <c r="C768" s="226" t="s">
        <v>684</v>
      </c>
      <c r="D768" s="701" t="s">
        <v>738</v>
      </c>
      <c r="E768" s="701"/>
      <c r="F768" s="701"/>
      <c r="G768" s="226" t="s">
        <v>12</v>
      </c>
      <c r="H768" s="226">
        <v>1</v>
      </c>
      <c r="L768" s="226">
        <v>1</v>
      </c>
    </row>
    <row r="769" spans="1:12" ht="10.5" customHeight="1" x14ac:dyDescent="0.3">
      <c r="A769" s="156" t="s">
        <v>632</v>
      </c>
      <c r="B769" s="227" t="s">
        <v>942</v>
      </c>
      <c r="C769" s="226" t="s">
        <v>684</v>
      </c>
      <c r="D769" s="701" t="s">
        <v>738</v>
      </c>
      <c r="E769" s="701"/>
      <c r="F769" s="701"/>
      <c r="G769" s="226" t="s">
        <v>12</v>
      </c>
      <c r="H769" s="226">
        <v>1</v>
      </c>
      <c r="L769" s="226">
        <v>1</v>
      </c>
    </row>
    <row r="770" spans="1:12" ht="10.5" customHeight="1" x14ac:dyDescent="0.3">
      <c r="A770" s="156" t="s">
        <v>634</v>
      </c>
      <c r="B770" s="227" t="s">
        <v>943</v>
      </c>
      <c r="C770" s="226" t="s">
        <v>684</v>
      </c>
      <c r="D770" s="701" t="s">
        <v>738</v>
      </c>
      <c r="E770" s="701"/>
      <c r="F770" s="701"/>
      <c r="G770" s="226" t="s">
        <v>12</v>
      </c>
      <c r="H770" s="226">
        <v>1</v>
      </c>
      <c r="L770" s="226">
        <v>1</v>
      </c>
    </row>
    <row r="771" spans="1:12" ht="10.5" customHeight="1" x14ac:dyDescent="0.3">
      <c r="A771" s="156" t="s">
        <v>638</v>
      </c>
      <c r="B771" s="227" t="s">
        <v>944</v>
      </c>
      <c r="C771" s="226" t="s">
        <v>684</v>
      </c>
      <c r="D771" s="701" t="s">
        <v>738</v>
      </c>
      <c r="E771" s="701"/>
      <c r="F771" s="701"/>
      <c r="G771" s="226" t="s">
        <v>12</v>
      </c>
      <c r="H771" s="226">
        <v>1</v>
      </c>
      <c r="L771" s="226">
        <v>1</v>
      </c>
    </row>
    <row r="772" spans="1:12" ht="10.5" customHeight="1" x14ac:dyDescent="0.3">
      <c r="A772" s="156" t="s">
        <v>640</v>
      </c>
      <c r="B772" s="227" t="s">
        <v>945</v>
      </c>
      <c r="C772" s="226" t="s">
        <v>684</v>
      </c>
      <c r="D772" s="701" t="s">
        <v>738</v>
      </c>
      <c r="E772" s="701"/>
      <c r="F772" s="701"/>
      <c r="G772" s="226" t="s">
        <v>12</v>
      </c>
      <c r="H772" s="226">
        <v>1</v>
      </c>
      <c r="L772" s="226">
        <v>1</v>
      </c>
    </row>
    <row r="773" spans="1:12" ht="10.5" customHeight="1" x14ac:dyDescent="0.3">
      <c r="A773" s="156" t="s">
        <v>642</v>
      </c>
      <c r="B773" s="227" t="s">
        <v>946</v>
      </c>
      <c r="C773" s="226" t="s">
        <v>684</v>
      </c>
      <c r="D773" s="701" t="s">
        <v>738</v>
      </c>
      <c r="E773" s="701"/>
      <c r="F773" s="701"/>
      <c r="G773" s="226" t="s">
        <v>12</v>
      </c>
      <c r="H773" s="226">
        <v>1</v>
      </c>
      <c r="L773" s="226">
        <v>1</v>
      </c>
    </row>
    <row r="774" spans="1:12" ht="10.5" customHeight="1" x14ac:dyDescent="0.3">
      <c r="A774" s="156" t="s">
        <v>644</v>
      </c>
      <c r="B774" s="227" t="s">
        <v>947</v>
      </c>
      <c r="C774" s="226" t="s">
        <v>684</v>
      </c>
      <c r="D774" s="701" t="s">
        <v>738</v>
      </c>
      <c r="E774" s="701"/>
      <c r="F774" s="701"/>
      <c r="G774" s="226" t="s">
        <v>12</v>
      </c>
      <c r="H774" s="226">
        <v>1</v>
      </c>
      <c r="L774" s="226">
        <v>1</v>
      </c>
    </row>
    <row r="775" spans="1:12" ht="10.5" customHeight="1" x14ac:dyDescent="0.3">
      <c r="A775" s="156" t="s">
        <v>646</v>
      </c>
      <c r="B775" s="227" t="s">
        <v>948</v>
      </c>
      <c r="C775" s="226" t="s">
        <v>684</v>
      </c>
      <c r="D775" s="701" t="s">
        <v>738</v>
      </c>
      <c r="E775" s="701"/>
      <c r="F775" s="701"/>
      <c r="G775" s="226" t="s">
        <v>12</v>
      </c>
      <c r="H775" s="226">
        <v>1</v>
      </c>
      <c r="L775" s="226">
        <v>1</v>
      </c>
    </row>
    <row r="776" spans="1:12" ht="10.5" customHeight="1" x14ac:dyDescent="0.3">
      <c r="A776" s="156" t="s">
        <v>648</v>
      </c>
      <c r="B776" s="227" t="s">
        <v>949</v>
      </c>
      <c r="C776" s="226" t="s">
        <v>684</v>
      </c>
      <c r="D776" s="701" t="s">
        <v>738</v>
      </c>
      <c r="E776" s="701"/>
      <c r="F776" s="701"/>
      <c r="G776" s="226" t="s">
        <v>12</v>
      </c>
      <c r="H776" s="226">
        <v>1</v>
      </c>
      <c r="L776" s="226">
        <v>1</v>
      </c>
    </row>
    <row r="777" spans="1:12" ht="10.5" customHeight="1" x14ac:dyDescent="0.3">
      <c r="A777" s="156" t="s">
        <v>649</v>
      </c>
      <c r="B777" s="227" t="s">
        <v>933</v>
      </c>
      <c r="C777" s="226" t="s">
        <v>684</v>
      </c>
      <c r="D777" s="701" t="s">
        <v>738</v>
      </c>
      <c r="E777" s="701"/>
      <c r="F777" s="701"/>
      <c r="G777" s="226" t="s">
        <v>12</v>
      </c>
      <c r="H777" s="226">
        <v>1</v>
      </c>
      <c r="L777" s="226">
        <v>1</v>
      </c>
    </row>
    <row r="778" spans="1:12" ht="10.5" customHeight="1" x14ac:dyDescent="0.3">
      <c r="A778" s="156" t="s">
        <v>651</v>
      </c>
      <c r="B778" s="227" t="s">
        <v>950</v>
      </c>
      <c r="C778" s="226" t="s">
        <v>684</v>
      </c>
      <c r="D778" s="701" t="s">
        <v>738</v>
      </c>
      <c r="E778" s="701"/>
      <c r="F778" s="701"/>
      <c r="G778" s="226" t="s">
        <v>12</v>
      </c>
      <c r="H778" s="226">
        <v>1</v>
      </c>
      <c r="L778" s="226">
        <v>1</v>
      </c>
    </row>
    <row r="779" spans="1:12" ht="10.5" customHeight="1" x14ac:dyDescent="0.3">
      <c r="A779" s="156" t="s">
        <v>653</v>
      </c>
      <c r="B779" s="227" t="s">
        <v>951</v>
      </c>
      <c r="C779" s="226" t="s">
        <v>684</v>
      </c>
      <c r="D779" s="701" t="s">
        <v>738</v>
      </c>
      <c r="E779" s="701"/>
      <c r="F779" s="701"/>
      <c r="G779" s="226" t="s">
        <v>12</v>
      </c>
      <c r="H779" s="226">
        <v>1</v>
      </c>
      <c r="L779" s="226">
        <v>1</v>
      </c>
    </row>
    <row r="780" spans="1:12" ht="10.5" customHeight="1" x14ac:dyDescent="0.3">
      <c r="A780" s="156" t="s">
        <v>655</v>
      </c>
      <c r="B780" s="227" t="s">
        <v>952</v>
      </c>
      <c r="C780" s="226" t="s">
        <v>684</v>
      </c>
      <c r="D780" s="701" t="s">
        <v>738</v>
      </c>
      <c r="E780" s="701"/>
      <c r="F780" s="701"/>
      <c r="G780" s="226" t="s">
        <v>12</v>
      </c>
      <c r="H780" s="226">
        <v>1</v>
      </c>
      <c r="L780" s="226">
        <v>1</v>
      </c>
    </row>
    <row r="781" spans="1:12" ht="10.5" customHeight="1" x14ac:dyDescent="0.3">
      <c r="A781" s="156" t="s">
        <v>657</v>
      </c>
      <c r="B781" s="227" t="s">
        <v>953</v>
      </c>
      <c r="C781" s="226" t="s">
        <v>684</v>
      </c>
      <c r="D781" s="701" t="s">
        <v>738</v>
      </c>
      <c r="E781" s="701"/>
      <c r="F781" s="701"/>
      <c r="G781" s="226" t="s">
        <v>12</v>
      </c>
      <c r="H781" s="226">
        <v>1</v>
      </c>
      <c r="L781" s="226">
        <v>1</v>
      </c>
    </row>
    <row r="782" spans="1:12" ht="10.5" customHeight="1" x14ac:dyDescent="0.3">
      <c r="A782" s="156" t="s">
        <v>659</v>
      </c>
      <c r="B782" s="227" t="s">
        <v>954</v>
      </c>
      <c r="C782" s="226" t="s">
        <v>684</v>
      </c>
      <c r="D782" s="701" t="s">
        <v>738</v>
      </c>
      <c r="E782" s="701"/>
      <c r="F782" s="701"/>
      <c r="G782" s="226" t="s">
        <v>12</v>
      </c>
      <c r="H782" s="226">
        <v>1</v>
      </c>
      <c r="L782" s="226">
        <v>1</v>
      </c>
    </row>
    <row r="783" spans="1:12" ht="10.5" customHeight="1" x14ac:dyDescent="0.3">
      <c r="A783" s="156" t="s">
        <v>660</v>
      </c>
      <c r="B783" s="227" t="s">
        <v>955</v>
      </c>
      <c r="C783" s="226" t="s">
        <v>684</v>
      </c>
      <c r="D783" s="701" t="s">
        <v>738</v>
      </c>
      <c r="E783" s="701"/>
      <c r="F783" s="701"/>
      <c r="G783" s="226" t="s">
        <v>12</v>
      </c>
      <c r="H783" s="226">
        <v>1</v>
      </c>
      <c r="L783" s="226">
        <v>1</v>
      </c>
    </row>
    <row r="784" spans="1:12" ht="10.5" customHeight="1" x14ac:dyDescent="0.3">
      <c r="A784" s="156" t="s">
        <v>686</v>
      </c>
      <c r="B784" s="227" t="s">
        <v>956</v>
      </c>
      <c r="C784" s="226" t="s">
        <v>684</v>
      </c>
      <c r="D784" s="701" t="s">
        <v>738</v>
      </c>
      <c r="E784" s="701"/>
      <c r="F784" s="701"/>
      <c r="G784" s="226" t="s">
        <v>12</v>
      </c>
      <c r="H784" s="226">
        <v>1</v>
      </c>
      <c r="L784" s="226">
        <v>1</v>
      </c>
    </row>
    <row r="785" spans="1:12" ht="10.5" customHeight="1" x14ac:dyDescent="0.3">
      <c r="A785" s="156" t="s">
        <v>688</v>
      </c>
      <c r="B785" s="227" t="s">
        <v>957</v>
      </c>
      <c r="C785" s="226" t="s">
        <v>684</v>
      </c>
      <c r="D785" s="701" t="s">
        <v>738</v>
      </c>
      <c r="E785" s="701"/>
      <c r="F785" s="701"/>
      <c r="G785" s="226" t="s">
        <v>12</v>
      </c>
      <c r="H785" s="226">
        <v>1</v>
      </c>
      <c r="L785" s="226">
        <v>1</v>
      </c>
    </row>
    <row r="786" spans="1:12" ht="10.5" customHeight="1" x14ac:dyDescent="0.3">
      <c r="A786" s="156" t="s">
        <v>690</v>
      </c>
      <c r="B786" s="227" t="s">
        <v>958</v>
      </c>
      <c r="C786" s="226" t="s">
        <v>684</v>
      </c>
      <c r="D786" s="701" t="s">
        <v>738</v>
      </c>
      <c r="E786" s="701"/>
      <c r="F786" s="701"/>
      <c r="G786" s="226" t="s">
        <v>12</v>
      </c>
      <c r="H786" s="226">
        <v>1</v>
      </c>
      <c r="L786" s="226">
        <v>1</v>
      </c>
    </row>
    <row r="787" spans="1:12" ht="10.5" customHeight="1" x14ac:dyDescent="0.3">
      <c r="A787" s="156" t="s">
        <v>691</v>
      </c>
      <c r="B787" s="227" t="s">
        <v>959</v>
      </c>
      <c r="C787" s="226" t="s">
        <v>684</v>
      </c>
      <c r="D787" s="701" t="s">
        <v>738</v>
      </c>
      <c r="E787" s="701"/>
      <c r="F787" s="701"/>
      <c r="G787" s="226" t="s">
        <v>12</v>
      </c>
      <c r="H787" s="226">
        <v>1</v>
      </c>
      <c r="L787" s="226">
        <v>1</v>
      </c>
    </row>
    <row r="788" spans="1:12" ht="10.5" customHeight="1" x14ac:dyDescent="0.3">
      <c r="A788" s="156" t="s">
        <v>693</v>
      </c>
      <c r="B788" s="227" t="s">
        <v>960</v>
      </c>
      <c r="C788" s="226" t="s">
        <v>684</v>
      </c>
      <c r="D788" s="701" t="s">
        <v>738</v>
      </c>
      <c r="E788" s="701"/>
      <c r="F788" s="701"/>
      <c r="G788" s="226" t="s">
        <v>12</v>
      </c>
      <c r="H788" s="226">
        <v>1</v>
      </c>
      <c r="L788" s="226">
        <v>1</v>
      </c>
    </row>
    <row r="789" spans="1:12" ht="10.5" customHeight="1" x14ac:dyDescent="0.3">
      <c r="A789" s="156" t="s">
        <v>695</v>
      </c>
      <c r="B789" s="227" t="s">
        <v>961</v>
      </c>
      <c r="C789" s="226" t="s">
        <v>684</v>
      </c>
      <c r="D789" s="701" t="s">
        <v>738</v>
      </c>
      <c r="E789" s="701"/>
      <c r="F789" s="701"/>
      <c r="G789" s="226" t="s">
        <v>12</v>
      </c>
      <c r="H789" s="226">
        <v>1</v>
      </c>
      <c r="L789" s="226">
        <v>1</v>
      </c>
    </row>
    <row r="790" spans="1:12" ht="10.5" customHeight="1" x14ac:dyDescent="0.3">
      <c r="A790" s="156" t="s">
        <v>697</v>
      </c>
      <c r="B790" s="227" t="s">
        <v>962</v>
      </c>
      <c r="C790" s="226" t="s">
        <v>684</v>
      </c>
      <c r="D790" s="701" t="s">
        <v>738</v>
      </c>
      <c r="E790" s="701"/>
      <c r="F790" s="701"/>
      <c r="G790" s="226" t="s">
        <v>12</v>
      </c>
      <c r="H790" s="226">
        <v>1</v>
      </c>
      <c r="L790" s="226">
        <v>1</v>
      </c>
    </row>
    <row r="791" spans="1:12" ht="10.5" customHeight="1" x14ac:dyDescent="0.3">
      <c r="A791" s="156" t="s">
        <v>699</v>
      </c>
      <c r="B791" s="227" t="s">
        <v>963</v>
      </c>
      <c r="C791" s="226" t="s">
        <v>684</v>
      </c>
      <c r="D791" s="701" t="s">
        <v>738</v>
      </c>
      <c r="E791" s="701"/>
      <c r="F791" s="701"/>
      <c r="G791" s="226" t="s">
        <v>12</v>
      </c>
      <c r="H791" s="226">
        <v>1</v>
      </c>
      <c r="L791" s="226">
        <v>1</v>
      </c>
    </row>
    <row r="792" spans="1:12" ht="10.5" customHeight="1" x14ac:dyDescent="0.3">
      <c r="A792" s="156" t="s">
        <v>701</v>
      </c>
      <c r="B792" s="227" t="s">
        <v>964</v>
      </c>
      <c r="C792" s="226" t="s">
        <v>684</v>
      </c>
      <c r="D792" s="701" t="s">
        <v>738</v>
      </c>
      <c r="E792" s="701"/>
      <c r="F792" s="701"/>
      <c r="G792" s="226" t="s">
        <v>12</v>
      </c>
      <c r="H792" s="226">
        <v>1</v>
      </c>
      <c r="L792" s="226">
        <v>1</v>
      </c>
    </row>
    <row r="793" spans="1:12" ht="10.5" customHeight="1" x14ac:dyDescent="0.3">
      <c r="A793" s="156" t="s">
        <v>703</v>
      </c>
      <c r="B793" s="227" t="s">
        <v>965</v>
      </c>
      <c r="C793" s="226" t="s">
        <v>684</v>
      </c>
      <c r="D793" s="701" t="s">
        <v>738</v>
      </c>
      <c r="E793" s="701"/>
      <c r="F793" s="701"/>
      <c r="G793" s="226" t="s">
        <v>12</v>
      </c>
      <c r="H793" s="226">
        <v>1</v>
      </c>
      <c r="L793" s="226">
        <v>1</v>
      </c>
    </row>
    <row r="794" spans="1:12" ht="10.5" customHeight="1" x14ac:dyDescent="0.3">
      <c r="A794" s="156" t="s">
        <v>705</v>
      </c>
      <c r="B794" s="227" t="s">
        <v>966</v>
      </c>
      <c r="C794" s="226" t="s">
        <v>684</v>
      </c>
      <c r="D794" s="701" t="s">
        <v>738</v>
      </c>
      <c r="E794" s="701"/>
      <c r="F794" s="701"/>
      <c r="G794" s="226" t="s">
        <v>12</v>
      </c>
      <c r="H794" s="226">
        <v>1</v>
      </c>
      <c r="L794" s="226">
        <v>1</v>
      </c>
    </row>
    <row r="795" spans="1:12" ht="10.5" customHeight="1" x14ac:dyDescent="0.3">
      <c r="A795" s="156" t="s">
        <v>730</v>
      </c>
      <c r="B795" s="227" t="s">
        <v>967</v>
      </c>
      <c r="C795" s="226" t="s">
        <v>684</v>
      </c>
      <c r="D795" s="701" t="s">
        <v>738</v>
      </c>
      <c r="E795" s="701"/>
      <c r="F795" s="701"/>
      <c r="G795" s="226" t="s">
        <v>12</v>
      </c>
      <c r="H795" s="226">
        <v>1</v>
      </c>
      <c r="L795" s="226">
        <v>1</v>
      </c>
    </row>
    <row r="796" spans="1:12" ht="10.5" customHeight="1" x14ac:dyDescent="0.3">
      <c r="A796" s="156" t="s">
        <v>732</v>
      </c>
      <c r="B796" s="227" t="s">
        <v>968</v>
      </c>
      <c r="C796" s="226" t="s">
        <v>684</v>
      </c>
      <c r="D796" s="701" t="s">
        <v>738</v>
      </c>
      <c r="E796" s="701"/>
      <c r="F796" s="701"/>
      <c r="G796" s="226" t="s">
        <v>12</v>
      </c>
      <c r="H796" s="226">
        <v>1</v>
      </c>
      <c r="L796" s="226">
        <v>1</v>
      </c>
    </row>
    <row r="797" spans="1:12" ht="10.5" customHeight="1" x14ac:dyDescent="0.3">
      <c r="A797" s="156" t="s">
        <v>740</v>
      </c>
      <c r="B797" s="227" t="s">
        <v>969</v>
      </c>
      <c r="C797" s="226" t="s">
        <v>684</v>
      </c>
      <c r="D797" s="701" t="s">
        <v>738</v>
      </c>
      <c r="E797" s="701"/>
      <c r="F797" s="701"/>
      <c r="G797" s="226" t="s">
        <v>12</v>
      </c>
      <c r="H797" s="226">
        <v>1</v>
      </c>
      <c r="L797" s="226">
        <v>1</v>
      </c>
    </row>
    <row r="798" spans="1:12" ht="10.5" customHeight="1" x14ac:dyDescent="0.3">
      <c r="A798" s="156" t="s">
        <v>742</v>
      </c>
      <c r="B798" s="227" t="s">
        <v>970</v>
      </c>
      <c r="C798" s="226" t="s">
        <v>684</v>
      </c>
      <c r="D798" s="701" t="s">
        <v>738</v>
      </c>
      <c r="E798" s="701"/>
      <c r="F798" s="701"/>
      <c r="G798" s="226" t="s">
        <v>12</v>
      </c>
      <c r="H798" s="226">
        <v>1</v>
      </c>
      <c r="L798" s="226">
        <v>1</v>
      </c>
    </row>
    <row r="799" spans="1:12" ht="10.5" customHeight="1" x14ac:dyDescent="0.3">
      <c r="A799" s="156" t="s">
        <v>744</v>
      </c>
      <c r="B799" s="227" t="s">
        <v>971</v>
      </c>
      <c r="C799" s="226" t="s">
        <v>684</v>
      </c>
      <c r="D799" s="701" t="s">
        <v>738</v>
      </c>
      <c r="E799" s="701"/>
      <c r="F799" s="701"/>
      <c r="G799" s="226" t="s">
        <v>12</v>
      </c>
      <c r="H799" s="226">
        <v>1</v>
      </c>
      <c r="L799" s="226">
        <v>1</v>
      </c>
    </row>
    <row r="800" spans="1:12" ht="10.5" customHeight="1" x14ac:dyDescent="0.3">
      <c r="A800" s="156" t="s">
        <v>746</v>
      </c>
      <c r="B800" s="227" t="s">
        <v>972</v>
      </c>
      <c r="C800" s="226" t="s">
        <v>684</v>
      </c>
      <c r="D800" s="701" t="s">
        <v>738</v>
      </c>
      <c r="E800" s="701"/>
      <c r="F800" s="701"/>
      <c r="G800" s="226" t="s">
        <v>12</v>
      </c>
      <c r="H800" s="226">
        <v>1</v>
      </c>
      <c r="L800" s="226">
        <v>1</v>
      </c>
    </row>
    <row r="801" spans="1:12" ht="10.5" customHeight="1" x14ac:dyDescent="0.3">
      <c r="A801" s="156" t="s">
        <v>748</v>
      </c>
      <c r="B801" s="227" t="s">
        <v>973</v>
      </c>
      <c r="C801" s="226" t="s">
        <v>684</v>
      </c>
      <c r="D801" s="701" t="s">
        <v>738</v>
      </c>
      <c r="E801" s="701"/>
      <c r="F801" s="701"/>
      <c r="G801" s="226" t="s">
        <v>12</v>
      </c>
      <c r="H801" s="226">
        <v>1</v>
      </c>
      <c r="L801" s="226">
        <v>1</v>
      </c>
    </row>
    <row r="802" spans="1:12" ht="10.5" customHeight="1" x14ac:dyDescent="0.3">
      <c r="A802" s="156" t="s">
        <v>750</v>
      </c>
      <c r="B802" s="227" t="s">
        <v>974</v>
      </c>
      <c r="C802" s="226" t="s">
        <v>684</v>
      </c>
      <c r="D802" s="701" t="s">
        <v>738</v>
      </c>
      <c r="E802" s="701"/>
      <c r="F802" s="701"/>
      <c r="G802" s="226" t="s">
        <v>12</v>
      </c>
      <c r="H802" s="226">
        <v>1</v>
      </c>
      <c r="L802" s="226">
        <v>1</v>
      </c>
    </row>
    <row r="803" spans="1:12" ht="10.5" customHeight="1" x14ac:dyDescent="0.3">
      <c r="A803" s="156" t="s">
        <v>751</v>
      </c>
      <c r="B803" s="227" t="s">
        <v>975</v>
      </c>
      <c r="C803" s="226" t="s">
        <v>684</v>
      </c>
      <c r="D803" s="701" t="s">
        <v>738</v>
      </c>
      <c r="E803" s="701"/>
      <c r="F803" s="701"/>
      <c r="G803" s="226" t="s">
        <v>12</v>
      </c>
      <c r="H803" s="226">
        <v>1</v>
      </c>
      <c r="L803" s="226">
        <v>1</v>
      </c>
    </row>
    <row r="804" spans="1:12" ht="10.5" customHeight="1" x14ac:dyDescent="0.3">
      <c r="A804" s="156" t="s">
        <v>754</v>
      </c>
      <c r="B804" s="227" t="s">
        <v>976</v>
      </c>
      <c r="C804" s="226" t="s">
        <v>684</v>
      </c>
      <c r="D804" s="701" t="s">
        <v>738</v>
      </c>
      <c r="E804" s="701"/>
      <c r="F804" s="701"/>
      <c r="G804" s="226" t="s">
        <v>12</v>
      </c>
      <c r="H804" s="226">
        <v>1</v>
      </c>
      <c r="L804" s="226">
        <v>1</v>
      </c>
    </row>
    <row r="805" spans="1:12" ht="10.5" customHeight="1" x14ac:dyDescent="0.3">
      <c r="A805" s="156" t="s">
        <v>757</v>
      </c>
      <c r="B805" s="227" t="s">
        <v>977</v>
      </c>
      <c r="C805" s="226" t="s">
        <v>684</v>
      </c>
      <c r="D805" s="701" t="s">
        <v>738</v>
      </c>
      <c r="E805" s="701"/>
      <c r="F805" s="701"/>
      <c r="G805" s="226" t="s">
        <v>12</v>
      </c>
      <c r="H805" s="226">
        <v>1</v>
      </c>
      <c r="L805" s="226">
        <v>1</v>
      </c>
    </row>
    <row r="806" spans="1:12" ht="10.5" customHeight="1" x14ac:dyDescent="0.3">
      <c r="A806" s="156" t="s">
        <v>763</v>
      </c>
      <c r="B806" s="227" t="s">
        <v>978</v>
      </c>
      <c r="C806" s="226" t="s">
        <v>684</v>
      </c>
      <c r="D806" s="701" t="s">
        <v>738</v>
      </c>
      <c r="E806" s="701"/>
      <c r="F806" s="701"/>
      <c r="G806" s="226" t="s">
        <v>12</v>
      </c>
      <c r="H806" s="226">
        <v>1</v>
      </c>
      <c r="L806" s="226">
        <v>1</v>
      </c>
    </row>
    <row r="807" spans="1:12" ht="10.5" customHeight="1" x14ac:dyDescent="0.3">
      <c r="A807" s="156" t="s">
        <v>765</v>
      </c>
      <c r="B807" s="227" t="s">
        <v>979</v>
      </c>
      <c r="C807" s="226" t="s">
        <v>684</v>
      </c>
      <c r="D807" s="701" t="s">
        <v>738</v>
      </c>
      <c r="E807" s="701"/>
      <c r="F807" s="701"/>
      <c r="G807" s="226" t="s">
        <v>12</v>
      </c>
      <c r="H807" s="226">
        <v>1</v>
      </c>
      <c r="L807" s="226">
        <v>1</v>
      </c>
    </row>
    <row r="808" spans="1:12" ht="10.5" customHeight="1" x14ac:dyDescent="0.3">
      <c r="A808" s="156" t="s">
        <v>767</v>
      </c>
      <c r="B808" s="227" t="s">
        <v>980</v>
      </c>
      <c r="C808" s="226" t="s">
        <v>684</v>
      </c>
      <c r="D808" s="701" t="s">
        <v>738</v>
      </c>
      <c r="E808" s="701"/>
      <c r="F808" s="701"/>
      <c r="G808" s="226" t="s">
        <v>12</v>
      </c>
      <c r="H808" s="226">
        <v>1</v>
      </c>
      <c r="L808" s="226">
        <v>1</v>
      </c>
    </row>
    <row r="809" spans="1:12" ht="10.5" customHeight="1" x14ac:dyDescent="0.3">
      <c r="A809" s="156" t="s">
        <v>769</v>
      </c>
      <c r="B809" s="227" t="s">
        <v>981</v>
      </c>
      <c r="C809" s="226" t="s">
        <v>684</v>
      </c>
      <c r="D809" s="701" t="s">
        <v>738</v>
      </c>
      <c r="E809" s="701"/>
      <c r="F809" s="701"/>
      <c r="G809" s="226" t="s">
        <v>12</v>
      </c>
      <c r="H809" s="226">
        <v>1</v>
      </c>
      <c r="L809" s="226">
        <v>1</v>
      </c>
    </row>
    <row r="810" spans="1:12" ht="10.5" customHeight="1" x14ac:dyDescent="0.3">
      <c r="A810" s="156" t="s">
        <v>770</v>
      </c>
      <c r="B810" s="227" t="s">
        <v>982</v>
      </c>
      <c r="C810" s="226" t="s">
        <v>684</v>
      </c>
      <c r="D810" s="701" t="s">
        <v>738</v>
      </c>
      <c r="E810" s="701"/>
      <c r="F810" s="701"/>
      <c r="G810" s="226" t="s">
        <v>12</v>
      </c>
      <c r="H810" s="226">
        <v>1</v>
      </c>
      <c r="L810" s="226">
        <v>1</v>
      </c>
    </row>
    <row r="811" spans="1:12" ht="10.5" customHeight="1" x14ac:dyDescent="0.3">
      <c r="A811" s="156" t="s">
        <v>772</v>
      </c>
      <c r="B811" s="227" t="s">
        <v>983</v>
      </c>
      <c r="C811" s="226" t="s">
        <v>684</v>
      </c>
      <c r="D811" s="701" t="s">
        <v>738</v>
      </c>
      <c r="E811" s="701"/>
      <c r="F811" s="701"/>
      <c r="G811" s="226" t="s">
        <v>12</v>
      </c>
      <c r="H811" s="226">
        <v>1</v>
      </c>
      <c r="L811" s="226">
        <v>1</v>
      </c>
    </row>
    <row r="812" spans="1:12" ht="10.5" customHeight="1" x14ac:dyDescent="0.3">
      <c r="A812" s="156" t="s">
        <v>774</v>
      </c>
      <c r="B812" s="227" t="s">
        <v>984</v>
      </c>
      <c r="C812" s="226" t="s">
        <v>684</v>
      </c>
      <c r="D812" s="701" t="s">
        <v>738</v>
      </c>
      <c r="E812" s="701"/>
      <c r="F812" s="701"/>
      <c r="G812" s="226" t="s">
        <v>12</v>
      </c>
      <c r="H812" s="226">
        <v>1</v>
      </c>
      <c r="L812" s="226">
        <v>1</v>
      </c>
    </row>
    <row r="813" spans="1:12" ht="10.5" customHeight="1" x14ac:dyDescent="0.3">
      <c r="A813" s="156" t="s">
        <v>776</v>
      </c>
      <c r="B813" s="227" t="s">
        <v>985</v>
      </c>
      <c r="C813" s="226" t="s">
        <v>684</v>
      </c>
      <c r="D813" s="701" t="s">
        <v>738</v>
      </c>
      <c r="E813" s="701"/>
      <c r="F813" s="701"/>
      <c r="G813" s="226" t="s">
        <v>12</v>
      </c>
      <c r="H813" s="226">
        <v>1</v>
      </c>
      <c r="L813" s="226">
        <v>1</v>
      </c>
    </row>
    <row r="814" spans="1:12" ht="10.5" customHeight="1" x14ac:dyDescent="0.3">
      <c r="A814" s="156" t="s">
        <v>787</v>
      </c>
      <c r="B814" s="227" t="s">
        <v>986</v>
      </c>
      <c r="C814" s="226" t="s">
        <v>684</v>
      </c>
      <c r="D814" s="701" t="s">
        <v>738</v>
      </c>
      <c r="E814" s="701"/>
      <c r="F814" s="701"/>
      <c r="G814" s="226" t="s">
        <v>12</v>
      </c>
      <c r="H814" s="226">
        <v>1</v>
      </c>
      <c r="L814" s="226">
        <v>1</v>
      </c>
    </row>
    <row r="815" spans="1:12" ht="10.5" customHeight="1" x14ac:dyDescent="0.3">
      <c r="A815" s="156" t="s">
        <v>789</v>
      </c>
      <c r="B815" s="227" t="s">
        <v>987</v>
      </c>
      <c r="C815" s="226" t="s">
        <v>684</v>
      </c>
      <c r="D815" s="701" t="s">
        <v>738</v>
      </c>
      <c r="E815" s="701"/>
      <c r="F815" s="701"/>
      <c r="G815" s="226" t="s">
        <v>12</v>
      </c>
      <c r="H815" s="226">
        <v>1</v>
      </c>
      <c r="L815" s="226">
        <v>1</v>
      </c>
    </row>
    <row r="816" spans="1:12" ht="10.5" customHeight="1" x14ac:dyDescent="0.3">
      <c r="A816" s="156" t="s">
        <v>791</v>
      </c>
      <c r="B816" s="227" t="s">
        <v>988</v>
      </c>
      <c r="C816" s="226" t="s">
        <v>684</v>
      </c>
      <c r="D816" s="701" t="s">
        <v>738</v>
      </c>
      <c r="E816" s="701"/>
      <c r="F816" s="701"/>
      <c r="G816" s="226" t="s">
        <v>12</v>
      </c>
      <c r="H816" s="226">
        <v>1</v>
      </c>
      <c r="L816" s="226">
        <v>1</v>
      </c>
    </row>
    <row r="817" spans="1:12" ht="10.5" customHeight="1" x14ac:dyDescent="0.3">
      <c r="A817" s="156" t="s">
        <v>1161</v>
      </c>
      <c r="B817" s="227" t="s">
        <v>1126</v>
      </c>
      <c r="C817" s="226" t="s">
        <v>1195</v>
      </c>
      <c r="D817" s="701" t="s">
        <v>1160</v>
      </c>
      <c r="E817" s="701"/>
      <c r="F817" s="701"/>
      <c r="G817" s="226" t="s">
        <v>12</v>
      </c>
      <c r="H817" s="226">
        <v>1</v>
      </c>
      <c r="L817" s="226">
        <v>1</v>
      </c>
    </row>
    <row r="818" spans="1:12" ht="10.5" customHeight="1" x14ac:dyDescent="0.3">
      <c r="A818" s="156" t="s">
        <v>1163</v>
      </c>
      <c r="B818" s="227" t="s">
        <v>1128</v>
      </c>
      <c r="C818" s="226" t="s">
        <v>1195</v>
      </c>
      <c r="D818" s="701" t="s">
        <v>1160</v>
      </c>
      <c r="E818" s="701"/>
      <c r="F818" s="701"/>
      <c r="G818" s="226" t="s">
        <v>12</v>
      </c>
      <c r="H818" s="226">
        <v>1</v>
      </c>
      <c r="L818" s="226">
        <v>1</v>
      </c>
    </row>
    <row r="819" spans="1:12" ht="10.5" customHeight="1" x14ac:dyDescent="0.3">
      <c r="A819" s="156" t="s">
        <v>1165</v>
      </c>
      <c r="B819" s="227" t="s">
        <v>1130</v>
      </c>
      <c r="C819" s="226" t="s">
        <v>1195</v>
      </c>
      <c r="D819" s="701" t="s">
        <v>1160</v>
      </c>
      <c r="E819" s="701"/>
      <c r="F819" s="701"/>
      <c r="G819" s="226" t="s">
        <v>12</v>
      </c>
      <c r="H819" s="226">
        <v>1</v>
      </c>
      <c r="L819" s="226">
        <v>1</v>
      </c>
    </row>
    <row r="820" spans="1:12" ht="10.5" customHeight="1" x14ac:dyDescent="0.3">
      <c r="A820" s="156" t="s">
        <v>1167</v>
      </c>
      <c r="B820" s="227" t="s">
        <v>1132</v>
      </c>
      <c r="C820" s="226" t="s">
        <v>1195</v>
      </c>
      <c r="D820" s="701" t="s">
        <v>1160</v>
      </c>
      <c r="E820" s="701"/>
      <c r="F820" s="701"/>
      <c r="G820" s="226" t="s">
        <v>12</v>
      </c>
      <c r="H820" s="226">
        <v>1</v>
      </c>
      <c r="L820" s="226">
        <v>1</v>
      </c>
    </row>
    <row r="821" spans="1:12" ht="10.5" customHeight="1" x14ac:dyDescent="0.3">
      <c r="A821" s="156" t="s">
        <v>1169</v>
      </c>
      <c r="B821" s="227" t="s">
        <v>1134</v>
      </c>
      <c r="C821" s="226" t="s">
        <v>1195</v>
      </c>
      <c r="D821" s="701" t="s">
        <v>1160</v>
      </c>
      <c r="E821" s="701"/>
      <c r="F821" s="701"/>
      <c r="G821" s="226" t="s">
        <v>12</v>
      </c>
      <c r="H821" s="226">
        <v>1</v>
      </c>
      <c r="L821" s="226">
        <v>1</v>
      </c>
    </row>
    <row r="822" spans="1:12" ht="10.5" customHeight="1" x14ac:dyDescent="0.3">
      <c r="A822" s="156" t="s">
        <v>1171</v>
      </c>
      <c r="B822" s="227" t="s">
        <v>1136</v>
      </c>
      <c r="C822" s="226" t="s">
        <v>1195</v>
      </c>
      <c r="D822" s="701" t="s">
        <v>1160</v>
      </c>
      <c r="E822" s="701"/>
      <c r="F822" s="701"/>
      <c r="G822" s="226" t="s">
        <v>12</v>
      </c>
      <c r="H822" s="226">
        <v>1</v>
      </c>
      <c r="L822" s="226">
        <v>1</v>
      </c>
    </row>
    <row r="823" spans="1:12" ht="10.5" customHeight="1" x14ac:dyDescent="0.3">
      <c r="A823" s="156" t="s">
        <v>1173</v>
      </c>
      <c r="B823" s="227" t="s">
        <v>1138</v>
      </c>
      <c r="C823" s="226" t="s">
        <v>1195</v>
      </c>
      <c r="D823" s="701" t="s">
        <v>1160</v>
      </c>
      <c r="E823" s="701"/>
      <c r="F823" s="701"/>
      <c r="G823" s="226" t="s">
        <v>12</v>
      </c>
      <c r="H823" s="226">
        <v>1</v>
      </c>
      <c r="L823" s="226">
        <v>1</v>
      </c>
    </row>
    <row r="824" spans="1:12" ht="10.5" customHeight="1" x14ac:dyDescent="0.3">
      <c r="A824" s="156" t="s">
        <v>1175</v>
      </c>
      <c r="B824" s="227" t="s">
        <v>1140</v>
      </c>
      <c r="C824" s="226" t="s">
        <v>1195</v>
      </c>
      <c r="D824" s="701" t="s">
        <v>1160</v>
      </c>
      <c r="E824" s="701"/>
      <c r="F824" s="701"/>
      <c r="G824" s="226" t="s">
        <v>12</v>
      </c>
      <c r="H824" s="226">
        <v>1</v>
      </c>
      <c r="L824" s="226">
        <v>1</v>
      </c>
    </row>
    <row r="825" spans="1:12" ht="10.5" customHeight="1" x14ac:dyDescent="0.3">
      <c r="A825" s="156" t="s">
        <v>1177</v>
      </c>
      <c r="B825" s="227" t="s">
        <v>1142</v>
      </c>
      <c r="C825" s="226" t="s">
        <v>1195</v>
      </c>
      <c r="D825" s="701" t="s">
        <v>1160</v>
      </c>
      <c r="E825" s="701"/>
      <c r="F825" s="701"/>
      <c r="G825" s="226" t="s">
        <v>12</v>
      </c>
      <c r="H825" s="226">
        <v>1</v>
      </c>
      <c r="L825" s="226">
        <v>1</v>
      </c>
    </row>
    <row r="826" spans="1:12" ht="10.5" customHeight="1" x14ac:dyDescent="0.3">
      <c r="A826" s="156" t="s">
        <v>1179</v>
      </c>
      <c r="B826" s="227" t="s">
        <v>1144</v>
      </c>
      <c r="C826" s="226" t="s">
        <v>1195</v>
      </c>
      <c r="D826" s="701" t="s">
        <v>1160</v>
      </c>
      <c r="E826" s="701"/>
      <c r="F826" s="701"/>
      <c r="G826" s="226" t="s">
        <v>12</v>
      </c>
      <c r="H826" s="226">
        <v>1</v>
      </c>
      <c r="L826" s="226">
        <v>1</v>
      </c>
    </row>
    <row r="827" spans="1:12" ht="10.5" customHeight="1" x14ac:dyDescent="0.3">
      <c r="A827" s="156" t="s">
        <v>1181</v>
      </c>
      <c r="B827" s="227" t="s">
        <v>1146</v>
      </c>
      <c r="C827" s="226" t="s">
        <v>1195</v>
      </c>
      <c r="D827" s="701" t="s">
        <v>1160</v>
      </c>
      <c r="E827" s="701"/>
      <c r="F827" s="701"/>
      <c r="G827" s="226" t="s">
        <v>12</v>
      </c>
      <c r="H827" s="226">
        <v>1</v>
      </c>
      <c r="L827" s="226">
        <v>1</v>
      </c>
    </row>
    <row r="828" spans="1:12" ht="10.5" customHeight="1" x14ac:dyDescent="0.3">
      <c r="A828" s="156" t="s">
        <v>1183</v>
      </c>
      <c r="B828" s="227" t="s">
        <v>1148</v>
      </c>
      <c r="C828" s="226" t="s">
        <v>1195</v>
      </c>
      <c r="D828" s="701" t="s">
        <v>1160</v>
      </c>
      <c r="E828" s="701"/>
      <c r="F828" s="701"/>
      <c r="G828" s="226" t="s">
        <v>12</v>
      </c>
      <c r="H828" s="226">
        <v>1</v>
      </c>
      <c r="L828" s="226">
        <v>1</v>
      </c>
    </row>
    <row r="829" spans="1:12" ht="10.5" customHeight="1" x14ac:dyDescent="0.3">
      <c r="A829" s="156" t="s">
        <v>1185</v>
      </c>
      <c r="B829" s="227" t="s">
        <v>1150</v>
      </c>
      <c r="C829" s="226" t="s">
        <v>1195</v>
      </c>
      <c r="D829" s="701" t="s">
        <v>1160</v>
      </c>
      <c r="E829" s="701"/>
      <c r="F829" s="701"/>
      <c r="G829" s="226" t="s">
        <v>12</v>
      </c>
      <c r="H829" s="226">
        <v>1</v>
      </c>
      <c r="L829" s="226">
        <v>1</v>
      </c>
    </row>
    <row r="830" spans="1:12" ht="10.5" customHeight="1" x14ac:dyDescent="0.3">
      <c r="A830" s="156" t="s">
        <v>1187</v>
      </c>
      <c r="B830" s="227" t="s">
        <v>1152</v>
      </c>
      <c r="C830" s="226" t="s">
        <v>1195</v>
      </c>
      <c r="D830" s="701" t="s">
        <v>1160</v>
      </c>
      <c r="E830" s="701"/>
      <c r="F830" s="701"/>
      <c r="G830" s="226" t="s">
        <v>12</v>
      </c>
      <c r="H830" s="226">
        <v>1</v>
      </c>
      <c r="L830" s="226">
        <v>1</v>
      </c>
    </row>
    <row r="831" spans="1:12" ht="10.5" customHeight="1" x14ac:dyDescent="0.3">
      <c r="A831" s="156" t="s">
        <v>1189</v>
      </c>
      <c r="B831" s="227" t="s">
        <v>1154</v>
      </c>
      <c r="C831" s="226" t="s">
        <v>1195</v>
      </c>
      <c r="D831" s="701" t="s">
        <v>1160</v>
      </c>
      <c r="E831" s="701"/>
      <c r="F831" s="701"/>
      <c r="G831" s="226" t="s">
        <v>12</v>
      </c>
      <c r="H831" s="226">
        <v>1</v>
      </c>
      <c r="L831" s="226">
        <v>1</v>
      </c>
    </row>
    <row r="832" spans="1:12" ht="10.5" customHeight="1" x14ac:dyDescent="0.3">
      <c r="A832" s="156" t="s">
        <v>1191</v>
      </c>
      <c r="B832" s="227" t="s">
        <v>1156</v>
      </c>
      <c r="C832" s="226" t="s">
        <v>1195</v>
      </c>
      <c r="D832" s="701" t="s">
        <v>1160</v>
      </c>
      <c r="E832" s="701"/>
      <c r="F832" s="701"/>
      <c r="G832" s="226" t="s">
        <v>12</v>
      </c>
      <c r="H832" s="226">
        <v>1</v>
      </c>
      <c r="L832" s="226">
        <v>1</v>
      </c>
    </row>
    <row r="833" spans="1:15" ht="10.5" customHeight="1" x14ac:dyDescent="0.3">
      <c r="A833" s="156" t="s">
        <v>1193</v>
      </c>
      <c r="B833" s="227" t="s">
        <v>1158</v>
      </c>
      <c r="C833" s="226" t="s">
        <v>1195</v>
      </c>
      <c r="D833" s="701" t="s">
        <v>1160</v>
      </c>
      <c r="E833" s="701"/>
      <c r="F833" s="701"/>
      <c r="G833" s="226" t="s">
        <v>12</v>
      </c>
      <c r="H833" s="226">
        <v>1</v>
      </c>
      <c r="L833" s="226">
        <v>1</v>
      </c>
    </row>
    <row r="834" spans="1:15" ht="12" customHeight="1" x14ac:dyDescent="0.3">
      <c r="A834" s="156"/>
      <c r="J834" s="701" t="s">
        <v>203</v>
      </c>
      <c r="K834" s="701"/>
      <c r="L834" s="226">
        <v>132</v>
      </c>
      <c r="N834" s="227"/>
      <c r="O834" s="227"/>
    </row>
    <row r="835" spans="1:15" ht="12" customHeight="1" x14ac:dyDescent="0.3">
      <c r="N835" s="227"/>
      <c r="O835" s="227"/>
    </row>
    <row r="836" spans="1:15" ht="21.75" customHeight="1" x14ac:dyDescent="0.3">
      <c r="A836" s="226" t="s">
        <v>11</v>
      </c>
      <c r="B836" s="226" t="s">
        <v>217</v>
      </c>
      <c r="C836" s="701" t="s">
        <v>35</v>
      </c>
      <c r="D836" s="701"/>
      <c r="E836" s="702" t="s">
        <v>1255</v>
      </c>
      <c r="F836" s="702"/>
      <c r="G836" s="702"/>
      <c r="H836" s="702"/>
      <c r="I836" s="226" t="s">
        <v>105</v>
      </c>
      <c r="J836" s="226" t="s">
        <v>12</v>
      </c>
      <c r="K836" s="226" t="s">
        <v>13</v>
      </c>
      <c r="L836" s="231">
        <v>165</v>
      </c>
      <c r="N836" s="227"/>
      <c r="O836" s="227"/>
    </row>
    <row r="837" spans="1:15" ht="12" customHeight="1" x14ac:dyDescent="0.3">
      <c r="N837" s="227"/>
      <c r="O837" s="227"/>
    </row>
    <row r="838" spans="1:15" ht="17.25" customHeight="1" x14ac:dyDescent="0.3">
      <c r="A838" s="234" t="s">
        <v>201</v>
      </c>
      <c r="B838" s="234" t="s">
        <v>35</v>
      </c>
      <c r="C838" s="234" t="s">
        <v>508</v>
      </c>
      <c r="D838" s="704" t="s">
        <v>193</v>
      </c>
      <c r="E838" s="704"/>
      <c r="F838" s="704"/>
      <c r="G838" s="234" t="s">
        <v>12</v>
      </c>
      <c r="H838" s="234" t="s">
        <v>194</v>
      </c>
      <c r="I838" s="234" t="s">
        <v>196</v>
      </c>
      <c r="J838" s="234" t="s">
        <v>195</v>
      </c>
      <c r="K838" s="234" t="s">
        <v>197</v>
      </c>
      <c r="L838" s="234" t="s">
        <v>198</v>
      </c>
      <c r="M838" s="100"/>
      <c r="N838" s="227"/>
      <c r="O838" s="227"/>
    </row>
    <row r="839" spans="1:15" ht="11.25" customHeight="1" x14ac:dyDescent="0.3">
      <c r="A839" s="156" t="s">
        <v>186</v>
      </c>
      <c r="B839" s="227" t="s">
        <v>672</v>
      </c>
      <c r="C839" s="226" t="s">
        <v>662</v>
      </c>
      <c r="D839" s="701" t="s">
        <v>685</v>
      </c>
      <c r="E839" s="701"/>
      <c r="F839" s="701"/>
      <c r="G839" s="226" t="s">
        <v>12</v>
      </c>
      <c r="H839" s="226">
        <v>2</v>
      </c>
      <c r="L839" s="226">
        <v>2</v>
      </c>
    </row>
    <row r="840" spans="1:15" ht="11.25" customHeight="1" x14ac:dyDescent="0.3">
      <c r="A840" s="156" t="s">
        <v>188</v>
      </c>
      <c r="B840" s="227" t="s">
        <v>1109</v>
      </c>
      <c r="C840" s="226" t="s">
        <v>662</v>
      </c>
      <c r="D840" s="701" t="s">
        <v>685</v>
      </c>
      <c r="E840" s="701"/>
      <c r="F840" s="701"/>
      <c r="G840" s="226" t="s">
        <v>12</v>
      </c>
      <c r="H840" s="226">
        <v>2</v>
      </c>
      <c r="L840" s="226">
        <v>2</v>
      </c>
    </row>
    <row r="841" spans="1:15" ht="11.25" customHeight="1" x14ac:dyDescent="0.3">
      <c r="A841" s="156" t="s">
        <v>484</v>
      </c>
      <c r="B841" s="227" t="s">
        <v>675</v>
      </c>
      <c r="C841" s="226" t="s">
        <v>662</v>
      </c>
      <c r="D841" s="701" t="s">
        <v>685</v>
      </c>
      <c r="E841" s="701"/>
      <c r="F841" s="701"/>
      <c r="G841" s="226" t="s">
        <v>12</v>
      </c>
      <c r="H841" s="226">
        <v>2</v>
      </c>
      <c r="L841" s="226">
        <v>2</v>
      </c>
    </row>
    <row r="842" spans="1:15" ht="11.25" customHeight="1" x14ac:dyDescent="0.3">
      <c r="A842" s="156" t="s">
        <v>485</v>
      </c>
      <c r="B842" s="227" t="s">
        <v>676</v>
      </c>
      <c r="C842" s="226" t="s">
        <v>662</v>
      </c>
      <c r="D842" s="701" t="s">
        <v>685</v>
      </c>
      <c r="E842" s="701"/>
      <c r="F842" s="701"/>
      <c r="G842" s="226" t="s">
        <v>12</v>
      </c>
      <c r="H842" s="226">
        <v>2</v>
      </c>
      <c r="L842" s="226">
        <v>2</v>
      </c>
    </row>
    <row r="843" spans="1:15" ht="11.25" customHeight="1" x14ac:dyDescent="0.3">
      <c r="A843" s="156" t="s">
        <v>486</v>
      </c>
      <c r="B843" s="227" t="s">
        <v>698</v>
      </c>
      <c r="C843" s="226" t="s">
        <v>662</v>
      </c>
      <c r="D843" s="701" t="s">
        <v>685</v>
      </c>
      <c r="E843" s="701"/>
      <c r="F843" s="701"/>
      <c r="G843" s="226" t="s">
        <v>12</v>
      </c>
      <c r="H843" s="226">
        <v>1</v>
      </c>
      <c r="L843" s="226">
        <v>1</v>
      </c>
    </row>
    <row r="844" spans="1:15" ht="11.25" customHeight="1" x14ac:dyDescent="0.3">
      <c r="A844" s="156" t="s">
        <v>398</v>
      </c>
      <c r="B844" s="227" t="s">
        <v>678</v>
      </c>
      <c r="C844" s="226" t="s">
        <v>662</v>
      </c>
      <c r="D844" s="701" t="s">
        <v>685</v>
      </c>
      <c r="E844" s="701"/>
      <c r="F844" s="701"/>
      <c r="G844" s="226" t="s">
        <v>12</v>
      </c>
      <c r="H844" s="226">
        <v>1</v>
      </c>
      <c r="L844" s="226">
        <v>1</v>
      </c>
    </row>
    <row r="845" spans="1:15" ht="11.25" customHeight="1" x14ac:dyDescent="0.3">
      <c r="A845" s="156" t="s">
        <v>529</v>
      </c>
      <c r="B845" s="227" t="s">
        <v>679</v>
      </c>
      <c r="C845" s="226" t="s">
        <v>662</v>
      </c>
      <c r="D845" s="701" t="s">
        <v>685</v>
      </c>
      <c r="E845" s="701"/>
      <c r="F845" s="701"/>
      <c r="G845" s="226" t="s">
        <v>12</v>
      </c>
      <c r="H845" s="226">
        <v>1</v>
      </c>
      <c r="L845" s="226">
        <v>1</v>
      </c>
    </row>
    <row r="846" spans="1:15" ht="11.25" customHeight="1" x14ac:dyDescent="0.3">
      <c r="A846" s="156" t="s">
        <v>532</v>
      </c>
      <c r="B846" s="227" t="s">
        <v>885</v>
      </c>
      <c r="C846" s="226" t="s">
        <v>662</v>
      </c>
      <c r="D846" s="701" t="s">
        <v>685</v>
      </c>
      <c r="E846" s="701"/>
      <c r="F846" s="701"/>
      <c r="G846" s="226" t="s">
        <v>12</v>
      </c>
      <c r="H846" s="226">
        <v>1</v>
      </c>
      <c r="L846" s="226">
        <v>1</v>
      </c>
    </row>
    <row r="847" spans="1:15" ht="11.25" customHeight="1" x14ac:dyDescent="0.3">
      <c r="A847" s="156" t="s">
        <v>534</v>
      </c>
      <c r="B847" s="227" t="s">
        <v>682</v>
      </c>
      <c r="C847" s="226" t="s">
        <v>662</v>
      </c>
      <c r="D847" s="701" t="s">
        <v>685</v>
      </c>
      <c r="E847" s="701"/>
      <c r="F847" s="701"/>
      <c r="G847" s="226" t="s">
        <v>12</v>
      </c>
      <c r="H847" s="226">
        <v>1</v>
      </c>
      <c r="L847" s="226">
        <v>1</v>
      </c>
    </row>
    <row r="848" spans="1:15" ht="11.25" customHeight="1" x14ac:dyDescent="0.3">
      <c r="A848" s="156" t="s">
        <v>537</v>
      </c>
      <c r="B848" s="227" t="s">
        <v>1110</v>
      </c>
      <c r="C848" s="226" t="s">
        <v>662</v>
      </c>
      <c r="D848" s="701" t="s">
        <v>685</v>
      </c>
      <c r="E848" s="701"/>
      <c r="F848" s="701"/>
      <c r="G848" s="226" t="s">
        <v>12</v>
      </c>
      <c r="H848" s="226">
        <v>2</v>
      </c>
      <c r="L848" s="226">
        <v>2</v>
      </c>
    </row>
    <row r="849" spans="1:12" ht="11.25" customHeight="1" x14ac:dyDescent="0.3">
      <c r="A849" s="156" t="s">
        <v>540</v>
      </c>
      <c r="B849" s="227" t="s">
        <v>708</v>
      </c>
      <c r="C849" s="226" t="s">
        <v>666</v>
      </c>
      <c r="D849" s="701" t="s">
        <v>729</v>
      </c>
      <c r="E849" s="701"/>
      <c r="F849" s="701"/>
      <c r="G849" s="226" t="s">
        <v>12</v>
      </c>
      <c r="H849" s="226">
        <v>3</v>
      </c>
      <c r="L849" s="226">
        <v>3</v>
      </c>
    </row>
    <row r="850" spans="1:12" ht="11.25" customHeight="1" x14ac:dyDescent="0.3">
      <c r="A850" s="156" t="s">
        <v>543</v>
      </c>
      <c r="B850" s="227" t="s">
        <v>707</v>
      </c>
      <c r="C850" s="226" t="s">
        <v>666</v>
      </c>
      <c r="D850" s="701" t="s">
        <v>729</v>
      </c>
      <c r="E850" s="701"/>
      <c r="F850" s="701"/>
      <c r="G850" s="226" t="s">
        <v>12</v>
      </c>
      <c r="H850" s="226">
        <v>2</v>
      </c>
      <c r="L850" s="226">
        <v>2</v>
      </c>
    </row>
    <row r="851" spans="1:12" ht="11.25" customHeight="1" x14ac:dyDescent="0.3">
      <c r="A851" s="156" t="s">
        <v>546</v>
      </c>
      <c r="B851" s="227" t="s">
        <v>712</v>
      </c>
      <c r="C851" s="226" t="s">
        <v>666</v>
      </c>
      <c r="D851" s="701" t="s">
        <v>729</v>
      </c>
      <c r="E851" s="701"/>
      <c r="F851" s="701"/>
      <c r="G851" s="226" t="s">
        <v>12</v>
      </c>
      <c r="H851" s="226">
        <v>3</v>
      </c>
      <c r="L851" s="226">
        <v>3</v>
      </c>
    </row>
    <row r="852" spans="1:12" ht="11.25" customHeight="1" x14ac:dyDescent="0.3">
      <c r="A852" s="156" t="s">
        <v>548</v>
      </c>
      <c r="B852" s="227" t="s">
        <v>713</v>
      </c>
      <c r="C852" s="226" t="s">
        <v>666</v>
      </c>
      <c r="D852" s="701" t="s">
        <v>729</v>
      </c>
      <c r="E852" s="701"/>
      <c r="F852" s="701"/>
      <c r="G852" s="226" t="s">
        <v>12</v>
      </c>
      <c r="H852" s="226">
        <v>2</v>
      </c>
      <c r="L852" s="226">
        <v>2</v>
      </c>
    </row>
    <row r="853" spans="1:12" ht="11.25" customHeight="1" x14ac:dyDescent="0.3">
      <c r="A853" s="156" t="s">
        <v>551</v>
      </c>
      <c r="B853" s="227" t="s">
        <v>714</v>
      </c>
      <c r="C853" s="226" t="s">
        <v>666</v>
      </c>
      <c r="D853" s="701" t="s">
        <v>729</v>
      </c>
      <c r="E853" s="701"/>
      <c r="F853" s="701"/>
      <c r="G853" s="226" t="s">
        <v>12</v>
      </c>
      <c r="H853" s="226">
        <v>3</v>
      </c>
      <c r="L853" s="226">
        <v>3</v>
      </c>
    </row>
    <row r="854" spans="1:12" ht="11.25" customHeight="1" x14ac:dyDescent="0.3">
      <c r="A854" s="156" t="s">
        <v>554</v>
      </c>
      <c r="B854" s="227" t="s">
        <v>722</v>
      </c>
      <c r="C854" s="226" t="s">
        <v>666</v>
      </c>
      <c r="D854" s="701" t="s">
        <v>729</v>
      </c>
      <c r="E854" s="701"/>
      <c r="F854" s="701"/>
      <c r="G854" s="226" t="s">
        <v>12</v>
      </c>
      <c r="H854" s="226">
        <v>1</v>
      </c>
      <c r="L854" s="226">
        <v>1</v>
      </c>
    </row>
    <row r="855" spans="1:12" ht="11.25" customHeight="1" x14ac:dyDescent="0.3">
      <c r="A855" s="156" t="s">
        <v>557</v>
      </c>
      <c r="B855" s="227" t="s">
        <v>724</v>
      </c>
      <c r="C855" s="226" t="s">
        <v>666</v>
      </c>
      <c r="D855" s="701" t="s">
        <v>729</v>
      </c>
      <c r="E855" s="701"/>
      <c r="F855" s="701"/>
      <c r="G855" s="226" t="s">
        <v>12</v>
      </c>
      <c r="H855" s="226">
        <v>2</v>
      </c>
      <c r="L855" s="226">
        <v>2</v>
      </c>
    </row>
    <row r="856" spans="1:12" ht="11.25" customHeight="1" x14ac:dyDescent="0.3">
      <c r="A856" s="156" t="s">
        <v>559</v>
      </c>
      <c r="B856" s="227" t="s">
        <v>725</v>
      </c>
      <c r="C856" s="226" t="s">
        <v>666</v>
      </c>
      <c r="D856" s="701" t="s">
        <v>729</v>
      </c>
      <c r="E856" s="701"/>
      <c r="F856" s="701"/>
      <c r="G856" s="226" t="s">
        <v>12</v>
      </c>
      <c r="H856" s="226">
        <v>2</v>
      </c>
      <c r="L856" s="226">
        <v>2</v>
      </c>
    </row>
    <row r="857" spans="1:12" ht="11.25" customHeight="1" x14ac:dyDescent="0.3">
      <c r="A857" s="156" t="s">
        <v>561</v>
      </c>
      <c r="B857" s="227" t="s">
        <v>726</v>
      </c>
      <c r="C857" s="226" t="s">
        <v>666</v>
      </c>
      <c r="D857" s="701" t="s">
        <v>729</v>
      </c>
      <c r="E857" s="701"/>
      <c r="F857" s="701"/>
      <c r="G857" s="226" t="s">
        <v>12</v>
      </c>
      <c r="H857" s="226">
        <v>1</v>
      </c>
      <c r="L857" s="226">
        <v>1</v>
      </c>
    </row>
    <row r="858" spans="1:12" ht="11.25" customHeight="1" x14ac:dyDescent="0.3">
      <c r="A858" s="156" t="s">
        <v>563</v>
      </c>
      <c r="B858" s="227" t="s">
        <v>727</v>
      </c>
      <c r="C858" s="226" t="s">
        <v>666</v>
      </c>
      <c r="D858" s="701" t="s">
        <v>729</v>
      </c>
      <c r="E858" s="701"/>
      <c r="F858" s="701"/>
      <c r="G858" s="226" t="s">
        <v>12</v>
      </c>
      <c r="H858" s="226">
        <v>1</v>
      </c>
      <c r="L858" s="226">
        <v>1</v>
      </c>
    </row>
    <row r="859" spans="1:12" ht="11.25" customHeight="1" x14ac:dyDescent="0.3">
      <c r="A859" s="156" t="s">
        <v>566</v>
      </c>
      <c r="B859" s="227" t="s">
        <v>835</v>
      </c>
      <c r="C859" s="226" t="s">
        <v>683</v>
      </c>
      <c r="D859" s="701" t="s">
        <v>855</v>
      </c>
      <c r="E859" s="701"/>
      <c r="F859" s="701"/>
      <c r="G859" s="226" t="s">
        <v>12</v>
      </c>
      <c r="H859" s="226">
        <v>2</v>
      </c>
      <c r="L859" s="226">
        <v>2</v>
      </c>
    </row>
    <row r="860" spans="1:12" ht="11.25" customHeight="1" x14ac:dyDescent="0.3">
      <c r="A860" s="156" t="s">
        <v>568</v>
      </c>
      <c r="B860" s="227" t="s">
        <v>836</v>
      </c>
      <c r="C860" s="226" t="s">
        <v>683</v>
      </c>
      <c r="D860" s="701" t="s">
        <v>855</v>
      </c>
      <c r="E860" s="701"/>
      <c r="F860" s="701"/>
      <c r="G860" s="226" t="s">
        <v>12</v>
      </c>
      <c r="H860" s="226">
        <v>2</v>
      </c>
      <c r="L860" s="226">
        <v>2</v>
      </c>
    </row>
    <row r="861" spans="1:12" ht="11.25" customHeight="1" x14ac:dyDescent="0.3">
      <c r="A861" s="156" t="s">
        <v>571</v>
      </c>
      <c r="B861" s="227" t="s">
        <v>839</v>
      </c>
      <c r="C861" s="226" t="s">
        <v>683</v>
      </c>
      <c r="D861" s="701" t="s">
        <v>855</v>
      </c>
      <c r="E861" s="701"/>
      <c r="F861" s="701"/>
      <c r="G861" s="226" t="s">
        <v>12</v>
      </c>
      <c r="H861" s="226">
        <v>1</v>
      </c>
      <c r="L861" s="226">
        <v>1</v>
      </c>
    </row>
    <row r="862" spans="1:12" ht="11.25" customHeight="1" x14ac:dyDescent="0.3">
      <c r="A862" s="156" t="s">
        <v>574</v>
      </c>
      <c r="B862" s="227" t="s">
        <v>841</v>
      </c>
      <c r="C862" s="226" t="s">
        <v>683</v>
      </c>
      <c r="D862" s="701" t="s">
        <v>855</v>
      </c>
      <c r="E862" s="701"/>
      <c r="F862" s="701"/>
      <c r="G862" s="226" t="s">
        <v>12</v>
      </c>
      <c r="H862" s="226">
        <v>1</v>
      </c>
      <c r="L862" s="226">
        <v>1</v>
      </c>
    </row>
    <row r="863" spans="1:12" ht="11.25" customHeight="1" x14ac:dyDescent="0.3">
      <c r="A863" s="156" t="s">
        <v>577</v>
      </c>
      <c r="B863" s="227" t="s">
        <v>843</v>
      </c>
      <c r="C863" s="226" t="s">
        <v>683</v>
      </c>
      <c r="D863" s="701" t="s">
        <v>855</v>
      </c>
      <c r="E863" s="701"/>
      <c r="F863" s="701"/>
      <c r="G863" s="226" t="s">
        <v>12</v>
      </c>
      <c r="H863" s="226">
        <v>1</v>
      </c>
      <c r="L863" s="226">
        <v>1</v>
      </c>
    </row>
    <row r="864" spans="1:12" ht="11.25" customHeight="1" x14ac:dyDescent="0.3">
      <c r="A864" s="156" t="s">
        <v>580</v>
      </c>
      <c r="B864" s="227" t="s">
        <v>845</v>
      </c>
      <c r="C864" s="226" t="s">
        <v>683</v>
      </c>
      <c r="D864" s="701" t="s">
        <v>855</v>
      </c>
      <c r="E864" s="701"/>
      <c r="F864" s="701"/>
      <c r="G864" s="226" t="s">
        <v>12</v>
      </c>
      <c r="H864" s="226">
        <v>1</v>
      </c>
      <c r="L864" s="226">
        <v>1</v>
      </c>
    </row>
    <row r="865" spans="1:12" ht="11.25" customHeight="1" x14ac:dyDescent="0.3">
      <c r="A865" s="156" t="s">
        <v>582</v>
      </c>
      <c r="B865" s="227" t="s">
        <v>844</v>
      </c>
      <c r="C865" s="226" t="s">
        <v>683</v>
      </c>
      <c r="D865" s="701" t="s">
        <v>855</v>
      </c>
      <c r="E865" s="701"/>
      <c r="F865" s="701"/>
      <c r="G865" s="226" t="s">
        <v>12</v>
      </c>
      <c r="H865" s="226">
        <v>1</v>
      </c>
      <c r="L865" s="226">
        <v>1</v>
      </c>
    </row>
    <row r="866" spans="1:12" ht="11.25" customHeight="1" x14ac:dyDescent="0.3">
      <c r="A866" s="156" t="s">
        <v>584</v>
      </c>
      <c r="B866" s="227" t="s">
        <v>846</v>
      </c>
      <c r="C866" s="226" t="s">
        <v>683</v>
      </c>
      <c r="D866" s="701" t="s">
        <v>855</v>
      </c>
      <c r="E866" s="701"/>
      <c r="F866" s="701"/>
      <c r="G866" s="226" t="s">
        <v>12</v>
      </c>
      <c r="H866" s="226">
        <v>3</v>
      </c>
      <c r="L866" s="226">
        <v>3</v>
      </c>
    </row>
    <row r="867" spans="1:12" ht="11.25" customHeight="1" x14ac:dyDescent="0.3">
      <c r="A867" s="156" t="s">
        <v>587</v>
      </c>
      <c r="B867" s="227" t="s">
        <v>847</v>
      </c>
      <c r="C867" s="226" t="s">
        <v>683</v>
      </c>
      <c r="D867" s="701" t="s">
        <v>855</v>
      </c>
      <c r="E867" s="701"/>
      <c r="F867" s="701"/>
      <c r="G867" s="226" t="s">
        <v>12</v>
      </c>
      <c r="H867" s="226">
        <v>3</v>
      </c>
      <c r="L867" s="226">
        <v>3</v>
      </c>
    </row>
    <row r="868" spans="1:12" ht="11.25" customHeight="1" x14ac:dyDescent="0.3">
      <c r="A868" s="156" t="s">
        <v>590</v>
      </c>
      <c r="B868" s="227" t="s">
        <v>849</v>
      </c>
      <c r="C868" s="226" t="s">
        <v>683</v>
      </c>
      <c r="D868" s="701" t="s">
        <v>855</v>
      </c>
      <c r="E868" s="701"/>
      <c r="F868" s="701"/>
      <c r="G868" s="226" t="s">
        <v>12</v>
      </c>
      <c r="H868" s="226">
        <v>1</v>
      </c>
      <c r="L868" s="226">
        <v>1</v>
      </c>
    </row>
    <row r="869" spans="1:12" ht="11.25" customHeight="1" x14ac:dyDescent="0.3">
      <c r="A869" s="156" t="s">
        <v>592</v>
      </c>
      <c r="B869" s="227" t="s">
        <v>850</v>
      </c>
      <c r="C869" s="226" t="s">
        <v>683</v>
      </c>
      <c r="D869" s="701" t="s">
        <v>855</v>
      </c>
      <c r="E869" s="701"/>
      <c r="F869" s="701"/>
      <c r="G869" s="226" t="s">
        <v>12</v>
      </c>
      <c r="H869" s="226">
        <v>1</v>
      </c>
      <c r="L869" s="226">
        <v>1</v>
      </c>
    </row>
    <row r="870" spans="1:12" ht="11.25" customHeight="1" x14ac:dyDescent="0.3">
      <c r="A870" s="156" t="s">
        <v>594</v>
      </c>
      <c r="B870" s="227" t="s">
        <v>851</v>
      </c>
      <c r="C870" s="226" t="s">
        <v>683</v>
      </c>
      <c r="D870" s="701" t="s">
        <v>855</v>
      </c>
      <c r="E870" s="701"/>
      <c r="F870" s="701"/>
      <c r="G870" s="226" t="s">
        <v>12</v>
      </c>
      <c r="H870" s="226">
        <v>1</v>
      </c>
      <c r="L870" s="226">
        <v>1</v>
      </c>
    </row>
    <row r="871" spans="1:12" ht="11.25" customHeight="1" x14ac:dyDescent="0.3">
      <c r="A871" s="156" t="s">
        <v>596</v>
      </c>
      <c r="B871" s="227" t="s">
        <v>852</v>
      </c>
      <c r="C871" s="226" t="s">
        <v>683</v>
      </c>
      <c r="D871" s="701" t="s">
        <v>855</v>
      </c>
      <c r="E871" s="701"/>
      <c r="F871" s="701"/>
      <c r="G871" s="226" t="s">
        <v>12</v>
      </c>
      <c r="H871" s="226">
        <v>2</v>
      </c>
      <c r="L871" s="226">
        <v>2</v>
      </c>
    </row>
    <row r="872" spans="1:12" ht="11.25" customHeight="1" x14ac:dyDescent="0.3">
      <c r="A872" s="156" t="s">
        <v>604</v>
      </c>
      <c r="B872" s="227" t="s">
        <v>853</v>
      </c>
      <c r="C872" s="226" t="s">
        <v>683</v>
      </c>
      <c r="D872" s="701" t="s">
        <v>855</v>
      </c>
      <c r="E872" s="701"/>
      <c r="F872" s="701"/>
      <c r="G872" s="226" t="s">
        <v>12</v>
      </c>
      <c r="H872" s="226">
        <v>1</v>
      </c>
      <c r="L872" s="226">
        <v>1</v>
      </c>
    </row>
    <row r="873" spans="1:12" ht="11.25" customHeight="1" x14ac:dyDescent="0.3">
      <c r="A873" s="156" t="s">
        <v>606</v>
      </c>
      <c r="B873" s="227" t="s">
        <v>854</v>
      </c>
      <c r="C873" s="226" t="s">
        <v>683</v>
      </c>
      <c r="D873" s="701" t="s">
        <v>855</v>
      </c>
      <c r="E873" s="701"/>
      <c r="F873" s="701"/>
      <c r="G873" s="226" t="s">
        <v>12</v>
      </c>
      <c r="H873" s="226">
        <v>2</v>
      </c>
      <c r="L873" s="226">
        <v>2</v>
      </c>
    </row>
    <row r="874" spans="1:12" ht="11.25" customHeight="1" x14ac:dyDescent="0.3">
      <c r="A874" s="156" t="s">
        <v>609</v>
      </c>
      <c r="B874" s="227" t="s">
        <v>1114</v>
      </c>
      <c r="C874" s="226" t="s">
        <v>683</v>
      </c>
      <c r="D874" s="701" t="s">
        <v>855</v>
      </c>
      <c r="E874" s="701"/>
      <c r="F874" s="701"/>
      <c r="G874" s="226" t="s">
        <v>12</v>
      </c>
      <c r="H874" s="226">
        <v>2</v>
      </c>
      <c r="L874" s="226">
        <v>2</v>
      </c>
    </row>
    <row r="875" spans="1:12" ht="11.25" customHeight="1" x14ac:dyDescent="0.3">
      <c r="A875" s="156" t="s">
        <v>611</v>
      </c>
      <c r="B875" s="227" t="s">
        <v>1115</v>
      </c>
      <c r="C875" s="226" t="s">
        <v>683</v>
      </c>
      <c r="D875" s="701" t="s">
        <v>855</v>
      </c>
      <c r="E875" s="701"/>
      <c r="F875" s="701"/>
      <c r="G875" s="226" t="s">
        <v>12</v>
      </c>
      <c r="H875" s="226">
        <v>2</v>
      </c>
      <c r="L875" s="226">
        <v>2</v>
      </c>
    </row>
    <row r="876" spans="1:12" ht="11.25" customHeight="1" x14ac:dyDescent="0.3">
      <c r="A876" s="156" t="s">
        <v>613</v>
      </c>
      <c r="B876" s="227" t="s">
        <v>851</v>
      </c>
      <c r="C876" s="226" t="s">
        <v>683</v>
      </c>
      <c r="D876" s="701" t="s">
        <v>855</v>
      </c>
      <c r="E876" s="701"/>
      <c r="F876" s="701"/>
      <c r="G876" s="226" t="s">
        <v>12</v>
      </c>
      <c r="H876" s="226">
        <v>1</v>
      </c>
      <c r="L876" s="226">
        <v>1</v>
      </c>
    </row>
    <row r="877" spans="1:12" ht="11.25" customHeight="1" x14ac:dyDescent="0.3">
      <c r="A877" s="156" t="s">
        <v>616</v>
      </c>
      <c r="B877" s="227" t="s">
        <v>734</v>
      </c>
      <c r="C877" s="226" t="s">
        <v>684</v>
      </c>
      <c r="D877" s="701" t="s">
        <v>738</v>
      </c>
      <c r="E877" s="701"/>
      <c r="F877" s="701"/>
      <c r="G877" s="226" t="s">
        <v>12</v>
      </c>
      <c r="H877" s="226">
        <v>2</v>
      </c>
      <c r="L877" s="226">
        <v>2</v>
      </c>
    </row>
    <row r="878" spans="1:12" ht="11.25" customHeight="1" x14ac:dyDescent="0.3">
      <c r="A878" s="156" t="s">
        <v>618</v>
      </c>
      <c r="B878" s="227" t="s">
        <v>735</v>
      </c>
      <c r="C878" s="226" t="s">
        <v>684</v>
      </c>
      <c r="D878" s="701" t="s">
        <v>738</v>
      </c>
      <c r="E878" s="701"/>
      <c r="F878" s="701"/>
      <c r="G878" s="226" t="s">
        <v>12</v>
      </c>
      <c r="H878" s="226">
        <v>2</v>
      </c>
      <c r="L878" s="226">
        <v>2</v>
      </c>
    </row>
    <row r="879" spans="1:12" ht="11.25" customHeight="1" x14ac:dyDescent="0.3">
      <c r="A879" s="156" t="s">
        <v>620</v>
      </c>
      <c r="B879" s="227" t="s">
        <v>736</v>
      </c>
      <c r="C879" s="226" t="s">
        <v>684</v>
      </c>
      <c r="D879" s="701" t="s">
        <v>738</v>
      </c>
      <c r="E879" s="701"/>
      <c r="F879" s="701"/>
      <c r="G879" s="226" t="s">
        <v>12</v>
      </c>
      <c r="H879" s="226">
        <v>2</v>
      </c>
      <c r="L879" s="226">
        <v>2</v>
      </c>
    </row>
    <row r="880" spans="1:12" ht="11.25" customHeight="1" x14ac:dyDescent="0.3">
      <c r="A880" s="156" t="s">
        <v>623</v>
      </c>
      <c r="B880" s="227" t="s">
        <v>755</v>
      </c>
      <c r="C880" s="226" t="s">
        <v>684</v>
      </c>
      <c r="D880" s="701" t="s">
        <v>738</v>
      </c>
      <c r="E880" s="701"/>
      <c r="F880" s="701"/>
      <c r="G880" s="226" t="s">
        <v>12</v>
      </c>
      <c r="H880" s="226">
        <v>1</v>
      </c>
      <c r="L880" s="226">
        <v>1</v>
      </c>
    </row>
    <row r="881" spans="1:12" ht="11.25" customHeight="1" x14ac:dyDescent="0.3">
      <c r="A881" s="156" t="s">
        <v>625</v>
      </c>
      <c r="B881" s="227" t="s">
        <v>758</v>
      </c>
      <c r="C881" s="226" t="s">
        <v>684</v>
      </c>
      <c r="D881" s="701" t="s">
        <v>738</v>
      </c>
      <c r="E881" s="701"/>
      <c r="F881" s="701"/>
      <c r="G881" s="226" t="s">
        <v>12</v>
      </c>
      <c r="H881" s="226">
        <v>1</v>
      </c>
      <c r="L881" s="226">
        <v>1</v>
      </c>
    </row>
    <row r="882" spans="1:12" ht="11.25" customHeight="1" x14ac:dyDescent="0.3">
      <c r="A882" s="156" t="s">
        <v>627</v>
      </c>
      <c r="B882" s="227" t="s">
        <v>761</v>
      </c>
      <c r="C882" s="226" t="s">
        <v>684</v>
      </c>
      <c r="D882" s="701" t="s">
        <v>738</v>
      </c>
      <c r="E882" s="701"/>
      <c r="F882" s="701"/>
      <c r="G882" s="226" t="s">
        <v>12</v>
      </c>
      <c r="H882" s="226">
        <v>2</v>
      </c>
      <c r="L882" s="226">
        <v>2</v>
      </c>
    </row>
    <row r="883" spans="1:12" ht="11.25" customHeight="1" x14ac:dyDescent="0.3">
      <c r="A883" s="156" t="s">
        <v>629</v>
      </c>
      <c r="B883" s="227" t="s">
        <v>752</v>
      </c>
      <c r="C883" s="226" t="s">
        <v>684</v>
      </c>
      <c r="D883" s="701" t="s">
        <v>738</v>
      </c>
      <c r="E883" s="701"/>
      <c r="F883" s="701"/>
      <c r="G883" s="226" t="s">
        <v>12</v>
      </c>
      <c r="H883" s="226">
        <v>2</v>
      </c>
      <c r="L883" s="226">
        <v>2</v>
      </c>
    </row>
    <row r="884" spans="1:12" ht="11.25" customHeight="1" x14ac:dyDescent="0.3">
      <c r="A884" s="156" t="s">
        <v>631</v>
      </c>
      <c r="B884" s="227" t="s">
        <v>759</v>
      </c>
      <c r="C884" s="226" t="s">
        <v>684</v>
      </c>
      <c r="D884" s="701" t="s">
        <v>738</v>
      </c>
      <c r="E884" s="701"/>
      <c r="F884" s="701"/>
      <c r="G884" s="226" t="s">
        <v>12</v>
      </c>
      <c r="H884" s="226">
        <v>2</v>
      </c>
      <c r="L884" s="226">
        <v>2</v>
      </c>
    </row>
    <row r="885" spans="1:12" ht="11.25" customHeight="1" x14ac:dyDescent="0.3">
      <c r="A885" s="156" t="s">
        <v>633</v>
      </c>
      <c r="B885" s="227" t="s">
        <v>760</v>
      </c>
      <c r="C885" s="226" t="s">
        <v>684</v>
      </c>
      <c r="D885" s="701" t="s">
        <v>738</v>
      </c>
      <c r="E885" s="701"/>
      <c r="F885" s="701"/>
      <c r="G885" s="226" t="s">
        <v>12</v>
      </c>
      <c r="H885" s="226">
        <v>2</v>
      </c>
      <c r="L885" s="226">
        <v>2</v>
      </c>
    </row>
    <row r="886" spans="1:12" ht="11.25" customHeight="1" x14ac:dyDescent="0.3">
      <c r="A886" s="156" t="s">
        <v>639</v>
      </c>
      <c r="B886" s="227" t="s">
        <v>792</v>
      </c>
      <c r="C886" s="226" t="s">
        <v>684</v>
      </c>
      <c r="D886" s="701" t="s">
        <v>738</v>
      </c>
      <c r="E886" s="701"/>
      <c r="F886" s="701"/>
      <c r="G886" s="226" t="s">
        <v>12</v>
      </c>
      <c r="H886" s="226">
        <v>2</v>
      </c>
      <c r="L886" s="226">
        <v>2</v>
      </c>
    </row>
    <row r="887" spans="1:12" ht="11.25" customHeight="1" x14ac:dyDescent="0.3">
      <c r="A887" s="156" t="s">
        <v>641</v>
      </c>
      <c r="B887" s="227" t="s">
        <v>778</v>
      </c>
      <c r="C887" s="226" t="s">
        <v>684</v>
      </c>
      <c r="D887" s="701" t="s">
        <v>738</v>
      </c>
      <c r="E887" s="701"/>
      <c r="F887" s="701"/>
      <c r="G887" s="226" t="s">
        <v>12</v>
      </c>
      <c r="H887" s="226">
        <v>2</v>
      </c>
      <c r="L887" s="226">
        <v>2</v>
      </c>
    </row>
    <row r="888" spans="1:12" ht="11.25" customHeight="1" x14ac:dyDescent="0.3">
      <c r="A888" s="156" t="s">
        <v>643</v>
      </c>
      <c r="B888" s="227" t="s">
        <v>779</v>
      </c>
      <c r="C888" s="226" t="s">
        <v>684</v>
      </c>
      <c r="D888" s="701" t="s">
        <v>738</v>
      </c>
      <c r="E888" s="701"/>
      <c r="F888" s="701"/>
      <c r="G888" s="226" t="s">
        <v>12</v>
      </c>
      <c r="H888" s="226">
        <v>2</v>
      </c>
      <c r="L888" s="226">
        <v>2</v>
      </c>
    </row>
    <row r="889" spans="1:12" ht="11.25" customHeight="1" x14ac:dyDescent="0.3">
      <c r="A889" s="156" t="s">
        <v>645</v>
      </c>
      <c r="B889" s="227" t="s">
        <v>780</v>
      </c>
      <c r="C889" s="226" t="s">
        <v>684</v>
      </c>
      <c r="D889" s="701" t="s">
        <v>738</v>
      </c>
      <c r="E889" s="701"/>
      <c r="F889" s="701"/>
      <c r="G889" s="226" t="s">
        <v>12</v>
      </c>
      <c r="H889" s="226">
        <v>2</v>
      </c>
      <c r="L889" s="226">
        <v>2</v>
      </c>
    </row>
    <row r="890" spans="1:12" ht="11.25" customHeight="1" x14ac:dyDescent="0.3">
      <c r="A890" s="156" t="s">
        <v>647</v>
      </c>
      <c r="B890" s="227" t="s">
        <v>781</v>
      </c>
      <c r="C890" s="226" t="s">
        <v>684</v>
      </c>
      <c r="D890" s="701" t="s">
        <v>738</v>
      </c>
      <c r="E890" s="701"/>
      <c r="F890" s="701"/>
      <c r="G890" s="226" t="s">
        <v>12</v>
      </c>
      <c r="H890" s="226">
        <v>2</v>
      </c>
      <c r="L890" s="226">
        <v>2</v>
      </c>
    </row>
    <row r="891" spans="1:12" ht="11.25" customHeight="1" x14ac:dyDescent="0.3">
      <c r="A891" s="156" t="s">
        <v>650</v>
      </c>
      <c r="B891" s="227" t="s">
        <v>793</v>
      </c>
      <c r="C891" s="226" t="s">
        <v>684</v>
      </c>
      <c r="D891" s="701" t="s">
        <v>738</v>
      </c>
      <c r="E891" s="701"/>
      <c r="F891" s="701"/>
      <c r="G891" s="226" t="s">
        <v>12</v>
      </c>
      <c r="H891" s="226">
        <v>2</v>
      </c>
      <c r="L891" s="226">
        <v>2</v>
      </c>
    </row>
    <row r="892" spans="1:12" ht="11.25" customHeight="1" x14ac:dyDescent="0.3">
      <c r="A892" s="156" t="s">
        <v>652</v>
      </c>
      <c r="B892" s="227" t="s">
        <v>794</v>
      </c>
      <c r="C892" s="226" t="s">
        <v>684</v>
      </c>
      <c r="D892" s="701" t="s">
        <v>738</v>
      </c>
      <c r="E892" s="701"/>
      <c r="F892" s="701"/>
      <c r="G892" s="226" t="s">
        <v>12</v>
      </c>
      <c r="H892" s="226">
        <v>2</v>
      </c>
      <c r="L892" s="226">
        <v>2</v>
      </c>
    </row>
    <row r="893" spans="1:12" ht="11.25" customHeight="1" x14ac:dyDescent="0.3">
      <c r="A893" s="156" t="s">
        <v>654</v>
      </c>
      <c r="B893" s="227" t="s">
        <v>795</v>
      </c>
      <c r="C893" s="226" t="s">
        <v>684</v>
      </c>
      <c r="D893" s="701" t="s">
        <v>738</v>
      </c>
      <c r="E893" s="701"/>
      <c r="F893" s="701"/>
      <c r="G893" s="226" t="s">
        <v>12</v>
      </c>
      <c r="H893" s="226">
        <v>2</v>
      </c>
      <c r="L893" s="226">
        <v>2</v>
      </c>
    </row>
    <row r="894" spans="1:12" ht="11.25" customHeight="1" x14ac:dyDescent="0.3">
      <c r="A894" s="156" t="s">
        <v>656</v>
      </c>
      <c r="B894" s="227" t="s">
        <v>796</v>
      </c>
      <c r="C894" s="226" t="s">
        <v>684</v>
      </c>
      <c r="D894" s="701" t="s">
        <v>738</v>
      </c>
      <c r="E894" s="701"/>
      <c r="F894" s="701"/>
      <c r="G894" s="226" t="s">
        <v>12</v>
      </c>
      <c r="H894" s="226">
        <v>2</v>
      </c>
      <c r="L894" s="226">
        <v>2</v>
      </c>
    </row>
    <row r="895" spans="1:12" ht="11.25" customHeight="1" x14ac:dyDescent="0.3">
      <c r="A895" s="156" t="s">
        <v>658</v>
      </c>
      <c r="B895" s="227" t="s">
        <v>797</v>
      </c>
      <c r="C895" s="226" t="s">
        <v>684</v>
      </c>
      <c r="D895" s="701" t="s">
        <v>738</v>
      </c>
      <c r="E895" s="701"/>
      <c r="F895" s="701"/>
      <c r="G895" s="226" t="s">
        <v>12</v>
      </c>
      <c r="H895" s="226">
        <v>2</v>
      </c>
      <c r="L895" s="226">
        <v>2</v>
      </c>
    </row>
    <row r="896" spans="1:12" ht="11.25" customHeight="1" x14ac:dyDescent="0.3">
      <c r="A896" s="156" t="s">
        <v>661</v>
      </c>
      <c r="B896" s="227" t="s">
        <v>800</v>
      </c>
      <c r="C896" s="226" t="s">
        <v>684</v>
      </c>
      <c r="D896" s="701" t="s">
        <v>738</v>
      </c>
      <c r="E896" s="701"/>
      <c r="F896" s="701"/>
      <c r="G896" s="226" t="s">
        <v>12</v>
      </c>
      <c r="H896" s="226">
        <v>2</v>
      </c>
      <c r="L896" s="226">
        <v>2</v>
      </c>
    </row>
    <row r="897" spans="1:12" ht="11.25" customHeight="1" x14ac:dyDescent="0.3">
      <c r="A897" s="156" t="s">
        <v>687</v>
      </c>
      <c r="B897" s="227" t="s">
        <v>801</v>
      </c>
      <c r="C897" s="226" t="s">
        <v>684</v>
      </c>
      <c r="D897" s="701" t="s">
        <v>738</v>
      </c>
      <c r="E897" s="701"/>
      <c r="F897" s="701"/>
      <c r="G897" s="226" t="s">
        <v>12</v>
      </c>
      <c r="H897" s="226">
        <v>2</v>
      </c>
      <c r="L897" s="226">
        <v>2</v>
      </c>
    </row>
    <row r="898" spans="1:12" ht="11.25" customHeight="1" x14ac:dyDescent="0.3">
      <c r="A898" s="156" t="s">
        <v>689</v>
      </c>
      <c r="B898" s="227" t="s">
        <v>802</v>
      </c>
      <c r="C898" s="226" t="s">
        <v>684</v>
      </c>
      <c r="D898" s="701" t="s">
        <v>738</v>
      </c>
      <c r="E898" s="701"/>
      <c r="F898" s="701"/>
      <c r="G898" s="226" t="s">
        <v>12</v>
      </c>
      <c r="H898" s="226">
        <v>2</v>
      </c>
      <c r="L898" s="226">
        <v>2</v>
      </c>
    </row>
    <row r="899" spans="1:12" ht="11.25" customHeight="1" x14ac:dyDescent="0.3">
      <c r="A899" s="156" t="s">
        <v>692</v>
      </c>
      <c r="B899" s="227" t="s">
        <v>805</v>
      </c>
      <c r="C899" s="226" t="s">
        <v>684</v>
      </c>
      <c r="D899" s="701" t="s">
        <v>738</v>
      </c>
      <c r="E899" s="701"/>
      <c r="F899" s="701"/>
      <c r="G899" s="226" t="s">
        <v>12</v>
      </c>
      <c r="H899" s="226">
        <v>2</v>
      </c>
      <c r="L899" s="226">
        <v>2</v>
      </c>
    </row>
    <row r="900" spans="1:12" ht="11.25" customHeight="1" x14ac:dyDescent="0.3">
      <c r="A900" s="156" t="s">
        <v>694</v>
      </c>
      <c r="B900" s="227" t="s">
        <v>806</v>
      </c>
      <c r="C900" s="226" t="s">
        <v>684</v>
      </c>
      <c r="D900" s="701" t="s">
        <v>738</v>
      </c>
      <c r="E900" s="701"/>
      <c r="F900" s="701"/>
      <c r="G900" s="226" t="s">
        <v>12</v>
      </c>
      <c r="H900" s="226">
        <v>2</v>
      </c>
      <c r="L900" s="226">
        <v>2</v>
      </c>
    </row>
    <row r="901" spans="1:12" ht="11.25" customHeight="1" x14ac:dyDescent="0.3">
      <c r="A901" s="156" t="s">
        <v>696</v>
      </c>
      <c r="B901" s="227" t="s">
        <v>807</v>
      </c>
      <c r="C901" s="226" t="s">
        <v>684</v>
      </c>
      <c r="D901" s="701" t="s">
        <v>738</v>
      </c>
      <c r="E901" s="701"/>
      <c r="F901" s="701"/>
      <c r="G901" s="226" t="s">
        <v>12</v>
      </c>
      <c r="H901" s="226">
        <v>2</v>
      </c>
      <c r="L901" s="226">
        <v>2</v>
      </c>
    </row>
    <row r="902" spans="1:12" ht="11.25" customHeight="1" x14ac:dyDescent="0.3">
      <c r="A902" s="156" t="s">
        <v>700</v>
      </c>
      <c r="B902" s="227" t="s">
        <v>809</v>
      </c>
      <c r="C902" s="226" t="s">
        <v>684</v>
      </c>
      <c r="D902" s="701" t="s">
        <v>738</v>
      </c>
      <c r="E902" s="701"/>
      <c r="F902" s="701"/>
      <c r="G902" s="226" t="s">
        <v>12</v>
      </c>
      <c r="H902" s="226">
        <v>2</v>
      </c>
      <c r="L902" s="226">
        <v>2</v>
      </c>
    </row>
    <row r="903" spans="1:12" ht="11.25" customHeight="1" x14ac:dyDescent="0.3">
      <c r="A903" s="156" t="s">
        <v>702</v>
      </c>
      <c r="B903" s="227" t="s">
        <v>810</v>
      </c>
      <c r="C903" s="226" t="s">
        <v>684</v>
      </c>
      <c r="D903" s="701" t="s">
        <v>738</v>
      </c>
      <c r="E903" s="701"/>
      <c r="F903" s="701"/>
      <c r="G903" s="226" t="s">
        <v>12</v>
      </c>
      <c r="H903" s="226">
        <v>2</v>
      </c>
      <c r="L903" s="226">
        <v>2</v>
      </c>
    </row>
    <row r="904" spans="1:12" ht="11.25" customHeight="1" x14ac:dyDescent="0.3">
      <c r="A904" s="156" t="s">
        <v>704</v>
      </c>
      <c r="B904" s="227" t="s">
        <v>811</v>
      </c>
      <c r="C904" s="226" t="s">
        <v>684</v>
      </c>
      <c r="D904" s="701" t="s">
        <v>738</v>
      </c>
      <c r="E904" s="701"/>
      <c r="F904" s="701"/>
      <c r="G904" s="226" t="s">
        <v>12</v>
      </c>
      <c r="H904" s="226">
        <v>2</v>
      </c>
      <c r="L904" s="226">
        <v>2</v>
      </c>
    </row>
    <row r="905" spans="1:12" ht="11.25" customHeight="1" x14ac:dyDescent="0.3">
      <c r="A905" s="156" t="s">
        <v>706</v>
      </c>
      <c r="B905" s="227" t="s">
        <v>812</v>
      </c>
      <c r="C905" s="226" t="s">
        <v>684</v>
      </c>
      <c r="D905" s="701" t="s">
        <v>738</v>
      </c>
      <c r="E905" s="701"/>
      <c r="F905" s="701"/>
      <c r="G905" s="226" t="s">
        <v>12</v>
      </c>
      <c r="H905" s="226">
        <v>2</v>
      </c>
      <c r="L905" s="226">
        <v>2</v>
      </c>
    </row>
    <row r="906" spans="1:12" ht="11.25" customHeight="1" x14ac:dyDescent="0.3">
      <c r="A906" s="156" t="s">
        <v>731</v>
      </c>
      <c r="B906" s="227" t="s">
        <v>813</v>
      </c>
      <c r="C906" s="226" t="s">
        <v>684</v>
      </c>
      <c r="D906" s="701" t="s">
        <v>738</v>
      </c>
      <c r="E906" s="701"/>
      <c r="F906" s="701"/>
      <c r="G906" s="226" t="s">
        <v>12</v>
      </c>
      <c r="H906" s="226">
        <v>2</v>
      </c>
      <c r="L906" s="226">
        <v>2</v>
      </c>
    </row>
    <row r="907" spans="1:12" ht="11.25" customHeight="1" x14ac:dyDescent="0.3">
      <c r="A907" s="156" t="s">
        <v>741</v>
      </c>
      <c r="B907" s="227" t="s">
        <v>815</v>
      </c>
      <c r="C907" s="226" t="s">
        <v>684</v>
      </c>
      <c r="D907" s="701" t="s">
        <v>738</v>
      </c>
      <c r="E907" s="701"/>
      <c r="F907" s="701"/>
      <c r="G907" s="226" t="s">
        <v>12</v>
      </c>
      <c r="H907" s="226">
        <v>1</v>
      </c>
      <c r="L907" s="226">
        <v>1</v>
      </c>
    </row>
    <row r="908" spans="1:12" ht="11.25" customHeight="1" x14ac:dyDescent="0.3">
      <c r="A908" s="156" t="s">
        <v>743</v>
      </c>
      <c r="B908" s="227" t="s">
        <v>816</v>
      </c>
      <c r="C908" s="226" t="s">
        <v>684</v>
      </c>
      <c r="D908" s="701" t="s">
        <v>738</v>
      </c>
      <c r="E908" s="701"/>
      <c r="F908" s="701"/>
      <c r="G908" s="226" t="s">
        <v>12</v>
      </c>
      <c r="H908" s="226">
        <v>1</v>
      </c>
      <c r="L908" s="226">
        <v>1</v>
      </c>
    </row>
    <row r="909" spans="1:12" ht="11.25" customHeight="1" x14ac:dyDescent="0.3">
      <c r="A909" s="156" t="s">
        <v>745</v>
      </c>
      <c r="B909" s="227" t="s">
        <v>817</v>
      </c>
      <c r="C909" s="226" t="s">
        <v>684</v>
      </c>
      <c r="D909" s="701" t="s">
        <v>738</v>
      </c>
      <c r="E909" s="701"/>
      <c r="F909" s="701"/>
      <c r="G909" s="226" t="s">
        <v>12</v>
      </c>
      <c r="H909" s="226">
        <v>1</v>
      </c>
      <c r="L909" s="226">
        <v>1</v>
      </c>
    </row>
    <row r="910" spans="1:12" ht="11.25" customHeight="1" x14ac:dyDescent="0.3">
      <c r="A910" s="156" t="s">
        <v>747</v>
      </c>
      <c r="B910" s="227" t="s">
        <v>818</v>
      </c>
      <c r="C910" s="226" t="s">
        <v>684</v>
      </c>
      <c r="D910" s="701" t="s">
        <v>738</v>
      </c>
      <c r="E910" s="701"/>
      <c r="F910" s="701"/>
      <c r="G910" s="226" t="s">
        <v>12</v>
      </c>
      <c r="H910" s="226">
        <v>1</v>
      </c>
      <c r="L910" s="226">
        <v>1</v>
      </c>
    </row>
    <row r="911" spans="1:12" ht="11.25" customHeight="1" x14ac:dyDescent="0.3">
      <c r="A911" s="156" t="s">
        <v>749</v>
      </c>
      <c r="B911" s="227" t="s">
        <v>819</v>
      </c>
      <c r="C911" s="226" t="s">
        <v>684</v>
      </c>
      <c r="D911" s="701" t="s">
        <v>738</v>
      </c>
      <c r="E911" s="701"/>
      <c r="F911" s="701"/>
      <c r="G911" s="226" t="s">
        <v>12</v>
      </c>
      <c r="H911" s="226">
        <v>1</v>
      </c>
      <c r="L911" s="226">
        <v>1</v>
      </c>
    </row>
    <row r="912" spans="1:12" ht="11.25" customHeight="1" x14ac:dyDescent="0.3">
      <c r="A912" s="156" t="s">
        <v>753</v>
      </c>
      <c r="B912" s="227" t="s">
        <v>821</v>
      </c>
      <c r="C912" s="226" t="s">
        <v>684</v>
      </c>
      <c r="D912" s="701" t="s">
        <v>738</v>
      </c>
      <c r="E912" s="701"/>
      <c r="F912" s="701"/>
      <c r="G912" s="226" t="s">
        <v>12</v>
      </c>
      <c r="H912" s="226">
        <v>1</v>
      </c>
      <c r="L912" s="226">
        <v>1</v>
      </c>
    </row>
    <row r="913" spans="1:12" ht="11.25" customHeight="1" x14ac:dyDescent="0.3">
      <c r="A913" s="156" t="s">
        <v>756</v>
      </c>
      <c r="B913" s="227" t="s">
        <v>822</v>
      </c>
      <c r="C913" s="226" t="s">
        <v>684</v>
      </c>
      <c r="D913" s="701" t="s">
        <v>738</v>
      </c>
      <c r="E913" s="701"/>
      <c r="F913" s="701"/>
      <c r="G913" s="226" t="s">
        <v>12</v>
      </c>
      <c r="H913" s="226">
        <v>1</v>
      </c>
      <c r="L913" s="226">
        <v>1</v>
      </c>
    </row>
    <row r="914" spans="1:12" ht="11.25" customHeight="1" x14ac:dyDescent="0.3">
      <c r="A914" s="156" t="s">
        <v>762</v>
      </c>
      <c r="B914" s="227" t="s">
        <v>823</v>
      </c>
      <c r="C914" s="226" t="s">
        <v>684</v>
      </c>
      <c r="D914" s="701" t="s">
        <v>738</v>
      </c>
      <c r="E914" s="701"/>
      <c r="F914" s="701"/>
      <c r="G914" s="226" t="s">
        <v>12</v>
      </c>
      <c r="H914" s="226">
        <v>1</v>
      </c>
      <c r="L914" s="226">
        <v>1</v>
      </c>
    </row>
    <row r="915" spans="1:12" ht="11.25" customHeight="1" x14ac:dyDescent="0.3">
      <c r="A915" s="156" t="s">
        <v>764</v>
      </c>
      <c r="B915" s="227" t="s">
        <v>824</v>
      </c>
      <c r="C915" s="226" t="s">
        <v>684</v>
      </c>
      <c r="D915" s="701" t="s">
        <v>738</v>
      </c>
      <c r="E915" s="701"/>
      <c r="F915" s="701"/>
      <c r="G915" s="226" t="s">
        <v>12</v>
      </c>
      <c r="H915" s="226">
        <v>1</v>
      </c>
      <c r="L915" s="226">
        <v>1</v>
      </c>
    </row>
    <row r="916" spans="1:12" ht="11.25" customHeight="1" x14ac:dyDescent="0.3">
      <c r="A916" s="156" t="s">
        <v>766</v>
      </c>
      <c r="B916" s="227" t="s">
        <v>825</v>
      </c>
      <c r="C916" s="226" t="s">
        <v>684</v>
      </c>
      <c r="D916" s="701" t="s">
        <v>738</v>
      </c>
      <c r="E916" s="701"/>
      <c r="F916" s="701"/>
      <c r="G916" s="226" t="s">
        <v>12</v>
      </c>
      <c r="H916" s="226">
        <v>1</v>
      </c>
      <c r="L916" s="226">
        <v>1</v>
      </c>
    </row>
    <row r="917" spans="1:12" ht="11.25" customHeight="1" x14ac:dyDescent="0.3">
      <c r="A917" s="156" t="s">
        <v>768</v>
      </c>
      <c r="B917" s="227" t="s">
        <v>826</v>
      </c>
      <c r="C917" s="226" t="s">
        <v>684</v>
      </c>
      <c r="D917" s="701" t="s">
        <v>738</v>
      </c>
      <c r="E917" s="701"/>
      <c r="F917" s="701"/>
      <c r="G917" s="226" t="s">
        <v>12</v>
      </c>
      <c r="H917" s="226">
        <v>1</v>
      </c>
      <c r="L917" s="226">
        <v>1</v>
      </c>
    </row>
    <row r="918" spans="1:12" ht="11.25" customHeight="1" x14ac:dyDescent="0.3">
      <c r="A918" s="156" t="s">
        <v>771</v>
      </c>
      <c r="B918" s="227" t="s">
        <v>827</v>
      </c>
      <c r="C918" s="226" t="s">
        <v>684</v>
      </c>
      <c r="D918" s="701" t="s">
        <v>738</v>
      </c>
      <c r="E918" s="701"/>
      <c r="F918" s="701"/>
      <c r="G918" s="226" t="s">
        <v>12</v>
      </c>
      <c r="H918" s="226">
        <v>1</v>
      </c>
      <c r="L918" s="226">
        <v>1</v>
      </c>
    </row>
    <row r="919" spans="1:12" ht="11.25" customHeight="1" x14ac:dyDescent="0.3">
      <c r="A919" s="156" t="s">
        <v>773</v>
      </c>
      <c r="B919" s="227" t="s">
        <v>828</v>
      </c>
      <c r="C919" s="226" t="s">
        <v>684</v>
      </c>
      <c r="D919" s="701" t="s">
        <v>738</v>
      </c>
      <c r="E919" s="701"/>
      <c r="F919" s="701"/>
      <c r="G919" s="226" t="s">
        <v>12</v>
      </c>
      <c r="H919" s="226">
        <v>1</v>
      </c>
      <c r="L919" s="226">
        <v>1</v>
      </c>
    </row>
    <row r="920" spans="1:12" ht="11.25" customHeight="1" x14ac:dyDescent="0.3">
      <c r="A920" s="156" t="s">
        <v>775</v>
      </c>
      <c r="B920" s="227" t="s">
        <v>829</v>
      </c>
      <c r="C920" s="226" t="s">
        <v>684</v>
      </c>
      <c r="D920" s="701" t="s">
        <v>738</v>
      </c>
      <c r="E920" s="701"/>
      <c r="F920" s="701"/>
      <c r="G920" s="226" t="s">
        <v>12</v>
      </c>
      <c r="H920" s="226">
        <v>1</v>
      </c>
      <c r="L920" s="226">
        <v>1</v>
      </c>
    </row>
    <row r="921" spans="1:12" ht="11.25" customHeight="1" x14ac:dyDescent="0.3">
      <c r="A921" s="156" t="s">
        <v>786</v>
      </c>
      <c r="B921" s="227" t="s">
        <v>830</v>
      </c>
      <c r="C921" s="226" t="s">
        <v>684</v>
      </c>
      <c r="D921" s="701" t="s">
        <v>738</v>
      </c>
      <c r="E921" s="701"/>
      <c r="F921" s="701"/>
      <c r="G921" s="226" t="s">
        <v>12</v>
      </c>
      <c r="H921" s="226">
        <v>1</v>
      </c>
      <c r="L921" s="226">
        <v>1</v>
      </c>
    </row>
    <row r="922" spans="1:12" ht="11.25" customHeight="1" x14ac:dyDescent="0.3">
      <c r="A922" s="156" t="s">
        <v>788</v>
      </c>
      <c r="B922" s="227" t="s">
        <v>831</v>
      </c>
      <c r="C922" s="226" t="s">
        <v>684</v>
      </c>
      <c r="D922" s="701" t="s">
        <v>738</v>
      </c>
      <c r="E922" s="701"/>
      <c r="F922" s="701"/>
      <c r="G922" s="226" t="s">
        <v>12</v>
      </c>
      <c r="H922" s="226">
        <v>1</v>
      </c>
      <c r="L922" s="226">
        <v>1</v>
      </c>
    </row>
    <row r="923" spans="1:12" ht="11.25" customHeight="1" x14ac:dyDescent="0.3">
      <c r="A923" s="156" t="s">
        <v>790</v>
      </c>
      <c r="B923" s="227" t="s">
        <v>832</v>
      </c>
      <c r="C923" s="226" t="s">
        <v>684</v>
      </c>
      <c r="D923" s="701" t="s">
        <v>738</v>
      </c>
      <c r="E923" s="701"/>
      <c r="F923" s="701"/>
      <c r="G923" s="226" t="s">
        <v>12</v>
      </c>
      <c r="H923" s="226">
        <v>1</v>
      </c>
      <c r="L923" s="226">
        <v>1</v>
      </c>
    </row>
    <row r="924" spans="1:12" ht="11.25" customHeight="1" x14ac:dyDescent="0.3">
      <c r="A924" s="156" t="s">
        <v>1162</v>
      </c>
      <c r="B924" s="227" t="s">
        <v>1127</v>
      </c>
      <c r="C924" s="226" t="s">
        <v>1195</v>
      </c>
      <c r="D924" s="701" t="s">
        <v>1160</v>
      </c>
      <c r="E924" s="701"/>
      <c r="F924" s="701"/>
      <c r="G924" s="226" t="s">
        <v>12</v>
      </c>
      <c r="H924" s="226">
        <v>1</v>
      </c>
      <c r="L924" s="226">
        <v>1</v>
      </c>
    </row>
    <row r="925" spans="1:12" ht="11.25" customHeight="1" x14ac:dyDescent="0.3">
      <c r="A925" s="156" t="s">
        <v>1164</v>
      </c>
      <c r="B925" s="227" t="s">
        <v>1129</v>
      </c>
      <c r="C925" s="226" t="s">
        <v>1195</v>
      </c>
      <c r="D925" s="701" t="s">
        <v>1160</v>
      </c>
      <c r="E925" s="701"/>
      <c r="F925" s="701"/>
      <c r="G925" s="226" t="s">
        <v>12</v>
      </c>
      <c r="H925" s="226">
        <v>1</v>
      </c>
      <c r="L925" s="226">
        <v>1</v>
      </c>
    </row>
    <row r="926" spans="1:12" ht="11.25" customHeight="1" x14ac:dyDescent="0.3">
      <c r="A926" s="156" t="s">
        <v>1166</v>
      </c>
      <c r="B926" s="227" t="s">
        <v>1131</v>
      </c>
      <c r="C926" s="226" t="s">
        <v>1195</v>
      </c>
      <c r="D926" s="701" t="s">
        <v>1160</v>
      </c>
      <c r="E926" s="701"/>
      <c r="F926" s="701"/>
      <c r="G926" s="226" t="s">
        <v>12</v>
      </c>
      <c r="H926" s="226">
        <v>2</v>
      </c>
      <c r="L926" s="226">
        <v>2</v>
      </c>
    </row>
    <row r="927" spans="1:12" ht="11.25" customHeight="1" x14ac:dyDescent="0.3">
      <c r="A927" s="156" t="s">
        <v>1168</v>
      </c>
      <c r="B927" s="227" t="s">
        <v>1133</v>
      </c>
      <c r="C927" s="226" t="s">
        <v>1195</v>
      </c>
      <c r="D927" s="701" t="s">
        <v>1160</v>
      </c>
      <c r="E927" s="701"/>
      <c r="F927" s="701"/>
      <c r="G927" s="226" t="s">
        <v>12</v>
      </c>
      <c r="H927" s="226">
        <v>2</v>
      </c>
      <c r="L927" s="226">
        <v>2</v>
      </c>
    </row>
    <row r="928" spans="1:12" ht="11.25" customHeight="1" x14ac:dyDescent="0.3">
      <c r="A928" s="156" t="s">
        <v>1170</v>
      </c>
      <c r="B928" s="227" t="s">
        <v>1135</v>
      </c>
      <c r="C928" s="226" t="s">
        <v>1195</v>
      </c>
      <c r="D928" s="701" t="s">
        <v>1160</v>
      </c>
      <c r="E928" s="701"/>
      <c r="F928" s="701"/>
      <c r="G928" s="226" t="s">
        <v>12</v>
      </c>
      <c r="H928" s="226">
        <v>2</v>
      </c>
      <c r="L928" s="226">
        <v>2</v>
      </c>
    </row>
    <row r="929" spans="1:13" ht="11.25" customHeight="1" x14ac:dyDescent="0.3">
      <c r="A929" s="156" t="s">
        <v>1172</v>
      </c>
      <c r="B929" s="227" t="s">
        <v>1137</v>
      </c>
      <c r="C929" s="226" t="s">
        <v>1195</v>
      </c>
      <c r="D929" s="701" t="s">
        <v>1160</v>
      </c>
      <c r="E929" s="701"/>
      <c r="F929" s="701"/>
      <c r="G929" s="226" t="s">
        <v>12</v>
      </c>
      <c r="H929" s="226">
        <v>3</v>
      </c>
      <c r="L929" s="226">
        <v>3</v>
      </c>
    </row>
    <row r="930" spans="1:13" ht="11.25" customHeight="1" x14ac:dyDescent="0.3">
      <c r="A930" s="156" t="s">
        <v>1174</v>
      </c>
      <c r="B930" s="227" t="s">
        <v>1139</v>
      </c>
      <c r="C930" s="226" t="s">
        <v>1195</v>
      </c>
      <c r="D930" s="701" t="s">
        <v>1160</v>
      </c>
      <c r="E930" s="701"/>
      <c r="F930" s="701"/>
      <c r="G930" s="226" t="s">
        <v>12</v>
      </c>
      <c r="H930" s="226">
        <v>1</v>
      </c>
      <c r="L930" s="226">
        <v>1</v>
      </c>
    </row>
    <row r="931" spans="1:13" ht="11.25" customHeight="1" x14ac:dyDescent="0.3">
      <c r="A931" s="156" t="s">
        <v>1176</v>
      </c>
      <c r="B931" s="227" t="s">
        <v>1141</v>
      </c>
      <c r="C931" s="226" t="s">
        <v>1195</v>
      </c>
      <c r="D931" s="701" t="s">
        <v>1160</v>
      </c>
      <c r="E931" s="701"/>
      <c r="F931" s="701"/>
      <c r="G931" s="226" t="s">
        <v>12</v>
      </c>
      <c r="H931" s="226">
        <v>1</v>
      </c>
      <c r="L931" s="226">
        <v>1</v>
      </c>
    </row>
    <row r="932" spans="1:13" ht="11.25" customHeight="1" x14ac:dyDescent="0.3">
      <c r="A932" s="156" t="s">
        <v>1178</v>
      </c>
      <c r="B932" s="227" t="s">
        <v>1143</v>
      </c>
      <c r="C932" s="226" t="s">
        <v>1195</v>
      </c>
      <c r="D932" s="701" t="s">
        <v>1160</v>
      </c>
      <c r="E932" s="701"/>
      <c r="F932" s="701"/>
      <c r="G932" s="226" t="s">
        <v>12</v>
      </c>
      <c r="H932" s="226">
        <v>1</v>
      </c>
      <c r="L932" s="226">
        <v>1</v>
      </c>
    </row>
    <row r="933" spans="1:13" ht="11.25" customHeight="1" x14ac:dyDescent="0.3">
      <c r="A933" s="156" t="s">
        <v>1180</v>
      </c>
      <c r="B933" s="227" t="s">
        <v>1145</v>
      </c>
      <c r="C933" s="226" t="s">
        <v>1195</v>
      </c>
      <c r="D933" s="701" t="s">
        <v>1160</v>
      </c>
      <c r="E933" s="701"/>
      <c r="F933" s="701"/>
      <c r="G933" s="226" t="s">
        <v>12</v>
      </c>
      <c r="H933" s="226">
        <v>1</v>
      </c>
      <c r="L933" s="226">
        <v>1</v>
      </c>
    </row>
    <row r="934" spans="1:13" ht="11.25" customHeight="1" x14ac:dyDescent="0.3">
      <c r="A934" s="156" t="s">
        <v>1182</v>
      </c>
      <c r="B934" s="227" t="s">
        <v>1147</v>
      </c>
      <c r="C934" s="226" t="s">
        <v>1195</v>
      </c>
      <c r="D934" s="701" t="s">
        <v>1160</v>
      </c>
      <c r="E934" s="701"/>
      <c r="F934" s="701"/>
      <c r="G934" s="226" t="s">
        <v>12</v>
      </c>
      <c r="H934" s="226">
        <v>2</v>
      </c>
      <c r="L934" s="226">
        <v>2</v>
      </c>
    </row>
    <row r="935" spans="1:13" ht="11.25" customHeight="1" x14ac:dyDescent="0.3">
      <c r="A935" s="156" t="s">
        <v>1184</v>
      </c>
      <c r="B935" s="227" t="s">
        <v>1149</v>
      </c>
      <c r="C935" s="226" t="s">
        <v>1195</v>
      </c>
      <c r="D935" s="701" t="s">
        <v>1160</v>
      </c>
      <c r="E935" s="701"/>
      <c r="F935" s="701"/>
      <c r="G935" s="226" t="s">
        <v>12</v>
      </c>
      <c r="H935" s="226">
        <v>2</v>
      </c>
      <c r="L935" s="226">
        <v>2</v>
      </c>
    </row>
    <row r="936" spans="1:13" ht="11.25" customHeight="1" x14ac:dyDescent="0.3">
      <c r="A936" s="156" t="s">
        <v>1186</v>
      </c>
      <c r="B936" s="227" t="s">
        <v>1151</v>
      </c>
      <c r="C936" s="226" t="s">
        <v>1195</v>
      </c>
      <c r="D936" s="701" t="s">
        <v>1160</v>
      </c>
      <c r="E936" s="701"/>
      <c r="F936" s="701"/>
      <c r="G936" s="226" t="s">
        <v>12</v>
      </c>
      <c r="H936" s="226">
        <v>2</v>
      </c>
      <c r="L936" s="226">
        <v>2</v>
      </c>
    </row>
    <row r="937" spans="1:13" ht="11.25" customHeight="1" x14ac:dyDescent="0.3">
      <c r="A937" s="156" t="s">
        <v>1188</v>
      </c>
      <c r="B937" s="227" t="s">
        <v>1153</v>
      </c>
      <c r="C937" s="226" t="s">
        <v>1195</v>
      </c>
      <c r="D937" s="701" t="s">
        <v>1160</v>
      </c>
      <c r="E937" s="701"/>
      <c r="F937" s="701"/>
      <c r="G937" s="226" t="s">
        <v>12</v>
      </c>
      <c r="H937" s="226">
        <v>2</v>
      </c>
      <c r="L937" s="226">
        <v>2</v>
      </c>
    </row>
    <row r="938" spans="1:13" ht="11.25" customHeight="1" x14ac:dyDescent="0.3">
      <c r="A938" s="156" t="s">
        <v>1190</v>
      </c>
      <c r="B938" s="227" t="s">
        <v>1155</v>
      </c>
      <c r="C938" s="226" t="s">
        <v>1195</v>
      </c>
      <c r="D938" s="701" t="s">
        <v>1160</v>
      </c>
      <c r="E938" s="701"/>
      <c r="F938" s="701"/>
      <c r="G938" s="226" t="s">
        <v>12</v>
      </c>
      <c r="H938" s="226">
        <v>2</v>
      </c>
      <c r="L938" s="226">
        <v>2</v>
      </c>
    </row>
    <row r="939" spans="1:13" ht="11.25" customHeight="1" x14ac:dyDescent="0.3">
      <c r="A939" s="156" t="s">
        <v>1192</v>
      </c>
      <c r="B939" s="227" t="s">
        <v>1157</v>
      </c>
      <c r="C939" s="226" t="s">
        <v>1195</v>
      </c>
      <c r="D939" s="701" t="s">
        <v>1160</v>
      </c>
      <c r="E939" s="701"/>
      <c r="F939" s="701"/>
      <c r="G939" s="226" t="s">
        <v>12</v>
      </c>
      <c r="H939" s="226">
        <v>2</v>
      </c>
      <c r="L939" s="226">
        <v>2</v>
      </c>
    </row>
    <row r="940" spans="1:13" ht="12" customHeight="1" x14ac:dyDescent="0.3">
      <c r="J940" s="701" t="s">
        <v>203</v>
      </c>
      <c r="K940" s="701"/>
      <c r="L940" s="226">
        <v>165</v>
      </c>
    </row>
    <row r="941" spans="1:13" ht="12" customHeight="1" x14ac:dyDescent="0.3"/>
    <row r="942" spans="1:13" ht="28.5" customHeight="1" x14ac:dyDescent="0.3">
      <c r="A942" s="226" t="s">
        <v>11</v>
      </c>
      <c r="B942" s="226" t="s">
        <v>218</v>
      </c>
      <c r="C942" s="701" t="s">
        <v>35</v>
      </c>
      <c r="D942" s="701"/>
      <c r="E942" s="702" t="s">
        <v>1256</v>
      </c>
      <c r="F942" s="702"/>
      <c r="G942" s="702"/>
      <c r="H942" s="702"/>
      <c r="I942" s="226" t="s">
        <v>105</v>
      </c>
      <c r="J942" s="226" t="s">
        <v>12</v>
      </c>
      <c r="K942" s="226" t="s">
        <v>13</v>
      </c>
      <c r="L942" s="231">
        <v>165</v>
      </c>
    </row>
    <row r="943" spans="1:13" ht="12" customHeight="1" x14ac:dyDescent="0.3"/>
    <row r="944" spans="1:13" ht="12" customHeight="1" x14ac:dyDescent="0.3">
      <c r="A944" s="234" t="s">
        <v>201</v>
      </c>
      <c r="B944" s="234" t="s">
        <v>200</v>
      </c>
      <c r="C944" s="235" t="s">
        <v>200</v>
      </c>
      <c r="D944" s="235" t="s">
        <v>193</v>
      </c>
      <c r="E944" s="235"/>
      <c r="F944" s="235"/>
      <c r="G944" s="234" t="s">
        <v>12</v>
      </c>
      <c r="H944" s="234" t="s">
        <v>194</v>
      </c>
      <c r="I944" s="234" t="s">
        <v>196</v>
      </c>
      <c r="J944" s="234" t="s">
        <v>195</v>
      </c>
      <c r="K944" s="234" t="s">
        <v>197</v>
      </c>
      <c r="L944" s="234" t="s">
        <v>198</v>
      </c>
      <c r="M944" s="100"/>
    </row>
    <row r="945" spans="1:12" ht="10.199999999999999" customHeight="1" x14ac:dyDescent="0.3">
      <c r="A945" s="226" t="s">
        <v>199</v>
      </c>
      <c r="B945" s="227" t="s">
        <v>407</v>
      </c>
      <c r="C945" s="226" t="s">
        <v>199</v>
      </c>
      <c r="D945" s="701" t="s">
        <v>599</v>
      </c>
      <c r="E945" s="701"/>
      <c r="F945" s="701"/>
      <c r="G945" s="226" t="s">
        <v>12</v>
      </c>
      <c r="H945" s="226">
        <v>165</v>
      </c>
      <c r="L945" s="226">
        <v>165</v>
      </c>
    </row>
    <row r="946" spans="1:12" ht="12" customHeight="1" x14ac:dyDescent="0.3">
      <c r="J946" s="701" t="s">
        <v>203</v>
      </c>
      <c r="K946" s="701"/>
      <c r="L946" s="226">
        <v>165</v>
      </c>
    </row>
    <row r="947" spans="1:12" ht="12" customHeight="1" x14ac:dyDescent="0.3"/>
    <row r="948" spans="1:12" ht="29.25" customHeight="1" x14ac:dyDescent="0.3">
      <c r="A948" s="226" t="s">
        <v>11</v>
      </c>
      <c r="B948" s="226" t="s">
        <v>219</v>
      </c>
      <c r="C948" s="701" t="s">
        <v>35</v>
      </c>
      <c r="D948" s="701"/>
      <c r="E948" s="702" t="s">
        <v>1257</v>
      </c>
      <c r="F948" s="702"/>
      <c r="G948" s="702"/>
      <c r="H948" s="702"/>
      <c r="I948" s="226" t="s">
        <v>105</v>
      </c>
      <c r="J948" s="226" t="s">
        <v>129</v>
      </c>
      <c r="K948" s="226" t="s">
        <v>13</v>
      </c>
      <c r="L948" s="231">
        <v>1797</v>
      </c>
    </row>
    <row r="949" spans="1:12" ht="12" customHeight="1" x14ac:dyDescent="0.3"/>
    <row r="950" spans="1:12" ht="12" customHeight="1" x14ac:dyDescent="0.3">
      <c r="A950" s="234" t="s">
        <v>201</v>
      </c>
      <c r="B950" s="703" t="s">
        <v>35</v>
      </c>
      <c r="C950" s="703"/>
      <c r="D950" s="235" t="s">
        <v>193</v>
      </c>
      <c r="E950" s="235"/>
      <c r="F950" s="235"/>
      <c r="G950" s="234" t="s">
        <v>12</v>
      </c>
      <c r="H950" s="234" t="s">
        <v>194</v>
      </c>
      <c r="I950" s="234" t="s">
        <v>196</v>
      </c>
      <c r="J950" s="234" t="s">
        <v>195</v>
      </c>
      <c r="K950" s="234" t="s">
        <v>197</v>
      </c>
      <c r="L950" s="234" t="s">
        <v>198</v>
      </c>
    </row>
    <row r="951" spans="1:12" ht="10.5" customHeight="1" x14ac:dyDescent="0.3">
      <c r="A951" s="156" t="s">
        <v>185</v>
      </c>
      <c r="B951" s="227" t="s">
        <v>875</v>
      </c>
      <c r="C951" s="226" t="s">
        <v>662</v>
      </c>
      <c r="D951" s="701" t="s">
        <v>685</v>
      </c>
      <c r="E951" s="701"/>
      <c r="F951" s="701"/>
      <c r="G951" s="226" t="s">
        <v>129</v>
      </c>
      <c r="H951" s="226">
        <v>1</v>
      </c>
      <c r="I951" s="226">
        <v>7</v>
      </c>
      <c r="L951" s="226">
        <v>7</v>
      </c>
    </row>
    <row r="952" spans="1:12" ht="10.5" customHeight="1" x14ac:dyDescent="0.3">
      <c r="A952" s="156" t="s">
        <v>187</v>
      </c>
      <c r="B952" s="227" t="s">
        <v>876</v>
      </c>
      <c r="C952" s="226" t="s">
        <v>662</v>
      </c>
      <c r="D952" s="701" t="s">
        <v>685</v>
      </c>
      <c r="E952" s="701"/>
      <c r="F952" s="701"/>
      <c r="G952" s="226" t="s">
        <v>129</v>
      </c>
      <c r="H952" s="226">
        <v>1</v>
      </c>
      <c r="I952" s="226">
        <v>18</v>
      </c>
      <c r="L952" s="226">
        <v>18</v>
      </c>
    </row>
    <row r="953" spans="1:12" ht="10.5" customHeight="1" x14ac:dyDescent="0.3">
      <c r="A953" s="156" t="s">
        <v>482</v>
      </c>
      <c r="B953" s="227" t="s">
        <v>877</v>
      </c>
      <c r="C953" s="226" t="s">
        <v>662</v>
      </c>
      <c r="D953" s="701" t="s">
        <v>685</v>
      </c>
      <c r="E953" s="701"/>
      <c r="F953" s="701"/>
      <c r="G953" s="226" t="s">
        <v>129</v>
      </c>
      <c r="H953" s="226">
        <v>1</v>
      </c>
      <c r="I953" s="226">
        <v>7</v>
      </c>
      <c r="L953" s="226">
        <v>7</v>
      </c>
    </row>
    <row r="954" spans="1:12" ht="10.5" customHeight="1" x14ac:dyDescent="0.3">
      <c r="A954" s="156" t="s">
        <v>189</v>
      </c>
      <c r="B954" s="227" t="s">
        <v>878</v>
      </c>
      <c r="C954" s="226" t="s">
        <v>662</v>
      </c>
      <c r="D954" s="701" t="s">
        <v>685</v>
      </c>
      <c r="E954" s="701"/>
      <c r="F954" s="701"/>
      <c r="G954" s="226" t="s">
        <v>129</v>
      </c>
      <c r="H954" s="226">
        <v>1</v>
      </c>
      <c r="I954" s="226">
        <v>7</v>
      </c>
      <c r="L954" s="226">
        <v>7</v>
      </c>
    </row>
    <row r="955" spans="1:12" ht="10.5" customHeight="1" x14ac:dyDescent="0.3">
      <c r="A955" s="156" t="s">
        <v>190</v>
      </c>
      <c r="B955" s="227" t="s">
        <v>879</v>
      </c>
      <c r="C955" s="226" t="s">
        <v>662</v>
      </c>
      <c r="D955" s="701" t="s">
        <v>685</v>
      </c>
      <c r="E955" s="701"/>
      <c r="F955" s="701"/>
      <c r="G955" s="226" t="s">
        <v>129</v>
      </c>
      <c r="H955" s="226">
        <v>1</v>
      </c>
      <c r="I955" s="226">
        <v>18</v>
      </c>
      <c r="L955" s="226">
        <v>18</v>
      </c>
    </row>
    <row r="956" spans="1:12" ht="10.5" customHeight="1" x14ac:dyDescent="0.3">
      <c r="A956" s="156" t="s">
        <v>191</v>
      </c>
      <c r="B956" s="227" t="s">
        <v>880</v>
      </c>
      <c r="C956" s="226" t="s">
        <v>662</v>
      </c>
      <c r="D956" s="701" t="s">
        <v>685</v>
      </c>
      <c r="E956" s="701"/>
      <c r="F956" s="701"/>
      <c r="G956" s="226" t="s">
        <v>129</v>
      </c>
      <c r="H956" s="226">
        <v>1</v>
      </c>
      <c r="I956" s="226">
        <v>18</v>
      </c>
      <c r="L956" s="226">
        <v>18</v>
      </c>
    </row>
    <row r="957" spans="1:12" ht="10.5" customHeight="1" x14ac:dyDescent="0.3">
      <c r="A957" s="156" t="s">
        <v>192</v>
      </c>
      <c r="B957" s="227" t="s">
        <v>881</v>
      </c>
      <c r="C957" s="226" t="s">
        <v>662</v>
      </c>
      <c r="D957" s="701" t="s">
        <v>685</v>
      </c>
      <c r="E957" s="701"/>
      <c r="F957" s="701"/>
      <c r="G957" s="226" t="s">
        <v>129</v>
      </c>
      <c r="H957" s="226">
        <v>1</v>
      </c>
      <c r="I957" s="226">
        <v>7</v>
      </c>
      <c r="L957" s="226">
        <v>7</v>
      </c>
    </row>
    <row r="958" spans="1:12" ht="10.5" customHeight="1" x14ac:dyDescent="0.3">
      <c r="A958" s="156" t="s">
        <v>487</v>
      </c>
      <c r="B958" s="227" t="s">
        <v>882</v>
      </c>
      <c r="C958" s="226" t="s">
        <v>662</v>
      </c>
      <c r="D958" s="701" t="s">
        <v>685</v>
      </c>
      <c r="E958" s="701"/>
      <c r="F958" s="701"/>
      <c r="G958" s="226" t="s">
        <v>129</v>
      </c>
      <c r="H958" s="226">
        <v>1</v>
      </c>
      <c r="I958" s="226">
        <v>7</v>
      </c>
      <c r="L958" s="226">
        <v>7</v>
      </c>
    </row>
    <row r="959" spans="1:12" ht="10.5" customHeight="1" x14ac:dyDescent="0.3">
      <c r="A959" s="156" t="s">
        <v>488</v>
      </c>
      <c r="B959" s="227" t="s">
        <v>883</v>
      </c>
      <c r="C959" s="226" t="s">
        <v>662</v>
      </c>
      <c r="D959" s="701" t="s">
        <v>685</v>
      </c>
      <c r="E959" s="701"/>
      <c r="F959" s="701"/>
      <c r="G959" s="226" t="s">
        <v>129</v>
      </c>
      <c r="H959" s="226">
        <v>1</v>
      </c>
      <c r="I959" s="226">
        <v>18</v>
      </c>
      <c r="L959" s="226">
        <v>18</v>
      </c>
    </row>
    <row r="960" spans="1:12" ht="10.5" customHeight="1" x14ac:dyDescent="0.3">
      <c r="A960" s="156" t="s">
        <v>530</v>
      </c>
      <c r="B960" s="227" t="s">
        <v>884</v>
      </c>
      <c r="C960" s="226" t="s">
        <v>662</v>
      </c>
      <c r="D960" s="701" t="s">
        <v>685</v>
      </c>
      <c r="E960" s="701"/>
      <c r="F960" s="701"/>
      <c r="G960" s="226" t="s">
        <v>129</v>
      </c>
      <c r="H960" s="226">
        <v>1</v>
      </c>
      <c r="I960" s="226">
        <v>7</v>
      </c>
      <c r="L960" s="226">
        <v>7</v>
      </c>
    </row>
    <row r="961" spans="1:12" ht="10.5" customHeight="1" x14ac:dyDescent="0.3">
      <c r="A961" s="156" t="s">
        <v>531</v>
      </c>
      <c r="B961" s="227" t="s">
        <v>886</v>
      </c>
      <c r="C961" s="226" t="s">
        <v>662</v>
      </c>
      <c r="D961" s="701" t="s">
        <v>685</v>
      </c>
      <c r="E961" s="701"/>
      <c r="F961" s="701"/>
      <c r="G961" s="226" t="s">
        <v>129</v>
      </c>
      <c r="H961" s="226">
        <v>1</v>
      </c>
      <c r="I961" s="226">
        <v>7</v>
      </c>
      <c r="L961" s="226">
        <v>7</v>
      </c>
    </row>
    <row r="962" spans="1:12" ht="10.5" customHeight="1" x14ac:dyDescent="0.3">
      <c r="A962" s="156" t="s">
        <v>533</v>
      </c>
      <c r="B962" s="227" t="s">
        <v>887</v>
      </c>
      <c r="C962" s="226" t="s">
        <v>662</v>
      </c>
      <c r="D962" s="701" t="s">
        <v>685</v>
      </c>
      <c r="E962" s="701"/>
      <c r="F962" s="701"/>
      <c r="G962" s="226" t="s">
        <v>129</v>
      </c>
      <c r="H962" s="226">
        <v>1</v>
      </c>
      <c r="I962" s="226">
        <v>18</v>
      </c>
      <c r="L962" s="226">
        <v>18</v>
      </c>
    </row>
    <row r="963" spans="1:12" ht="10.5" customHeight="1" x14ac:dyDescent="0.3">
      <c r="A963" s="156" t="s">
        <v>535</v>
      </c>
      <c r="B963" s="227" t="s">
        <v>888</v>
      </c>
      <c r="C963" s="226" t="s">
        <v>662</v>
      </c>
      <c r="D963" s="701" t="s">
        <v>685</v>
      </c>
      <c r="E963" s="701"/>
      <c r="F963" s="701"/>
      <c r="G963" s="226" t="s">
        <v>129</v>
      </c>
      <c r="H963" s="226">
        <v>1</v>
      </c>
      <c r="I963" s="226">
        <v>7</v>
      </c>
      <c r="L963" s="226">
        <v>7</v>
      </c>
    </row>
    <row r="964" spans="1:12" ht="10.5" customHeight="1" x14ac:dyDescent="0.3">
      <c r="A964" s="156" t="s">
        <v>536</v>
      </c>
      <c r="B964" s="227" t="s">
        <v>889</v>
      </c>
      <c r="C964" s="226" t="s">
        <v>662</v>
      </c>
      <c r="D964" s="701" t="s">
        <v>685</v>
      </c>
      <c r="E964" s="701"/>
      <c r="F964" s="701"/>
      <c r="G964" s="226" t="s">
        <v>129</v>
      </c>
      <c r="H964" s="226">
        <v>1</v>
      </c>
      <c r="I964" s="226">
        <v>7</v>
      </c>
      <c r="L964" s="226">
        <v>7</v>
      </c>
    </row>
    <row r="965" spans="1:12" ht="10.5" customHeight="1" x14ac:dyDescent="0.3">
      <c r="A965" s="156" t="s">
        <v>538</v>
      </c>
      <c r="B965" s="227" t="s">
        <v>890</v>
      </c>
      <c r="C965" s="226" t="s">
        <v>662</v>
      </c>
      <c r="D965" s="701" t="s">
        <v>685</v>
      </c>
      <c r="E965" s="701"/>
      <c r="F965" s="701"/>
      <c r="G965" s="226" t="s">
        <v>129</v>
      </c>
      <c r="H965" s="226">
        <v>1</v>
      </c>
      <c r="I965" s="226">
        <v>7</v>
      </c>
      <c r="L965" s="226">
        <v>7</v>
      </c>
    </row>
    <row r="966" spans="1:12" ht="10.5" customHeight="1" x14ac:dyDescent="0.3">
      <c r="A966" s="156" t="s">
        <v>539</v>
      </c>
      <c r="B966" s="227" t="s">
        <v>891</v>
      </c>
      <c r="C966" s="226" t="s">
        <v>666</v>
      </c>
      <c r="D966" s="701" t="s">
        <v>729</v>
      </c>
      <c r="E966" s="701"/>
      <c r="F966" s="701"/>
      <c r="G966" s="226" t="s">
        <v>129</v>
      </c>
      <c r="H966" s="226">
        <v>1</v>
      </c>
      <c r="I966" s="226">
        <v>7</v>
      </c>
      <c r="L966" s="226">
        <v>7</v>
      </c>
    </row>
    <row r="967" spans="1:12" ht="10.5" customHeight="1" x14ac:dyDescent="0.3">
      <c r="A967" s="156" t="s">
        <v>541</v>
      </c>
      <c r="B967" s="227" t="s">
        <v>892</v>
      </c>
      <c r="C967" s="226" t="s">
        <v>666</v>
      </c>
      <c r="D967" s="701" t="s">
        <v>729</v>
      </c>
      <c r="E967" s="701"/>
      <c r="F967" s="701"/>
      <c r="G967" s="226" t="s">
        <v>129</v>
      </c>
      <c r="H967" s="226">
        <v>1</v>
      </c>
      <c r="I967" s="226">
        <v>7</v>
      </c>
      <c r="L967" s="226">
        <v>7</v>
      </c>
    </row>
    <row r="968" spans="1:12" ht="10.5" customHeight="1" x14ac:dyDescent="0.3">
      <c r="A968" s="156" t="s">
        <v>542</v>
      </c>
      <c r="B968" s="227" t="s">
        <v>893</v>
      </c>
      <c r="C968" s="226" t="s">
        <v>666</v>
      </c>
      <c r="D968" s="701" t="s">
        <v>729</v>
      </c>
      <c r="E968" s="701"/>
      <c r="F968" s="701"/>
      <c r="G968" s="226" t="s">
        <v>129</v>
      </c>
      <c r="H968" s="226">
        <v>1</v>
      </c>
      <c r="I968" s="226">
        <v>7</v>
      </c>
      <c r="L968" s="226">
        <v>7</v>
      </c>
    </row>
    <row r="969" spans="1:12" ht="10.5" customHeight="1" x14ac:dyDescent="0.3">
      <c r="A969" s="156" t="s">
        <v>544</v>
      </c>
      <c r="B969" s="227" t="s">
        <v>894</v>
      </c>
      <c r="C969" s="226" t="s">
        <v>666</v>
      </c>
      <c r="D969" s="701" t="s">
        <v>729</v>
      </c>
      <c r="E969" s="701"/>
      <c r="F969" s="701"/>
      <c r="G969" s="226" t="s">
        <v>129</v>
      </c>
      <c r="H969" s="226">
        <v>1</v>
      </c>
      <c r="I969" s="226">
        <v>7</v>
      </c>
      <c r="L969" s="226">
        <v>7</v>
      </c>
    </row>
    <row r="970" spans="1:12" ht="10.5" customHeight="1" x14ac:dyDescent="0.3">
      <c r="A970" s="156" t="s">
        <v>545</v>
      </c>
      <c r="B970" s="227" t="s">
        <v>895</v>
      </c>
      <c r="C970" s="226" t="s">
        <v>666</v>
      </c>
      <c r="D970" s="701" t="s">
        <v>729</v>
      </c>
      <c r="E970" s="701"/>
      <c r="F970" s="701"/>
      <c r="G970" s="226" t="s">
        <v>129</v>
      </c>
      <c r="H970" s="226">
        <v>1</v>
      </c>
      <c r="I970" s="226">
        <v>7</v>
      </c>
      <c r="L970" s="226">
        <v>7</v>
      </c>
    </row>
    <row r="971" spans="1:12" ht="10.5" customHeight="1" x14ac:dyDescent="0.3">
      <c r="A971" s="156" t="s">
        <v>547</v>
      </c>
      <c r="B971" s="227" t="s">
        <v>896</v>
      </c>
      <c r="C971" s="226" t="s">
        <v>666</v>
      </c>
      <c r="D971" s="701" t="s">
        <v>729</v>
      </c>
      <c r="E971" s="701"/>
      <c r="F971" s="701"/>
      <c r="G971" s="226" t="s">
        <v>129</v>
      </c>
      <c r="H971" s="226">
        <v>1</v>
      </c>
      <c r="I971" s="226">
        <v>18</v>
      </c>
      <c r="L971" s="226">
        <v>18</v>
      </c>
    </row>
    <row r="972" spans="1:12" ht="10.5" customHeight="1" x14ac:dyDescent="0.3">
      <c r="A972" s="156" t="s">
        <v>549</v>
      </c>
      <c r="B972" s="227" t="s">
        <v>897</v>
      </c>
      <c r="C972" s="226" t="s">
        <v>666</v>
      </c>
      <c r="D972" s="701" t="s">
        <v>729</v>
      </c>
      <c r="E972" s="701"/>
      <c r="F972" s="701"/>
      <c r="G972" s="226" t="s">
        <v>129</v>
      </c>
      <c r="H972" s="226">
        <v>1</v>
      </c>
      <c r="I972" s="226">
        <v>7</v>
      </c>
      <c r="L972" s="226">
        <v>7</v>
      </c>
    </row>
    <row r="973" spans="1:12" ht="10.5" customHeight="1" x14ac:dyDescent="0.3">
      <c r="A973" s="156" t="s">
        <v>550</v>
      </c>
      <c r="B973" s="227" t="s">
        <v>898</v>
      </c>
      <c r="C973" s="226" t="s">
        <v>666</v>
      </c>
      <c r="D973" s="701" t="s">
        <v>729</v>
      </c>
      <c r="E973" s="701"/>
      <c r="F973" s="701"/>
      <c r="G973" s="226" t="s">
        <v>129</v>
      </c>
      <c r="H973" s="226">
        <v>1</v>
      </c>
      <c r="I973" s="226">
        <v>7</v>
      </c>
      <c r="L973" s="226">
        <v>7</v>
      </c>
    </row>
    <row r="974" spans="1:12" ht="10.5" customHeight="1" x14ac:dyDescent="0.3">
      <c r="A974" s="156" t="s">
        <v>552</v>
      </c>
      <c r="B974" s="227" t="s">
        <v>899</v>
      </c>
      <c r="C974" s="226" t="s">
        <v>666</v>
      </c>
      <c r="D974" s="701" t="s">
        <v>729</v>
      </c>
      <c r="E974" s="701"/>
      <c r="F974" s="701"/>
      <c r="G974" s="226" t="s">
        <v>129</v>
      </c>
      <c r="H974" s="226">
        <v>1</v>
      </c>
      <c r="I974" s="226">
        <v>7</v>
      </c>
      <c r="L974" s="226">
        <v>7</v>
      </c>
    </row>
    <row r="975" spans="1:12" ht="10.5" customHeight="1" x14ac:dyDescent="0.3">
      <c r="A975" s="156" t="s">
        <v>553</v>
      </c>
      <c r="B975" s="227" t="s">
        <v>900</v>
      </c>
      <c r="C975" s="226" t="s">
        <v>666</v>
      </c>
      <c r="D975" s="701" t="s">
        <v>729</v>
      </c>
      <c r="E975" s="701"/>
      <c r="F975" s="701"/>
      <c r="G975" s="226" t="s">
        <v>129</v>
      </c>
      <c r="H975" s="226">
        <v>1</v>
      </c>
      <c r="I975" s="226">
        <v>7</v>
      </c>
      <c r="L975" s="226">
        <v>7</v>
      </c>
    </row>
    <row r="976" spans="1:12" ht="10.5" customHeight="1" x14ac:dyDescent="0.3">
      <c r="A976" s="156" t="s">
        <v>555</v>
      </c>
      <c r="B976" s="227" t="s">
        <v>901</v>
      </c>
      <c r="C976" s="226" t="s">
        <v>666</v>
      </c>
      <c r="D976" s="701" t="s">
        <v>729</v>
      </c>
      <c r="E976" s="701"/>
      <c r="F976" s="701"/>
      <c r="G976" s="226" t="s">
        <v>129</v>
      </c>
      <c r="H976" s="226">
        <v>1</v>
      </c>
      <c r="I976" s="226">
        <v>7</v>
      </c>
      <c r="L976" s="226">
        <v>7</v>
      </c>
    </row>
    <row r="977" spans="1:12" ht="10.5" customHeight="1" x14ac:dyDescent="0.3">
      <c r="A977" s="156" t="s">
        <v>556</v>
      </c>
      <c r="B977" s="227" t="s">
        <v>902</v>
      </c>
      <c r="C977" s="226" t="s">
        <v>666</v>
      </c>
      <c r="D977" s="701" t="s">
        <v>729</v>
      </c>
      <c r="E977" s="701"/>
      <c r="F977" s="701"/>
      <c r="G977" s="226" t="s">
        <v>129</v>
      </c>
      <c r="H977" s="226">
        <v>1</v>
      </c>
      <c r="I977" s="226">
        <v>7</v>
      </c>
      <c r="L977" s="226">
        <v>7</v>
      </c>
    </row>
    <row r="978" spans="1:12" ht="10.5" customHeight="1" x14ac:dyDescent="0.3">
      <c r="A978" s="156" t="s">
        <v>558</v>
      </c>
      <c r="B978" s="227" t="s">
        <v>903</v>
      </c>
      <c r="C978" s="226" t="s">
        <v>666</v>
      </c>
      <c r="D978" s="701" t="s">
        <v>729</v>
      </c>
      <c r="E978" s="701"/>
      <c r="F978" s="701"/>
      <c r="G978" s="226" t="s">
        <v>129</v>
      </c>
      <c r="H978" s="226">
        <v>1</v>
      </c>
      <c r="I978" s="226">
        <v>18</v>
      </c>
      <c r="L978" s="226">
        <v>18</v>
      </c>
    </row>
    <row r="979" spans="1:12" ht="10.5" customHeight="1" x14ac:dyDescent="0.3">
      <c r="A979" s="156" t="s">
        <v>560</v>
      </c>
      <c r="B979" s="227" t="s">
        <v>904</v>
      </c>
      <c r="C979" s="226" t="s">
        <v>666</v>
      </c>
      <c r="D979" s="701" t="s">
        <v>729</v>
      </c>
      <c r="E979" s="701"/>
      <c r="F979" s="701"/>
      <c r="G979" s="226" t="s">
        <v>129</v>
      </c>
      <c r="H979" s="226">
        <v>1</v>
      </c>
      <c r="I979" s="226">
        <v>18</v>
      </c>
      <c r="L979" s="226">
        <v>18</v>
      </c>
    </row>
    <row r="980" spans="1:12" ht="10.5" customHeight="1" x14ac:dyDescent="0.3">
      <c r="A980" s="156" t="s">
        <v>562</v>
      </c>
      <c r="B980" s="227" t="s">
        <v>905</v>
      </c>
      <c r="C980" s="226" t="s">
        <v>666</v>
      </c>
      <c r="D980" s="701" t="s">
        <v>729</v>
      </c>
      <c r="E980" s="701"/>
      <c r="F980" s="701"/>
      <c r="G980" s="226" t="s">
        <v>129</v>
      </c>
      <c r="H980" s="226">
        <v>1</v>
      </c>
      <c r="I980" s="226">
        <v>18</v>
      </c>
      <c r="L980" s="226">
        <v>18</v>
      </c>
    </row>
    <row r="981" spans="1:12" ht="10.5" customHeight="1" x14ac:dyDescent="0.3">
      <c r="A981" s="156" t="s">
        <v>564</v>
      </c>
      <c r="B981" s="227" t="s">
        <v>906</v>
      </c>
      <c r="C981" s="226" t="s">
        <v>666</v>
      </c>
      <c r="D981" s="701" t="s">
        <v>729</v>
      </c>
      <c r="E981" s="701"/>
      <c r="F981" s="701"/>
      <c r="G981" s="226" t="s">
        <v>129</v>
      </c>
      <c r="H981" s="226">
        <v>1</v>
      </c>
      <c r="I981" s="226">
        <v>7</v>
      </c>
      <c r="L981" s="226">
        <v>7</v>
      </c>
    </row>
    <row r="982" spans="1:12" ht="10.5" customHeight="1" x14ac:dyDescent="0.3">
      <c r="A982" s="156" t="s">
        <v>565</v>
      </c>
      <c r="B982" s="227" t="s">
        <v>908</v>
      </c>
      <c r="C982" s="226" t="s">
        <v>683</v>
      </c>
      <c r="D982" s="701" t="s">
        <v>855</v>
      </c>
      <c r="E982" s="701"/>
      <c r="F982" s="701"/>
      <c r="G982" s="226" t="s">
        <v>129</v>
      </c>
      <c r="H982" s="226">
        <v>1</v>
      </c>
      <c r="I982" s="226">
        <v>7</v>
      </c>
      <c r="L982" s="226">
        <v>7</v>
      </c>
    </row>
    <row r="983" spans="1:12" ht="10.5" customHeight="1" x14ac:dyDescent="0.3">
      <c r="A983" s="156" t="s">
        <v>567</v>
      </c>
      <c r="B983" s="227" t="s">
        <v>907</v>
      </c>
      <c r="C983" s="226" t="s">
        <v>683</v>
      </c>
      <c r="D983" s="701" t="s">
        <v>855</v>
      </c>
      <c r="E983" s="701"/>
      <c r="F983" s="701"/>
      <c r="G983" s="226" t="s">
        <v>129</v>
      </c>
      <c r="H983" s="226">
        <v>1</v>
      </c>
      <c r="I983" s="226">
        <v>18</v>
      </c>
      <c r="L983" s="226">
        <v>18</v>
      </c>
    </row>
    <row r="984" spans="1:12" ht="10.5" customHeight="1" x14ac:dyDescent="0.3">
      <c r="A984" s="156" t="s">
        <v>569</v>
      </c>
      <c r="B984" s="227" t="s">
        <v>909</v>
      </c>
      <c r="C984" s="226" t="s">
        <v>683</v>
      </c>
      <c r="D984" s="701" t="s">
        <v>855</v>
      </c>
      <c r="E984" s="701"/>
      <c r="F984" s="701"/>
      <c r="G984" s="226" t="s">
        <v>129</v>
      </c>
      <c r="H984" s="226">
        <v>1</v>
      </c>
      <c r="I984" s="226">
        <v>7</v>
      </c>
      <c r="L984" s="226">
        <v>7</v>
      </c>
    </row>
    <row r="985" spans="1:12" ht="10.5" customHeight="1" x14ac:dyDescent="0.3">
      <c r="A985" s="156" t="s">
        <v>570</v>
      </c>
      <c r="B985" s="227" t="s">
        <v>910</v>
      </c>
      <c r="C985" s="226" t="s">
        <v>683</v>
      </c>
      <c r="D985" s="701" t="s">
        <v>855</v>
      </c>
      <c r="E985" s="701"/>
      <c r="F985" s="701"/>
      <c r="G985" s="226" t="s">
        <v>129</v>
      </c>
      <c r="H985" s="226">
        <v>1</v>
      </c>
      <c r="I985" s="226">
        <v>7</v>
      </c>
      <c r="L985" s="226">
        <v>7</v>
      </c>
    </row>
    <row r="986" spans="1:12" ht="10.5" customHeight="1" x14ac:dyDescent="0.3">
      <c r="A986" s="156" t="s">
        <v>572</v>
      </c>
      <c r="B986" s="227" t="s">
        <v>911</v>
      </c>
      <c r="C986" s="226" t="s">
        <v>683</v>
      </c>
      <c r="D986" s="701" t="s">
        <v>855</v>
      </c>
      <c r="E986" s="701"/>
      <c r="F986" s="701"/>
      <c r="G986" s="226" t="s">
        <v>129</v>
      </c>
      <c r="H986" s="226">
        <v>1</v>
      </c>
      <c r="I986" s="226">
        <v>7</v>
      </c>
      <c r="L986" s="226">
        <v>7</v>
      </c>
    </row>
    <row r="987" spans="1:12" ht="10.5" customHeight="1" x14ac:dyDescent="0.3">
      <c r="A987" s="156" t="s">
        <v>573</v>
      </c>
      <c r="B987" s="227" t="s">
        <v>912</v>
      </c>
      <c r="C987" s="226" t="s">
        <v>683</v>
      </c>
      <c r="D987" s="701" t="s">
        <v>855</v>
      </c>
      <c r="E987" s="701"/>
      <c r="F987" s="701"/>
      <c r="G987" s="226" t="s">
        <v>129</v>
      </c>
      <c r="H987" s="226">
        <v>1</v>
      </c>
      <c r="I987" s="226">
        <v>7</v>
      </c>
      <c r="L987" s="226">
        <v>7</v>
      </c>
    </row>
    <row r="988" spans="1:12" ht="10.5" customHeight="1" x14ac:dyDescent="0.3">
      <c r="A988" s="156" t="s">
        <v>575</v>
      </c>
      <c r="B988" s="227" t="s">
        <v>913</v>
      </c>
      <c r="C988" s="226" t="s">
        <v>683</v>
      </c>
      <c r="D988" s="701" t="s">
        <v>855</v>
      </c>
      <c r="E988" s="701"/>
      <c r="F988" s="701"/>
      <c r="G988" s="226" t="s">
        <v>129</v>
      </c>
      <c r="H988" s="226">
        <v>1</v>
      </c>
      <c r="I988" s="226">
        <v>7</v>
      </c>
      <c r="L988" s="226">
        <v>7</v>
      </c>
    </row>
    <row r="989" spans="1:12" ht="10.5" customHeight="1" x14ac:dyDescent="0.3">
      <c r="A989" s="156" t="s">
        <v>576</v>
      </c>
      <c r="B989" s="227" t="s">
        <v>837</v>
      </c>
      <c r="C989" s="226" t="s">
        <v>683</v>
      </c>
      <c r="D989" s="701" t="s">
        <v>855</v>
      </c>
      <c r="E989" s="701"/>
      <c r="F989" s="701"/>
      <c r="G989" s="226" t="s">
        <v>129</v>
      </c>
      <c r="H989" s="226">
        <v>1</v>
      </c>
      <c r="I989" s="226">
        <v>7</v>
      </c>
      <c r="L989" s="226">
        <v>7</v>
      </c>
    </row>
    <row r="990" spans="1:12" ht="10.5" customHeight="1" x14ac:dyDescent="0.3">
      <c r="A990" s="156" t="s">
        <v>578</v>
      </c>
      <c r="B990" s="227" t="s">
        <v>915</v>
      </c>
      <c r="C990" s="226" t="s">
        <v>683</v>
      </c>
      <c r="D990" s="701" t="s">
        <v>855</v>
      </c>
      <c r="E990" s="701"/>
      <c r="F990" s="701"/>
      <c r="G990" s="226" t="s">
        <v>129</v>
      </c>
      <c r="H990" s="226">
        <v>1</v>
      </c>
      <c r="I990" s="226">
        <v>7</v>
      </c>
      <c r="L990" s="226">
        <v>7</v>
      </c>
    </row>
    <row r="991" spans="1:12" ht="10.5" customHeight="1" x14ac:dyDescent="0.3">
      <c r="A991" s="156" t="s">
        <v>579</v>
      </c>
      <c r="B991" s="227" t="s">
        <v>916</v>
      </c>
      <c r="C991" s="226" t="s">
        <v>683</v>
      </c>
      <c r="D991" s="701" t="s">
        <v>855</v>
      </c>
      <c r="E991" s="701"/>
      <c r="F991" s="701"/>
      <c r="G991" s="226" t="s">
        <v>129</v>
      </c>
      <c r="H991" s="226">
        <v>1</v>
      </c>
      <c r="I991" s="226">
        <v>7</v>
      </c>
      <c r="L991" s="226">
        <v>7</v>
      </c>
    </row>
    <row r="992" spans="1:12" ht="10.5" customHeight="1" x14ac:dyDescent="0.3">
      <c r="A992" s="156" t="s">
        <v>581</v>
      </c>
      <c r="B992" s="227" t="s">
        <v>917</v>
      </c>
      <c r="C992" s="226" t="s">
        <v>683</v>
      </c>
      <c r="D992" s="701" t="s">
        <v>855</v>
      </c>
      <c r="E992" s="701"/>
      <c r="F992" s="701"/>
      <c r="G992" s="226" t="s">
        <v>129</v>
      </c>
      <c r="H992" s="226">
        <v>1</v>
      </c>
      <c r="I992" s="226">
        <v>18</v>
      </c>
      <c r="L992" s="226">
        <v>18</v>
      </c>
    </row>
    <row r="993" spans="1:12" ht="10.5" customHeight="1" x14ac:dyDescent="0.3">
      <c r="A993" s="156" t="s">
        <v>583</v>
      </c>
      <c r="B993" s="227" t="s">
        <v>918</v>
      </c>
      <c r="C993" s="226" t="s">
        <v>683</v>
      </c>
      <c r="D993" s="701" t="s">
        <v>855</v>
      </c>
      <c r="E993" s="701"/>
      <c r="F993" s="701"/>
      <c r="G993" s="226" t="s">
        <v>129</v>
      </c>
      <c r="H993" s="226">
        <v>1</v>
      </c>
      <c r="I993" s="226">
        <v>18</v>
      </c>
      <c r="L993" s="226">
        <v>18</v>
      </c>
    </row>
    <row r="994" spans="1:12" ht="10.5" customHeight="1" x14ac:dyDescent="0.3">
      <c r="A994" s="156" t="s">
        <v>585</v>
      </c>
      <c r="B994" s="227" t="s">
        <v>919</v>
      </c>
      <c r="C994" s="226" t="s">
        <v>683</v>
      </c>
      <c r="D994" s="701" t="s">
        <v>855</v>
      </c>
      <c r="E994" s="701"/>
      <c r="F994" s="701"/>
      <c r="G994" s="226" t="s">
        <v>129</v>
      </c>
      <c r="H994" s="226">
        <v>1</v>
      </c>
      <c r="I994" s="226">
        <v>7</v>
      </c>
      <c r="L994" s="226">
        <v>7</v>
      </c>
    </row>
    <row r="995" spans="1:12" ht="10.5" customHeight="1" x14ac:dyDescent="0.3">
      <c r="A995" s="156" t="s">
        <v>586</v>
      </c>
      <c r="B995" s="227" t="s">
        <v>920</v>
      </c>
      <c r="C995" s="226" t="s">
        <v>683</v>
      </c>
      <c r="D995" s="701" t="s">
        <v>855</v>
      </c>
      <c r="E995" s="701"/>
      <c r="F995" s="701"/>
      <c r="G995" s="226" t="s">
        <v>129</v>
      </c>
      <c r="H995" s="226">
        <v>1</v>
      </c>
      <c r="I995" s="226">
        <v>7</v>
      </c>
      <c r="L995" s="226">
        <v>7</v>
      </c>
    </row>
    <row r="996" spans="1:12" ht="10.5" customHeight="1" x14ac:dyDescent="0.3">
      <c r="A996" s="156" t="s">
        <v>588</v>
      </c>
      <c r="B996" s="227" t="s">
        <v>921</v>
      </c>
      <c r="C996" s="226" t="s">
        <v>683</v>
      </c>
      <c r="D996" s="701" t="s">
        <v>855</v>
      </c>
      <c r="E996" s="701"/>
      <c r="F996" s="701"/>
      <c r="G996" s="226" t="s">
        <v>129</v>
      </c>
      <c r="H996" s="226">
        <v>1</v>
      </c>
      <c r="I996" s="226">
        <v>7</v>
      </c>
      <c r="L996" s="226">
        <v>7</v>
      </c>
    </row>
    <row r="997" spans="1:12" ht="10.5" customHeight="1" x14ac:dyDescent="0.3">
      <c r="A997" s="156" t="s">
        <v>589</v>
      </c>
      <c r="B997" s="227" t="s">
        <v>922</v>
      </c>
      <c r="C997" s="226" t="s">
        <v>683</v>
      </c>
      <c r="D997" s="701" t="s">
        <v>855</v>
      </c>
      <c r="E997" s="701"/>
      <c r="F997" s="701"/>
      <c r="G997" s="226" t="s">
        <v>129</v>
      </c>
      <c r="H997" s="226">
        <v>1</v>
      </c>
      <c r="I997" s="226">
        <v>7</v>
      </c>
      <c r="L997" s="226">
        <v>7</v>
      </c>
    </row>
    <row r="998" spans="1:12" ht="10.5" customHeight="1" x14ac:dyDescent="0.3">
      <c r="A998" s="156" t="s">
        <v>591</v>
      </c>
      <c r="B998" s="227" t="s">
        <v>923</v>
      </c>
      <c r="C998" s="226" t="s">
        <v>683</v>
      </c>
      <c r="D998" s="701" t="s">
        <v>855</v>
      </c>
      <c r="E998" s="701"/>
      <c r="F998" s="701"/>
      <c r="G998" s="226" t="s">
        <v>129</v>
      </c>
      <c r="H998" s="226">
        <v>1</v>
      </c>
      <c r="I998" s="226">
        <v>18</v>
      </c>
      <c r="L998" s="226">
        <v>18</v>
      </c>
    </row>
    <row r="999" spans="1:12" ht="10.5" customHeight="1" x14ac:dyDescent="0.3">
      <c r="A999" s="156" t="s">
        <v>593</v>
      </c>
      <c r="B999" s="227" t="s">
        <v>924</v>
      </c>
      <c r="C999" s="226" t="s">
        <v>683</v>
      </c>
      <c r="D999" s="701" t="s">
        <v>855</v>
      </c>
      <c r="E999" s="701"/>
      <c r="F999" s="701"/>
      <c r="G999" s="226" t="s">
        <v>129</v>
      </c>
      <c r="H999" s="226">
        <v>1</v>
      </c>
      <c r="I999" s="226">
        <v>18</v>
      </c>
      <c r="L999" s="226">
        <v>18</v>
      </c>
    </row>
    <row r="1000" spans="1:12" ht="10.5" customHeight="1" x14ac:dyDescent="0.3">
      <c r="A1000" s="156" t="s">
        <v>595</v>
      </c>
      <c r="B1000" s="227" t="s">
        <v>925</v>
      </c>
      <c r="C1000" s="226" t="s">
        <v>683</v>
      </c>
      <c r="D1000" s="701" t="s">
        <v>855</v>
      </c>
      <c r="E1000" s="701"/>
      <c r="F1000" s="701"/>
      <c r="G1000" s="226" t="s">
        <v>129</v>
      </c>
      <c r="H1000" s="226">
        <v>1</v>
      </c>
      <c r="I1000" s="226">
        <v>18</v>
      </c>
      <c r="L1000" s="226">
        <v>18</v>
      </c>
    </row>
    <row r="1001" spans="1:12" ht="10.5" customHeight="1" x14ac:dyDescent="0.3">
      <c r="A1001" s="156" t="s">
        <v>603</v>
      </c>
      <c r="B1001" s="227" t="s">
        <v>926</v>
      </c>
      <c r="C1001" s="226" t="s">
        <v>683</v>
      </c>
      <c r="D1001" s="701" t="s">
        <v>855</v>
      </c>
      <c r="E1001" s="701"/>
      <c r="F1001" s="701"/>
      <c r="G1001" s="226" t="s">
        <v>129</v>
      </c>
      <c r="H1001" s="226">
        <v>1</v>
      </c>
      <c r="I1001" s="226">
        <v>18</v>
      </c>
      <c r="L1001" s="226">
        <v>18</v>
      </c>
    </row>
    <row r="1002" spans="1:12" ht="10.5" customHeight="1" x14ac:dyDescent="0.3">
      <c r="A1002" s="156" t="s">
        <v>605</v>
      </c>
      <c r="B1002" s="227" t="s">
        <v>927</v>
      </c>
      <c r="C1002" s="226" t="s">
        <v>683</v>
      </c>
      <c r="D1002" s="701" t="s">
        <v>855</v>
      </c>
      <c r="E1002" s="701"/>
      <c r="F1002" s="701"/>
      <c r="G1002" s="226" t="s">
        <v>129</v>
      </c>
      <c r="H1002" s="226">
        <v>1</v>
      </c>
      <c r="I1002" s="226">
        <v>18</v>
      </c>
      <c r="L1002" s="226">
        <v>18</v>
      </c>
    </row>
    <row r="1003" spans="1:12" ht="10.5" customHeight="1" x14ac:dyDescent="0.3">
      <c r="A1003" s="156" t="s">
        <v>607</v>
      </c>
      <c r="B1003" s="227" t="s">
        <v>928</v>
      </c>
      <c r="C1003" s="226" t="s">
        <v>683</v>
      </c>
      <c r="D1003" s="701" t="s">
        <v>855</v>
      </c>
      <c r="E1003" s="701"/>
      <c r="F1003" s="701"/>
      <c r="G1003" s="226" t="s">
        <v>129</v>
      </c>
      <c r="H1003" s="226">
        <v>1</v>
      </c>
      <c r="I1003" s="226">
        <v>7</v>
      </c>
      <c r="L1003" s="226">
        <v>7</v>
      </c>
    </row>
    <row r="1004" spans="1:12" ht="10.5" customHeight="1" x14ac:dyDescent="0.3">
      <c r="A1004" s="156" t="s">
        <v>608</v>
      </c>
      <c r="B1004" s="227" t="s">
        <v>1004</v>
      </c>
      <c r="C1004" s="226" t="s">
        <v>683</v>
      </c>
      <c r="D1004" s="701" t="s">
        <v>855</v>
      </c>
      <c r="E1004" s="701"/>
      <c r="F1004" s="701"/>
      <c r="G1004" s="226" t="s">
        <v>129</v>
      </c>
      <c r="H1004" s="226">
        <v>1</v>
      </c>
      <c r="I1004" s="226">
        <v>7</v>
      </c>
      <c r="L1004" s="226">
        <v>7</v>
      </c>
    </row>
    <row r="1005" spans="1:12" ht="10.5" customHeight="1" x14ac:dyDescent="0.3">
      <c r="A1005" s="156" t="s">
        <v>610</v>
      </c>
      <c r="B1005" s="227" t="s">
        <v>929</v>
      </c>
      <c r="C1005" s="226" t="s">
        <v>683</v>
      </c>
      <c r="D1005" s="701" t="s">
        <v>855</v>
      </c>
      <c r="E1005" s="701"/>
      <c r="F1005" s="701"/>
      <c r="G1005" s="226" t="s">
        <v>129</v>
      </c>
      <c r="H1005" s="226">
        <v>1</v>
      </c>
      <c r="I1005" s="226">
        <v>18</v>
      </c>
      <c r="L1005" s="226">
        <v>18</v>
      </c>
    </row>
    <row r="1006" spans="1:12" ht="10.5" customHeight="1" x14ac:dyDescent="0.3">
      <c r="A1006" s="156" t="s">
        <v>612</v>
      </c>
      <c r="B1006" s="227" t="s">
        <v>930</v>
      </c>
      <c r="C1006" s="226" t="s">
        <v>683</v>
      </c>
      <c r="D1006" s="701" t="s">
        <v>855</v>
      </c>
      <c r="E1006" s="701"/>
      <c r="F1006" s="701"/>
      <c r="G1006" s="226" t="s">
        <v>129</v>
      </c>
      <c r="H1006" s="226">
        <v>1</v>
      </c>
      <c r="I1006" s="226">
        <v>18</v>
      </c>
      <c r="L1006" s="226">
        <v>18</v>
      </c>
    </row>
    <row r="1007" spans="1:12" ht="10.5" customHeight="1" x14ac:dyDescent="0.3">
      <c r="A1007" s="156" t="s">
        <v>614</v>
      </c>
      <c r="B1007" s="227" t="s">
        <v>931</v>
      </c>
      <c r="C1007" s="226" t="s">
        <v>683</v>
      </c>
      <c r="D1007" s="701" t="s">
        <v>855</v>
      </c>
      <c r="E1007" s="701"/>
      <c r="F1007" s="701"/>
      <c r="G1007" s="226" t="s">
        <v>129</v>
      </c>
      <c r="H1007" s="226">
        <v>1</v>
      </c>
      <c r="I1007" s="226">
        <v>7</v>
      </c>
      <c r="L1007" s="226">
        <v>7</v>
      </c>
    </row>
    <row r="1008" spans="1:12" ht="10.5" customHeight="1" x14ac:dyDescent="0.3">
      <c r="A1008" s="156" t="s">
        <v>615</v>
      </c>
      <c r="B1008" s="227" t="s">
        <v>934</v>
      </c>
      <c r="C1008" s="226" t="s">
        <v>684</v>
      </c>
      <c r="D1008" s="701" t="s">
        <v>738</v>
      </c>
      <c r="E1008" s="701"/>
      <c r="F1008" s="701"/>
      <c r="G1008" s="226" t="s">
        <v>129</v>
      </c>
      <c r="H1008" s="226">
        <v>1</v>
      </c>
      <c r="I1008" s="226">
        <v>7</v>
      </c>
      <c r="L1008" s="226">
        <v>7</v>
      </c>
    </row>
    <row r="1009" spans="1:12" ht="10.5" customHeight="1" x14ac:dyDescent="0.3">
      <c r="A1009" s="156" t="s">
        <v>617</v>
      </c>
      <c r="B1009" s="227" t="s">
        <v>935</v>
      </c>
      <c r="C1009" s="226" t="s">
        <v>684</v>
      </c>
      <c r="D1009" s="701" t="s">
        <v>738</v>
      </c>
      <c r="E1009" s="701"/>
      <c r="F1009" s="701"/>
      <c r="G1009" s="226" t="s">
        <v>129</v>
      </c>
      <c r="H1009" s="226">
        <v>1</v>
      </c>
      <c r="I1009" s="226">
        <v>18</v>
      </c>
      <c r="L1009" s="226">
        <v>18</v>
      </c>
    </row>
    <row r="1010" spans="1:12" ht="10.5" customHeight="1" x14ac:dyDescent="0.3">
      <c r="A1010" s="156" t="s">
        <v>619</v>
      </c>
      <c r="B1010" s="227" t="s">
        <v>936</v>
      </c>
      <c r="C1010" s="226" t="s">
        <v>684</v>
      </c>
      <c r="D1010" s="701" t="s">
        <v>738</v>
      </c>
      <c r="E1010" s="701"/>
      <c r="F1010" s="701"/>
      <c r="G1010" s="226" t="s">
        <v>129</v>
      </c>
      <c r="H1010" s="226">
        <v>1</v>
      </c>
      <c r="I1010" s="226">
        <v>18</v>
      </c>
      <c r="L1010" s="226">
        <v>18</v>
      </c>
    </row>
    <row r="1011" spans="1:12" ht="10.5" customHeight="1" x14ac:dyDescent="0.3">
      <c r="A1011" s="156" t="s">
        <v>621</v>
      </c>
      <c r="B1011" s="227" t="s">
        <v>937</v>
      </c>
      <c r="C1011" s="226" t="s">
        <v>684</v>
      </c>
      <c r="D1011" s="701" t="s">
        <v>738</v>
      </c>
      <c r="E1011" s="701"/>
      <c r="F1011" s="701"/>
      <c r="G1011" s="226" t="s">
        <v>129</v>
      </c>
      <c r="H1011" s="226">
        <v>1</v>
      </c>
      <c r="I1011" s="226">
        <v>18</v>
      </c>
      <c r="L1011" s="226">
        <v>18</v>
      </c>
    </row>
    <row r="1012" spans="1:12" ht="10.5" customHeight="1" x14ac:dyDescent="0.3">
      <c r="A1012" s="156" t="s">
        <v>622</v>
      </c>
      <c r="B1012" s="227" t="s">
        <v>932</v>
      </c>
      <c r="C1012" s="226" t="s">
        <v>684</v>
      </c>
      <c r="D1012" s="701" t="s">
        <v>738</v>
      </c>
      <c r="E1012" s="701"/>
      <c r="F1012" s="701"/>
      <c r="G1012" s="226" t="s">
        <v>129</v>
      </c>
      <c r="H1012" s="226">
        <v>1</v>
      </c>
      <c r="I1012" s="226">
        <v>7</v>
      </c>
      <c r="L1012" s="226">
        <v>7</v>
      </c>
    </row>
    <row r="1013" spans="1:12" ht="10.5" customHeight="1" x14ac:dyDescent="0.3">
      <c r="A1013" s="156" t="s">
        <v>624</v>
      </c>
      <c r="B1013" s="227" t="s">
        <v>938</v>
      </c>
      <c r="C1013" s="226" t="s">
        <v>684</v>
      </c>
      <c r="D1013" s="701" t="s">
        <v>738</v>
      </c>
      <c r="E1013" s="701"/>
      <c r="F1013" s="701"/>
      <c r="G1013" s="226" t="s">
        <v>129</v>
      </c>
      <c r="H1013" s="226">
        <v>1</v>
      </c>
      <c r="I1013" s="226">
        <v>18</v>
      </c>
      <c r="L1013" s="226">
        <v>18</v>
      </c>
    </row>
    <row r="1014" spans="1:12" ht="10.5" customHeight="1" x14ac:dyDescent="0.3">
      <c r="A1014" s="156" t="s">
        <v>626</v>
      </c>
      <c r="B1014" s="227" t="s">
        <v>939</v>
      </c>
      <c r="C1014" s="226" t="s">
        <v>684</v>
      </c>
      <c r="D1014" s="701" t="s">
        <v>738</v>
      </c>
      <c r="E1014" s="701"/>
      <c r="F1014" s="701"/>
      <c r="G1014" s="226" t="s">
        <v>129</v>
      </c>
      <c r="H1014" s="226">
        <v>1</v>
      </c>
      <c r="I1014" s="226">
        <v>18</v>
      </c>
      <c r="L1014" s="226">
        <v>18</v>
      </c>
    </row>
    <row r="1015" spans="1:12" ht="10.5" customHeight="1" x14ac:dyDescent="0.3">
      <c r="A1015" s="156" t="s">
        <v>628</v>
      </c>
      <c r="B1015" s="227" t="s">
        <v>940</v>
      </c>
      <c r="C1015" s="226" t="s">
        <v>684</v>
      </c>
      <c r="D1015" s="701" t="s">
        <v>738</v>
      </c>
      <c r="E1015" s="701"/>
      <c r="F1015" s="701"/>
      <c r="G1015" s="226" t="s">
        <v>129</v>
      </c>
      <c r="H1015" s="226">
        <v>1</v>
      </c>
      <c r="I1015" s="226">
        <v>18</v>
      </c>
      <c r="L1015" s="226">
        <v>18</v>
      </c>
    </row>
    <row r="1016" spans="1:12" ht="10.5" customHeight="1" x14ac:dyDescent="0.3">
      <c r="A1016" s="156" t="s">
        <v>630</v>
      </c>
      <c r="B1016" s="227" t="s">
        <v>941</v>
      </c>
      <c r="C1016" s="226" t="s">
        <v>684</v>
      </c>
      <c r="D1016" s="701" t="s">
        <v>738</v>
      </c>
      <c r="E1016" s="701"/>
      <c r="F1016" s="701"/>
      <c r="G1016" s="226" t="s">
        <v>129</v>
      </c>
      <c r="H1016" s="226">
        <v>1</v>
      </c>
      <c r="I1016" s="226">
        <v>18</v>
      </c>
      <c r="L1016" s="226">
        <v>18</v>
      </c>
    </row>
    <row r="1017" spans="1:12" ht="10.5" customHeight="1" x14ac:dyDescent="0.3">
      <c r="A1017" s="156" t="s">
        <v>632</v>
      </c>
      <c r="B1017" s="227" t="s">
        <v>942</v>
      </c>
      <c r="C1017" s="226" t="s">
        <v>684</v>
      </c>
      <c r="D1017" s="701" t="s">
        <v>738</v>
      </c>
      <c r="E1017" s="701"/>
      <c r="F1017" s="701"/>
      <c r="G1017" s="226" t="s">
        <v>129</v>
      </c>
      <c r="H1017" s="226">
        <v>1</v>
      </c>
      <c r="I1017" s="226">
        <v>18</v>
      </c>
      <c r="L1017" s="226">
        <v>18</v>
      </c>
    </row>
    <row r="1018" spans="1:12" ht="10.5" customHeight="1" x14ac:dyDescent="0.3">
      <c r="A1018" s="156" t="s">
        <v>632</v>
      </c>
      <c r="B1018" s="227" t="s">
        <v>942</v>
      </c>
      <c r="C1018" s="226" t="s">
        <v>684</v>
      </c>
      <c r="D1018" s="701" t="s">
        <v>738</v>
      </c>
      <c r="E1018" s="701"/>
      <c r="F1018" s="701"/>
      <c r="G1018" s="226" t="s">
        <v>129</v>
      </c>
      <c r="H1018" s="226">
        <v>1</v>
      </c>
      <c r="I1018" s="226">
        <v>18</v>
      </c>
      <c r="L1018" s="226">
        <v>18</v>
      </c>
    </row>
    <row r="1019" spans="1:12" ht="10.5" customHeight="1" x14ac:dyDescent="0.3">
      <c r="A1019" s="156" t="s">
        <v>634</v>
      </c>
      <c r="B1019" s="227" t="s">
        <v>943</v>
      </c>
      <c r="C1019" s="226" t="s">
        <v>684</v>
      </c>
      <c r="D1019" s="701" t="s">
        <v>738</v>
      </c>
      <c r="E1019" s="701"/>
      <c r="F1019" s="701"/>
      <c r="G1019" s="226" t="s">
        <v>129</v>
      </c>
      <c r="H1019" s="226">
        <v>1</v>
      </c>
      <c r="I1019" s="226">
        <v>18</v>
      </c>
      <c r="L1019" s="226">
        <v>18</v>
      </c>
    </row>
    <row r="1020" spans="1:12" ht="10.5" customHeight="1" x14ac:dyDescent="0.3">
      <c r="A1020" s="156" t="s">
        <v>638</v>
      </c>
      <c r="B1020" s="227" t="s">
        <v>944</v>
      </c>
      <c r="C1020" s="226" t="s">
        <v>684</v>
      </c>
      <c r="D1020" s="701" t="s">
        <v>738</v>
      </c>
      <c r="E1020" s="701"/>
      <c r="F1020" s="701"/>
      <c r="G1020" s="226" t="s">
        <v>129</v>
      </c>
      <c r="H1020" s="226">
        <v>1</v>
      </c>
      <c r="I1020" s="226">
        <v>7</v>
      </c>
      <c r="L1020" s="226">
        <v>7</v>
      </c>
    </row>
    <row r="1021" spans="1:12" ht="10.5" customHeight="1" x14ac:dyDescent="0.3">
      <c r="A1021" s="156" t="s">
        <v>640</v>
      </c>
      <c r="B1021" s="227" t="s">
        <v>945</v>
      </c>
      <c r="C1021" s="226" t="s">
        <v>684</v>
      </c>
      <c r="D1021" s="701" t="s">
        <v>738</v>
      </c>
      <c r="E1021" s="701"/>
      <c r="F1021" s="701"/>
      <c r="G1021" s="226" t="s">
        <v>129</v>
      </c>
      <c r="H1021" s="226">
        <v>1</v>
      </c>
      <c r="I1021" s="226">
        <v>18</v>
      </c>
      <c r="L1021" s="226">
        <v>18</v>
      </c>
    </row>
    <row r="1022" spans="1:12" ht="10.5" customHeight="1" x14ac:dyDescent="0.3">
      <c r="A1022" s="156" t="s">
        <v>642</v>
      </c>
      <c r="B1022" s="227" t="s">
        <v>946</v>
      </c>
      <c r="C1022" s="226" t="s">
        <v>684</v>
      </c>
      <c r="D1022" s="701" t="s">
        <v>738</v>
      </c>
      <c r="E1022" s="701"/>
      <c r="F1022" s="701"/>
      <c r="G1022" s="226" t="s">
        <v>129</v>
      </c>
      <c r="H1022" s="226">
        <v>1</v>
      </c>
      <c r="I1022" s="226">
        <v>18</v>
      </c>
      <c r="L1022" s="226">
        <v>18</v>
      </c>
    </row>
    <row r="1023" spans="1:12" ht="10.5" customHeight="1" x14ac:dyDescent="0.3">
      <c r="A1023" s="156" t="s">
        <v>644</v>
      </c>
      <c r="B1023" s="227" t="s">
        <v>947</v>
      </c>
      <c r="C1023" s="226" t="s">
        <v>684</v>
      </c>
      <c r="D1023" s="701" t="s">
        <v>738</v>
      </c>
      <c r="E1023" s="701"/>
      <c r="F1023" s="701"/>
      <c r="G1023" s="226" t="s">
        <v>129</v>
      </c>
      <c r="H1023" s="226">
        <v>1</v>
      </c>
      <c r="I1023" s="226">
        <v>18</v>
      </c>
      <c r="L1023" s="226">
        <v>18</v>
      </c>
    </row>
    <row r="1024" spans="1:12" ht="10.5" customHeight="1" x14ac:dyDescent="0.3">
      <c r="A1024" s="156" t="s">
        <v>646</v>
      </c>
      <c r="B1024" s="227" t="s">
        <v>948</v>
      </c>
      <c r="C1024" s="226" t="s">
        <v>684</v>
      </c>
      <c r="D1024" s="701" t="s">
        <v>738</v>
      </c>
      <c r="E1024" s="701"/>
      <c r="F1024" s="701"/>
      <c r="G1024" s="226" t="s">
        <v>129</v>
      </c>
      <c r="H1024" s="226">
        <v>1</v>
      </c>
      <c r="I1024" s="226">
        <v>18</v>
      </c>
      <c r="L1024" s="226">
        <v>18</v>
      </c>
    </row>
    <row r="1025" spans="1:12" ht="10.5" customHeight="1" x14ac:dyDescent="0.3">
      <c r="A1025" s="156" t="s">
        <v>648</v>
      </c>
      <c r="B1025" s="227" t="s">
        <v>949</v>
      </c>
      <c r="C1025" s="226" t="s">
        <v>684</v>
      </c>
      <c r="D1025" s="701" t="s">
        <v>738</v>
      </c>
      <c r="E1025" s="701"/>
      <c r="F1025" s="701"/>
      <c r="G1025" s="226" t="s">
        <v>129</v>
      </c>
      <c r="H1025" s="226">
        <v>1</v>
      </c>
      <c r="I1025" s="226">
        <v>18</v>
      </c>
      <c r="L1025" s="226">
        <v>18</v>
      </c>
    </row>
    <row r="1026" spans="1:12" ht="10.5" customHeight="1" x14ac:dyDescent="0.3">
      <c r="A1026" s="156" t="s">
        <v>649</v>
      </c>
      <c r="B1026" s="227" t="s">
        <v>933</v>
      </c>
      <c r="C1026" s="226" t="s">
        <v>684</v>
      </c>
      <c r="D1026" s="701" t="s">
        <v>738</v>
      </c>
      <c r="E1026" s="701"/>
      <c r="F1026" s="701"/>
      <c r="G1026" s="226" t="s">
        <v>129</v>
      </c>
      <c r="H1026" s="226">
        <v>1</v>
      </c>
      <c r="I1026" s="226">
        <v>7</v>
      </c>
      <c r="L1026" s="226">
        <v>7</v>
      </c>
    </row>
    <row r="1027" spans="1:12" ht="10.5" customHeight="1" x14ac:dyDescent="0.3">
      <c r="A1027" s="156" t="s">
        <v>651</v>
      </c>
      <c r="B1027" s="227" t="s">
        <v>950</v>
      </c>
      <c r="C1027" s="226" t="s">
        <v>684</v>
      </c>
      <c r="D1027" s="701" t="s">
        <v>738</v>
      </c>
      <c r="E1027" s="701"/>
      <c r="F1027" s="701"/>
      <c r="G1027" s="226" t="s">
        <v>129</v>
      </c>
      <c r="H1027" s="226">
        <v>1</v>
      </c>
      <c r="I1027" s="226">
        <v>18</v>
      </c>
      <c r="L1027" s="226">
        <v>18</v>
      </c>
    </row>
    <row r="1028" spans="1:12" ht="10.5" customHeight="1" x14ac:dyDescent="0.3">
      <c r="A1028" s="156" t="s">
        <v>653</v>
      </c>
      <c r="B1028" s="227" t="s">
        <v>951</v>
      </c>
      <c r="C1028" s="226" t="s">
        <v>684</v>
      </c>
      <c r="D1028" s="701" t="s">
        <v>738</v>
      </c>
      <c r="E1028" s="701"/>
      <c r="F1028" s="701"/>
      <c r="G1028" s="226" t="s">
        <v>129</v>
      </c>
      <c r="H1028" s="226">
        <v>1</v>
      </c>
      <c r="I1028" s="226">
        <v>18</v>
      </c>
      <c r="L1028" s="226">
        <v>18</v>
      </c>
    </row>
    <row r="1029" spans="1:12" ht="10.5" customHeight="1" x14ac:dyDescent="0.3">
      <c r="A1029" s="156" t="s">
        <v>655</v>
      </c>
      <c r="B1029" s="227" t="s">
        <v>952</v>
      </c>
      <c r="C1029" s="226" t="s">
        <v>684</v>
      </c>
      <c r="D1029" s="701" t="s">
        <v>738</v>
      </c>
      <c r="E1029" s="701"/>
      <c r="F1029" s="701"/>
      <c r="G1029" s="226" t="s">
        <v>129</v>
      </c>
      <c r="H1029" s="226">
        <v>1</v>
      </c>
      <c r="I1029" s="226">
        <v>18</v>
      </c>
      <c r="L1029" s="226">
        <v>18</v>
      </c>
    </row>
    <row r="1030" spans="1:12" ht="10.5" customHeight="1" x14ac:dyDescent="0.3">
      <c r="A1030" s="156" t="s">
        <v>657</v>
      </c>
      <c r="B1030" s="227" t="s">
        <v>953</v>
      </c>
      <c r="C1030" s="226" t="s">
        <v>684</v>
      </c>
      <c r="D1030" s="701" t="s">
        <v>738</v>
      </c>
      <c r="E1030" s="701"/>
      <c r="F1030" s="701"/>
      <c r="G1030" s="226" t="s">
        <v>129</v>
      </c>
      <c r="H1030" s="226">
        <v>1</v>
      </c>
      <c r="I1030" s="226">
        <v>18</v>
      </c>
      <c r="L1030" s="226">
        <v>18</v>
      </c>
    </row>
    <row r="1031" spans="1:12" ht="10.5" customHeight="1" x14ac:dyDescent="0.3">
      <c r="A1031" s="156" t="s">
        <v>659</v>
      </c>
      <c r="B1031" s="227" t="s">
        <v>954</v>
      </c>
      <c r="C1031" s="226" t="s">
        <v>684</v>
      </c>
      <c r="D1031" s="701" t="s">
        <v>738</v>
      </c>
      <c r="E1031" s="701"/>
      <c r="F1031" s="701"/>
      <c r="G1031" s="226" t="s">
        <v>129</v>
      </c>
      <c r="H1031" s="226">
        <v>1</v>
      </c>
      <c r="I1031" s="226">
        <v>18</v>
      </c>
      <c r="L1031" s="226">
        <v>18</v>
      </c>
    </row>
    <row r="1032" spans="1:12" ht="10.5" customHeight="1" x14ac:dyDescent="0.3">
      <c r="A1032" s="156" t="s">
        <v>660</v>
      </c>
      <c r="B1032" s="227" t="s">
        <v>955</v>
      </c>
      <c r="C1032" s="226" t="s">
        <v>684</v>
      </c>
      <c r="D1032" s="701" t="s">
        <v>738</v>
      </c>
      <c r="E1032" s="701"/>
      <c r="F1032" s="701"/>
      <c r="G1032" s="226" t="s">
        <v>129</v>
      </c>
      <c r="H1032" s="226">
        <v>1</v>
      </c>
      <c r="I1032" s="226">
        <v>7</v>
      </c>
      <c r="L1032" s="226">
        <v>7</v>
      </c>
    </row>
    <row r="1033" spans="1:12" ht="10.5" customHeight="1" x14ac:dyDescent="0.3">
      <c r="A1033" s="156" t="s">
        <v>686</v>
      </c>
      <c r="B1033" s="227" t="s">
        <v>956</v>
      </c>
      <c r="C1033" s="226" t="s">
        <v>684</v>
      </c>
      <c r="D1033" s="701" t="s">
        <v>738</v>
      </c>
      <c r="E1033" s="701"/>
      <c r="F1033" s="701"/>
      <c r="G1033" s="226" t="s">
        <v>129</v>
      </c>
      <c r="H1033" s="226">
        <v>1</v>
      </c>
      <c r="I1033" s="226">
        <v>18</v>
      </c>
      <c r="L1033" s="226">
        <v>18</v>
      </c>
    </row>
    <row r="1034" spans="1:12" ht="10.5" customHeight="1" x14ac:dyDescent="0.3">
      <c r="A1034" s="156" t="s">
        <v>688</v>
      </c>
      <c r="B1034" s="227" t="s">
        <v>957</v>
      </c>
      <c r="C1034" s="226" t="s">
        <v>684</v>
      </c>
      <c r="D1034" s="701" t="s">
        <v>738</v>
      </c>
      <c r="E1034" s="701"/>
      <c r="F1034" s="701"/>
      <c r="G1034" s="226" t="s">
        <v>129</v>
      </c>
      <c r="H1034" s="226">
        <v>1</v>
      </c>
      <c r="I1034" s="226">
        <v>18</v>
      </c>
      <c r="L1034" s="226">
        <v>18</v>
      </c>
    </row>
    <row r="1035" spans="1:12" ht="10.5" customHeight="1" x14ac:dyDescent="0.3">
      <c r="A1035" s="156" t="s">
        <v>690</v>
      </c>
      <c r="B1035" s="227" t="s">
        <v>958</v>
      </c>
      <c r="C1035" s="226" t="s">
        <v>684</v>
      </c>
      <c r="D1035" s="701" t="s">
        <v>738</v>
      </c>
      <c r="E1035" s="701"/>
      <c r="F1035" s="701"/>
      <c r="G1035" s="226" t="s">
        <v>129</v>
      </c>
      <c r="H1035" s="226">
        <v>1</v>
      </c>
      <c r="I1035" s="226">
        <v>18</v>
      </c>
      <c r="L1035" s="226">
        <v>18</v>
      </c>
    </row>
    <row r="1036" spans="1:12" ht="10.5" customHeight="1" x14ac:dyDescent="0.3">
      <c r="A1036" s="156" t="s">
        <v>691</v>
      </c>
      <c r="B1036" s="227" t="s">
        <v>959</v>
      </c>
      <c r="C1036" s="226" t="s">
        <v>684</v>
      </c>
      <c r="D1036" s="701" t="s">
        <v>738</v>
      </c>
      <c r="E1036" s="701"/>
      <c r="F1036" s="701"/>
      <c r="G1036" s="226" t="s">
        <v>129</v>
      </c>
      <c r="H1036" s="226">
        <v>1</v>
      </c>
      <c r="I1036" s="226">
        <v>7</v>
      </c>
      <c r="L1036" s="226">
        <v>7</v>
      </c>
    </row>
    <row r="1037" spans="1:12" ht="10.5" customHeight="1" x14ac:dyDescent="0.3">
      <c r="A1037" s="156" t="s">
        <v>693</v>
      </c>
      <c r="B1037" s="227" t="s">
        <v>960</v>
      </c>
      <c r="C1037" s="226" t="s">
        <v>684</v>
      </c>
      <c r="D1037" s="701" t="s">
        <v>738</v>
      </c>
      <c r="E1037" s="701"/>
      <c r="F1037" s="701"/>
      <c r="G1037" s="226" t="s">
        <v>129</v>
      </c>
      <c r="H1037" s="226">
        <v>1</v>
      </c>
      <c r="I1037" s="226">
        <v>18</v>
      </c>
      <c r="L1037" s="226">
        <v>18</v>
      </c>
    </row>
    <row r="1038" spans="1:12" ht="10.5" customHeight="1" x14ac:dyDescent="0.3">
      <c r="A1038" s="156" t="s">
        <v>695</v>
      </c>
      <c r="B1038" s="227" t="s">
        <v>961</v>
      </c>
      <c r="C1038" s="226" t="s">
        <v>684</v>
      </c>
      <c r="D1038" s="701" t="s">
        <v>738</v>
      </c>
      <c r="E1038" s="701"/>
      <c r="F1038" s="701"/>
      <c r="G1038" s="226" t="s">
        <v>129</v>
      </c>
      <c r="H1038" s="226">
        <v>1</v>
      </c>
      <c r="I1038" s="226">
        <v>18</v>
      </c>
      <c r="L1038" s="226">
        <v>18</v>
      </c>
    </row>
    <row r="1039" spans="1:12" ht="10.5" customHeight="1" x14ac:dyDescent="0.3">
      <c r="A1039" s="156" t="s">
        <v>697</v>
      </c>
      <c r="B1039" s="227" t="s">
        <v>962</v>
      </c>
      <c r="C1039" s="226" t="s">
        <v>684</v>
      </c>
      <c r="D1039" s="701" t="s">
        <v>738</v>
      </c>
      <c r="E1039" s="701"/>
      <c r="F1039" s="701"/>
      <c r="G1039" s="226" t="s">
        <v>129</v>
      </c>
      <c r="H1039" s="226">
        <v>1</v>
      </c>
      <c r="I1039" s="226">
        <v>18</v>
      </c>
      <c r="L1039" s="226">
        <v>18</v>
      </c>
    </row>
    <row r="1040" spans="1:12" ht="10.5" customHeight="1" x14ac:dyDescent="0.3">
      <c r="A1040" s="156" t="s">
        <v>699</v>
      </c>
      <c r="B1040" s="227" t="s">
        <v>963</v>
      </c>
      <c r="C1040" s="226" t="s">
        <v>684</v>
      </c>
      <c r="D1040" s="701" t="s">
        <v>738</v>
      </c>
      <c r="E1040" s="701"/>
      <c r="F1040" s="701"/>
      <c r="G1040" s="226" t="s">
        <v>129</v>
      </c>
      <c r="H1040" s="226">
        <v>1</v>
      </c>
      <c r="I1040" s="226">
        <v>7</v>
      </c>
      <c r="L1040" s="226">
        <v>7</v>
      </c>
    </row>
    <row r="1041" spans="1:12" ht="10.5" customHeight="1" x14ac:dyDescent="0.3">
      <c r="A1041" s="156" t="s">
        <v>701</v>
      </c>
      <c r="B1041" s="227" t="s">
        <v>964</v>
      </c>
      <c r="C1041" s="226" t="s">
        <v>684</v>
      </c>
      <c r="D1041" s="701" t="s">
        <v>738</v>
      </c>
      <c r="E1041" s="701"/>
      <c r="F1041" s="701"/>
      <c r="G1041" s="226" t="s">
        <v>129</v>
      </c>
      <c r="H1041" s="226">
        <v>1</v>
      </c>
      <c r="I1041" s="226">
        <v>18</v>
      </c>
      <c r="L1041" s="226">
        <v>18</v>
      </c>
    </row>
    <row r="1042" spans="1:12" ht="10.5" customHeight="1" x14ac:dyDescent="0.3">
      <c r="A1042" s="156" t="s">
        <v>703</v>
      </c>
      <c r="B1042" s="227" t="s">
        <v>965</v>
      </c>
      <c r="C1042" s="226" t="s">
        <v>684</v>
      </c>
      <c r="D1042" s="701" t="s">
        <v>738</v>
      </c>
      <c r="E1042" s="701"/>
      <c r="F1042" s="701"/>
      <c r="G1042" s="226" t="s">
        <v>129</v>
      </c>
      <c r="H1042" s="226">
        <v>1</v>
      </c>
      <c r="I1042" s="226">
        <v>18</v>
      </c>
      <c r="L1042" s="226">
        <v>18</v>
      </c>
    </row>
    <row r="1043" spans="1:12" ht="10.5" customHeight="1" x14ac:dyDescent="0.3">
      <c r="A1043" s="156" t="s">
        <v>705</v>
      </c>
      <c r="B1043" s="227" t="s">
        <v>966</v>
      </c>
      <c r="C1043" s="226" t="s">
        <v>684</v>
      </c>
      <c r="D1043" s="701" t="s">
        <v>738</v>
      </c>
      <c r="E1043" s="701"/>
      <c r="F1043" s="701"/>
      <c r="G1043" s="226" t="s">
        <v>129</v>
      </c>
      <c r="H1043" s="226">
        <v>1</v>
      </c>
      <c r="I1043" s="226">
        <v>18</v>
      </c>
      <c r="L1043" s="226">
        <v>18</v>
      </c>
    </row>
    <row r="1044" spans="1:12" ht="10.5" customHeight="1" x14ac:dyDescent="0.3">
      <c r="A1044" s="156" t="s">
        <v>730</v>
      </c>
      <c r="B1044" s="227" t="s">
        <v>967</v>
      </c>
      <c r="C1044" s="226" t="s">
        <v>684</v>
      </c>
      <c r="D1044" s="701" t="s">
        <v>738</v>
      </c>
      <c r="E1044" s="701"/>
      <c r="F1044" s="701"/>
      <c r="G1044" s="226" t="s">
        <v>129</v>
      </c>
      <c r="H1044" s="226">
        <v>1</v>
      </c>
      <c r="I1044" s="226">
        <v>18</v>
      </c>
      <c r="L1044" s="226">
        <v>18</v>
      </c>
    </row>
    <row r="1045" spans="1:12" ht="10.5" customHeight="1" x14ac:dyDescent="0.3">
      <c r="A1045" s="156" t="s">
        <v>732</v>
      </c>
      <c r="B1045" s="227" t="s">
        <v>968</v>
      </c>
      <c r="C1045" s="226" t="s">
        <v>684</v>
      </c>
      <c r="D1045" s="701" t="s">
        <v>738</v>
      </c>
      <c r="E1045" s="701"/>
      <c r="F1045" s="701"/>
      <c r="G1045" s="226" t="s">
        <v>129</v>
      </c>
      <c r="H1045" s="226">
        <v>1</v>
      </c>
      <c r="I1045" s="226">
        <v>18</v>
      </c>
      <c r="L1045" s="226">
        <v>18</v>
      </c>
    </row>
    <row r="1046" spans="1:12" ht="10.5" customHeight="1" x14ac:dyDescent="0.3">
      <c r="A1046" s="156" t="s">
        <v>740</v>
      </c>
      <c r="B1046" s="227" t="s">
        <v>969</v>
      </c>
      <c r="C1046" s="226" t="s">
        <v>684</v>
      </c>
      <c r="D1046" s="701" t="s">
        <v>738</v>
      </c>
      <c r="E1046" s="701"/>
      <c r="F1046" s="701"/>
      <c r="G1046" s="226" t="s">
        <v>129</v>
      </c>
      <c r="H1046" s="226">
        <v>1</v>
      </c>
      <c r="I1046" s="226">
        <v>7</v>
      </c>
      <c r="L1046" s="226">
        <v>7</v>
      </c>
    </row>
    <row r="1047" spans="1:12" ht="10.5" customHeight="1" x14ac:dyDescent="0.3">
      <c r="A1047" s="156" t="s">
        <v>742</v>
      </c>
      <c r="B1047" s="227" t="s">
        <v>970</v>
      </c>
      <c r="C1047" s="226" t="s">
        <v>684</v>
      </c>
      <c r="D1047" s="701" t="s">
        <v>738</v>
      </c>
      <c r="E1047" s="701"/>
      <c r="F1047" s="701"/>
      <c r="G1047" s="226" t="s">
        <v>129</v>
      </c>
      <c r="H1047" s="226">
        <v>1</v>
      </c>
      <c r="I1047" s="226">
        <v>18</v>
      </c>
      <c r="L1047" s="226">
        <v>18</v>
      </c>
    </row>
    <row r="1048" spans="1:12" ht="10.5" customHeight="1" x14ac:dyDescent="0.3">
      <c r="A1048" s="156" t="s">
        <v>744</v>
      </c>
      <c r="B1048" s="227" t="s">
        <v>971</v>
      </c>
      <c r="C1048" s="226" t="s">
        <v>684</v>
      </c>
      <c r="D1048" s="701" t="s">
        <v>738</v>
      </c>
      <c r="E1048" s="701"/>
      <c r="F1048" s="701"/>
      <c r="G1048" s="226" t="s">
        <v>129</v>
      </c>
      <c r="H1048" s="226">
        <v>1</v>
      </c>
      <c r="I1048" s="226">
        <v>18</v>
      </c>
      <c r="L1048" s="226">
        <v>18</v>
      </c>
    </row>
    <row r="1049" spans="1:12" ht="10.5" customHeight="1" x14ac:dyDescent="0.3">
      <c r="A1049" s="156" t="s">
        <v>746</v>
      </c>
      <c r="B1049" s="227" t="s">
        <v>972</v>
      </c>
      <c r="C1049" s="226" t="s">
        <v>684</v>
      </c>
      <c r="D1049" s="701" t="s">
        <v>738</v>
      </c>
      <c r="E1049" s="701"/>
      <c r="F1049" s="701"/>
      <c r="G1049" s="226" t="s">
        <v>129</v>
      </c>
      <c r="H1049" s="226">
        <v>1</v>
      </c>
      <c r="I1049" s="226">
        <v>18</v>
      </c>
      <c r="L1049" s="226">
        <v>18</v>
      </c>
    </row>
    <row r="1050" spans="1:12" ht="10.5" customHeight="1" x14ac:dyDescent="0.3">
      <c r="A1050" s="156" t="s">
        <v>748</v>
      </c>
      <c r="B1050" s="227" t="s">
        <v>973</v>
      </c>
      <c r="C1050" s="226" t="s">
        <v>684</v>
      </c>
      <c r="D1050" s="701" t="s">
        <v>738</v>
      </c>
      <c r="E1050" s="701"/>
      <c r="F1050" s="701"/>
      <c r="G1050" s="226" t="s">
        <v>129</v>
      </c>
      <c r="H1050" s="226">
        <v>1</v>
      </c>
      <c r="I1050" s="226">
        <v>18</v>
      </c>
      <c r="L1050" s="226">
        <v>18</v>
      </c>
    </row>
    <row r="1051" spans="1:12" ht="10.5" customHeight="1" x14ac:dyDescent="0.3">
      <c r="A1051" s="156" t="s">
        <v>750</v>
      </c>
      <c r="B1051" s="227" t="s">
        <v>974</v>
      </c>
      <c r="C1051" s="226" t="s">
        <v>684</v>
      </c>
      <c r="D1051" s="701" t="s">
        <v>738</v>
      </c>
      <c r="E1051" s="701"/>
      <c r="F1051" s="701"/>
      <c r="G1051" s="226" t="s">
        <v>129</v>
      </c>
      <c r="H1051" s="226">
        <v>1</v>
      </c>
      <c r="I1051" s="226">
        <v>7</v>
      </c>
      <c r="L1051" s="226">
        <v>7</v>
      </c>
    </row>
    <row r="1052" spans="1:12" ht="10.5" customHeight="1" x14ac:dyDescent="0.3">
      <c r="A1052" s="156" t="s">
        <v>751</v>
      </c>
      <c r="B1052" s="227" t="s">
        <v>975</v>
      </c>
      <c r="C1052" s="226" t="s">
        <v>684</v>
      </c>
      <c r="D1052" s="701" t="s">
        <v>738</v>
      </c>
      <c r="E1052" s="701"/>
      <c r="F1052" s="701"/>
      <c r="G1052" s="226" t="s">
        <v>129</v>
      </c>
      <c r="H1052" s="226">
        <v>1</v>
      </c>
      <c r="I1052" s="226">
        <v>7</v>
      </c>
      <c r="L1052" s="226">
        <v>7</v>
      </c>
    </row>
    <row r="1053" spans="1:12" ht="10.5" customHeight="1" x14ac:dyDescent="0.3">
      <c r="A1053" s="156" t="s">
        <v>754</v>
      </c>
      <c r="B1053" s="227" t="s">
        <v>976</v>
      </c>
      <c r="C1053" s="226" t="s">
        <v>684</v>
      </c>
      <c r="D1053" s="701" t="s">
        <v>738</v>
      </c>
      <c r="E1053" s="701"/>
      <c r="F1053" s="701"/>
      <c r="G1053" s="226" t="s">
        <v>129</v>
      </c>
      <c r="H1053" s="226">
        <v>1</v>
      </c>
      <c r="I1053" s="226">
        <v>18</v>
      </c>
      <c r="L1053" s="226">
        <v>18</v>
      </c>
    </row>
    <row r="1054" spans="1:12" ht="10.5" customHeight="1" x14ac:dyDescent="0.3">
      <c r="A1054" s="156" t="s">
        <v>757</v>
      </c>
      <c r="B1054" s="227" t="s">
        <v>977</v>
      </c>
      <c r="C1054" s="226" t="s">
        <v>684</v>
      </c>
      <c r="D1054" s="701" t="s">
        <v>738</v>
      </c>
      <c r="E1054" s="701"/>
      <c r="F1054" s="701"/>
      <c r="G1054" s="226" t="s">
        <v>129</v>
      </c>
      <c r="H1054" s="226">
        <v>1</v>
      </c>
      <c r="I1054" s="226">
        <v>18</v>
      </c>
      <c r="L1054" s="226">
        <v>18</v>
      </c>
    </row>
    <row r="1055" spans="1:12" ht="10.5" customHeight="1" x14ac:dyDescent="0.3">
      <c r="A1055" s="156" t="s">
        <v>763</v>
      </c>
      <c r="B1055" s="227" t="s">
        <v>978</v>
      </c>
      <c r="C1055" s="226" t="s">
        <v>684</v>
      </c>
      <c r="D1055" s="701" t="s">
        <v>738</v>
      </c>
      <c r="E1055" s="701"/>
      <c r="F1055" s="701"/>
      <c r="G1055" s="226" t="s">
        <v>129</v>
      </c>
      <c r="H1055" s="226">
        <v>1</v>
      </c>
      <c r="I1055" s="226">
        <v>18</v>
      </c>
      <c r="L1055" s="226">
        <v>18</v>
      </c>
    </row>
    <row r="1056" spans="1:12" ht="10.5" customHeight="1" x14ac:dyDescent="0.3">
      <c r="A1056" s="156" t="s">
        <v>765</v>
      </c>
      <c r="B1056" s="227" t="s">
        <v>979</v>
      </c>
      <c r="C1056" s="226" t="s">
        <v>684</v>
      </c>
      <c r="D1056" s="701" t="s">
        <v>738</v>
      </c>
      <c r="E1056" s="701"/>
      <c r="F1056" s="701"/>
      <c r="G1056" s="226" t="s">
        <v>129</v>
      </c>
      <c r="H1056" s="226">
        <v>1</v>
      </c>
      <c r="I1056" s="226">
        <v>18</v>
      </c>
      <c r="L1056" s="226">
        <v>18</v>
      </c>
    </row>
    <row r="1057" spans="1:12" ht="10.5" customHeight="1" x14ac:dyDescent="0.3">
      <c r="A1057" s="156" t="s">
        <v>767</v>
      </c>
      <c r="B1057" s="227" t="s">
        <v>980</v>
      </c>
      <c r="C1057" s="226" t="s">
        <v>684</v>
      </c>
      <c r="D1057" s="701" t="s">
        <v>738</v>
      </c>
      <c r="E1057" s="701"/>
      <c r="F1057" s="701"/>
      <c r="G1057" s="226" t="s">
        <v>129</v>
      </c>
      <c r="H1057" s="226">
        <v>1</v>
      </c>
      <c r="I1057" s="226">
        <v>18</v>
      </c>
      <c r="L1057" s="226">
        <v>18</v>
      </c>
    </row>
    <row r="1058" spans="1:12" ht="10.5" customHeight="1" x14ac:dyDescent="0.3">
      <c r="A1058" s="156" t="s">
        <v>769</v>
      </c>
      <c r="B1058" s="227" t="s">
        <v>981</v>
      </c>
      <c r="C1058" s="226" t="s">
        <v>684</v>
      </c>
      <c r="D1058" s="701" t="s">
        <v>738</v>
      </c>
      <c r="E1058" s="701"/>
      <c r="F1058" s="701"/>
      <c r="G1058" s="226" t="s">
        <v>129</v>
      </c>
      <c r="H1058" s="226">
        <v>1</v>
      </c>
      <c r="I1058" s="226">
        <v>7</v>
      </c>
      <c r="L1058" s="226">
        <v>7</v>
      </c>
    </row>
    <row r="1059" spans="1:12" ht="10.5" customHeight="1" x14ac:dyDescent="0.3">
      <c r="A1059" s="156" t="s">
        <v>770</v>
      </c>
      <c r="B1059" s="227" t="s">
        <v>982</v>
      </c>
      <c r="C1059" s="226" t="s">
        <v>684</v>
      </c>
      <c r="D1059" s="701" t="s">
        <v>738</v>
      </c>
      <c r="E1059" s="701"/>
      <c r="F1059" s="701"/>
      <c r="G1059" s="226" t="s">
        <v>129</v>
      </c>
      <c r="H1059" s="226">
        <v>1</v>
      </c>
      <c r="I1059" s="226">
        <v>7</v>
      </c>
      <c r="L1059" s="226">
        <v>7</v>
      </c>
    </row>
    <row r="1060" spans="1:12" ht="10.5" customHeight="1" x14ac:dyDescent="0.3">
      <c r="A1060" s="156" t="s">
        <v>772</v>
      </c>
      <c r="B1060" s="227" t="s">
        <v>983</v>
      </c>
      <c r="C1060" s="226" t="s">
        <v>684</v>
      </c>
      <c r="D1060" s="701" t="s">
        <v>738</v>
      </c>
      <c r="E1060" s="701"/>
      <c r="F1060" s="701"/>
      <c r="G1060" s="226" t="s">
        <v>129</v>
      </c>
      <c r="H1060" s="226">
        <v>1</v>
      </c>
      <c r="I1060" s="226">
        <v>18</v>
      </c>
      <c r="L1060" s="226">
        <v>18</v>
      </c>
    </row>
    <row r="1061" spans="1:12" ht="10.5" customHeight="1" x14ac:dyDescent="0.3">
      <c r="A1061" s="156" t="s">
        <v>774</v>
      </c>
      <c r="B1061" s="227" t="s">
        <v>984</v>
      </c>
      <c r="C1061" s="226" t="s">
        <v>684</v>
      </c>
      <c r="D1061" s="701" t="s">
        <v>738</v>
      </c>
      <c r="E1061" s="701"/>
      <c r="F1061" s="701"/>
      <c r="G1061" s="226" t="s">
        <v>129</v>
      </c>
      <c r="H1061" s="226">
        <v>1</v>
      </c>
      <c r="I1061" s="226">
        <v>18</v>
      </c>
      <c r="L1061" s="226">
        <v>18</v>
      </c>
    </row>
    <row r="1062" spans="1:12" ht="10.5" customHeight="1" x14ac:dyDescent="0.3">
      <c r="A1062" s="156" t="s">
        <v>776</v>
      </c>
      <c r="B1062" s="227" t="s">
        <v>985</v>
      </c>
      <c r="C1062" s="226" t="s">
        <v>684</v>
      </c>
      <c r="D1062" s="701" t="s">
        <v>738</v>
      </c>
      <c r="E1062" s="701"/>
      <c r="F1062" s="701"/>
      <c r="G1062" s="226" t="s">
        <v>129</v>
      </c>
      <c r="H1062" s="226">
        <v>1</v>
      </c>
      <c r="I1062" s="226">
        <v>18</v>
      </c>
      <c r="L1062" s="226">
        <v>18</v>
      </c>
    </row>
    <row r="1063" spans="1:12" ht="10.5" customHeight="1" x14ac:dyDescent="0.3">
      <c r="A1063" s="156" t="s">
        <v>787</v>
      </c>
      <c r="B1063" s="227" t="s">
        <v>986</v>
      </c>
      <c r="C1063" s="226" t="s">
        <v>684</v>
      </c>
      <c r="D1063" s="701" t="s">
        <v>738</v>
      </c>
      <c r="E1063" s="701"/>
      <c r="F1063" s="701"/>
      <c r="G1063" s="226" t="s">
        <v>129</v>
      </c>
      <c r="H1063" s="226">
        <v>1</v>
      </c>
      <c r="I1063" s="226">
        <v>18</v>
      </c>
      <c r="L1063" s="226">
        <v>18</v>
      </c>
    </row>
    <row r="1064" spans="1:12" ht="10.5" customHeight="1" x14ac:dyDescent="0.3">
      <c r="A1064" s="156" t="s">
        <v>789</v>
      </c>
      <c r="B1064" s="227" t="s">
        <v>987</v>
      </c>
      <c r="C1064" s="226" t="s">
        <v>684</v>
      </c>
      <c r="D1064" s="701" t="s">
        <v>738</v>
      </c>
      <c r="E1064" s="701"/>
      <c r="F1064" s="701"/>
      <c r="G1064" s="226" t="s">
        <v>129</v>
      </c>
      <c r="H1064" s="226">
        <v>1</v>
      </c>
      <c r="I1064" s="226">
        <v>18</v>
      </c>
      <c r="L1064" s="226">
        <v>18</v>
      </c>
    </row>
    <row r="1065" spans="1:12" ht="10.5" customHeight="1" x14ac:dyDescent="0.3">
      <c r="A1065" s="156" t="s">
        <v>791</v>
      </c>
      <c r="B1065" s="227" t="s">
        <v>988</v>
      </c>
      <c r="C1065" s="226" t="s">
        <v>684</v>
      </c>
      <c r="D1065" s="701" t="s">
        <v>738</v>
      </c>
      <c r="E1065" s="701"/>
      <c r="F1065" s="701"/>
      <c r="G1065" s="226" t="s">
        <v>129</v>
      </c>
      <c r="H1065" s="226">
        <v>1</v>
      </c>
      <c r="I1065" s="226">
        <v>7</v>
      </c>
      <c r="L1065" s="226">
        <v>7</v>
      </c>
    </row>
    <row r="1066" spans="1:12" ht="10.5" customHeight="1" x14ac:dyDescent="0.3">
      <c r="A1066" s="156" t="s">
        <v>1162</v>
      </c>
      <c r="B1066" s="227" t="s">
        <v>1127</v>
      </c>
      <c r="C1066" s="226" t="s">
        <v>1195</v>
      </c>
      <c r="D1066" s="701" t="s">
        <v>1160</v>
      </c>
      <c r="E1066" s="701"/>
      <c r="F1066" s="701"/>
      <c r="G1066" s="226" t="s">
        <v>129</v>
      </c>
      <c r="H1066" s="226">
        <v>1</v>
      </c>
      <c r="I1066" s="226">
        <v>18</v>
      </c>
      <c r="L1066" s="226">
        <v>18</v>
      </c>
    </row>
    <row r="1067" spans="1:12" ht="10.5" customHeight="1" x14ac:dyDescent="0.3">
      <c r="A1067" s="156" t="s">
        <v>1164</v>
      </c>
      <c r="B1067" s="227" t="s">
        <v>1129</v>
      </c>
      <c r="C1067" s="226" t="s">
        <v>1195</v>
      </c>
      <c r="D1067" s="701" t="s">
        <v>1160</v>
      </c>
      <c r="E1067" s="701"/>
      <c r="F1067" s="701"/>
      <c r="G1067" s="226" t="s">
        <v>129</v>
      </c>
      <c r="H1067" s="226">
        <v>1</v>
      </c>
      <c r="I1067" s="226">
        <v>18</v>
      </c>
      <c r="L1067" s="226">
        <v>18</v>
      </c>
    </row>
    <row r="1068" spans="1:12" ht="10.5" customHeight="1" x14ac:dyDescent="0.3">
      <c r="A1068" s="156" t="s">
        <v>1166</v>
      </c>
      <c r="B1068" s="227" t="s">
        <v>1131</v>
      </c>
      <c r="C1068" s="226" t="s">
        <v>1195</v>
      </c>
      <c r="D1068" s="701" t="s">
        <v>1160</v>
      </c>
      <c r="E1068" s="701"/>
      <c r="F1068" s="701"/>
      <c r="G1068" s="226" t="s">
        <v>129</v>
      </c>
      <c r="H1068" s="226">
        <v>1</v>
      </c>
      <c r="I1068" s="226">
        <v>18</v>
      </c>
      <c r="L1068" s="226">
        <v>18</v>
      </c>
    </row>
    <row r="1069" spans="1:12" ht="10.5" customHeight="1" x14ac:dyDescent="0.3">
      <c r="A1069" s="156" t="s">
        <v>1168</v>
      </c>
      <c r="B1069" s="227" t="s">
        <v>1133</v>
      </c>
      <c r="C1069" s="226" t="s">
        <v>1195</v>
      </c>
      <c r="D1069" s="701" t="s">
        <v>1160</v>
      </c>
      <c r="E1069" s="701"/>
      <c r="F1069" s="701"/>
      <c r="G1069" s="226" t="s">
        <v>129</v>
      </c>
      <c r="H1069" s="226">
        <v>1</v>
      </c>
      <c r="I1069" s="226">
        <v>18</v>
      </c>
      <c r="L1069" s="226">
        <v>18</v>
      </c>
    </row>
    <row r="1070" spans="1:12" ht="10.5" customHeight="1" x14ac:dyDescent="0.3">
      <c r="A1070" s="156" t="s">
        <v>1170</v>
      </c>
      <c r="B1070" s="227" t="s">
        <v>1135</v>
      </c>
      <c r="C1070" s="226" t="s">
        <v>1195</v>
      </c>
      <c r="D1070" s="701" t="s">
        <v>1160</v>
      </c>
      <c r="E1070" s="701"/>
      <c r="F1070" s="701"/>
      <c r="G1070" s="226" t="s">
        <v>129</v>
      </c>
      <c r="H1070" s="226">
        <v>1</v>
      </c>
      <c r="I1070" s="226">
        <v>18</v>
      </c>
      <c r="L1070" s="226">
        <v>18</v>
      </c>
    </row>
    <row r="1071" spans="1:12" ht="10.5" customHeight="1" x14ac:dyDescent="0.3">
      <c r="A1071" s="156" t="s">
        <v>1172</v>
      </c>
      <c r="B1071" s="227" t="s">
        <v>1137</v>
      </c>
      <c r="C1071" s="226" t="s">
        <v>1195</v>
      </c>
      <c r="D1071" s="701" t="s">
        <v>1160</v>
      </c>
      <c r="E1071" s="701"/>
      <c r="F1071" s="701"/>
      <c r="G1071" s="226" t="s">
        <v>129</v>
      </c>
      <c r="H1071" s="226">
        <v>1</v>
      </c>
      <c r="I1071" s="226">
        <v>18</v>
      </c>
      <c r="L1071" s="226">
        <v>18</v>
      </c>
    </row>
    <row r="1072" spans="1:12" ht="10.5" customHeight="1" x14ac:dyDescent="0.3">
      <c r="A1072" s="156" t="s">
        <v>1174</v>
      </c>
      <c r="B1072" s="227" t="s">
        <v>1139</v>
      </c>
      <c r="C1072" s="226" t="s">
        <v>1195</v>
      </c>
      <c r="D1072" s="701" t="s">
        <v>1160</v>
      </c>
      <c r="E1072" s="701"/>
      <c r="F1072" s="701"/>
      <c r="G1072" s="226" t="s">
        <v>129</v>
      </c>
      <c r="H1072" s="226">
        <v>1</v>
      </c>
      <c r="I1072" s="226">
        <v>18</v>
      </c>
      <c r="L1072" s="226">
        <v>18</v>
      </c>
    </row>
    <row r="1073" spans="1:12" ht="10.5" customHeight="1" x14ac:dyDescent="0.3">
      <c r="A1073" s="156" t="s">
        <v>1176</v>
      </c>
      <c r="B1073" s="227" t="s">
        <v>1141</v>
      </c>
      <c r="C1073" s="226" t="s">
        <v>1195</v>
      </c>
      <c r="D1073" s="701" t="s">
        <v>1160</v>
      </c>
      <c r="E1073" s="701"/>
      <c r="F1073" s="701"/>
      <c r="G1073" s="226" t="s">
        <v>129</v>
      </c>
      <c r="H1073" s="226">
        <v>1</v>
      </c>
      <c r="I1073" s="226">
        <v>18</v>
      </c>
      <c r="L1073" s="226">
        <v>18</v>
      </c>
    </row>
    <row r="1074" spans="1:12" ht="10.5" customHeight="1" x14ac:dyDescent="0.3">
      <c r="A1074" s="156" t="s">
        <v>1178</v>
      </c>
      <c r="B1074" s="227" t="s">
        <v>1143</v>
      </c>
      <c r="C1074" s="226" t="s">
        <v>1195</v>
      </c>
      <c r="D1074" s="701" t="s">
        <v>1160</v>
      </c>
      <c r="E1074" s="701"/>
      <c r="F1074" s="701"/>
      <c r="G1074" s="226" t="s">
        <v>129</v>
      </c>
      <c r="H1074" s="226">
        <v>1</v>
      </c>
      <c r="I1074" s="226">
        <v>18</v>
      </c>
      <c r="L1074" s="226">
        <v>18</v>
      </c>
    </row>
    <row r="1075" spans="1:12" ht="10.5" customHeight="1" x14ac:dyDescent="0.3">
      <c r="A1075" s="156" t="s">
        <v>1180</v>
      </c>
      <c r="B1075" s="227" t="s">
        <v>1145</v>
      </c>
      <c r="C1075" s="226" t="s">
        <v>1195</v>
      </c>
      <c r="D1075" s="701" t="s">
        <v>1160</v>
      </c>
      <c r="E1075" s="701"/>
      <c r="F1075" s="701"/>
      <c r="G1075" s="226" t="s">
        <v>129</v>
      </c>
      <c r="H1075" s="226">
        <v>1</v>
      </c>
      <c r="I1075" s="226">
        <v>18</v>
      </c>
      <c r="L1075" s="226">
        <v>18</v>
      </c>
    </row>
    <row r="1076" spans="1:12" ht="10.5" customHeight="1" x14ac:dyDescent="0.3">
      <c r="A1076" s="156" t="s">
        <v>1182</v>
      </c>
      <c r="B1076" s="227" t="s">
        <v>1147</v>
      </c>
      <c r="C1076" s="226" t="s">
        <v>1195</v>
      </c>
      <c r="D1076" s="701" t="s">
        <v>1160</v>
      </c>
      <c r="E1076" s="701"/>
      <c r="F1076" s="701"/>
      <c r="G1076" s="226" t="s">
        <v>129</v>
      </c>
      <c r="H1076" s="226">
        <v>1</v>
      </c>
      <c r="I1076" s="226">
        <v>18</v>
      </c>
      <c r="L1076" s="226">
        <v>18</v>
      </c>
    </row>
    <row r="1077" spans="1:12" ht="10.5" customHeight="1" x14ac:dyDescent="0.3">
      <c r="A1077" s="156" t="s">
        <v>1184</v>
      </c>
      <c r="B1077" s="227" t="s">
        <v>1149</v>
      </c>
      <c r="C1077" s="226" t="s">
        <v>1195</v>
      </c>
      <c r="D1077" s="701" t="s">
        <v>1160</v>
      </c>
      <c r="E1077" s="701"/>
      <c r="F1077" s="701"/>
      <c r="G1077" s="226" t="s">
        <v>129</v>
      </c>
      <c r="H1077" s="226">
        <v>1</v>
      </c>
      <c r="I1077" s="226">
        <v>18</v>
      </c>
      <c r="L1077" s="226">
        <v>18</v>
      </c>
    </row>
    <row r="1078" spans="1:12" ht="10.5" customHeight="1" x14ac:dyDescent="0.3">
      <c r="A1078" s="156" t="s">
        <v>1186</v>
      </c>
      <c r="B1078" s="227" t="s">
        <v>1151</v>
      </c>
      <c r="C1078" s="226" t="s">
        <v>1195</v>
      </c>
      <c r="D1078" s="701" t="s">
        <v>1160</v>
      </c>
      <c r="E1078" s="701"/>
      <c r="F1078" s="701"/>
      <c r="G1078" s="226" t="s">
        <v>129</v>
      </c>
      <c r="H1078" s="226">
        <v>1</v>
      </c>
      <c r="I1078" s="226">
        <v>18</v>
      </c>
      <c r="L1078" s="226">
        <v>18</v>
      </c>
    </row>
    <row r="1079" spans="1:12" ht="10.5" customHeight="1" x14ac:dyDescent="0.3">
      <c r="A1079" s="156" t="s">
        <v>1188</v>
      </c>
      <c r="B1079" s="227" t="s">
        <v>1153</v>
      </c>
      <c r="C1079" s="226" t="s">
        <v>1195</v>
      </c>
      <c r="D1079" s="701" t="s">
        <v>1160</v>
      </c>
      <c r="E1079" s="701"/>
      <c r="F1079" s="701"/>
      <c r="G1079" s="226" t="s">
        <v>129</v>
      </c>
      <c r="H1079" s="226">
        <v>1</v>
      </c>
      <c r="I1079" s="226">
        <v>18</v>
      </c>
      <c r="L1079" s="226">
        <v>18</v>
      </c>
    </row>
    <row r="1080" spans="1:12" ht="10.5" customHeight="1" x14ac:dyDescent="0.3">
      <c r="A1080" s="156" t="s">
        <v>1190</v>
      </c>
      <c r="B1080" s="227" t="s">
        <v>1155</v>
      </c>
      <c r="C1080" s="226" t="s">
        <v>1195</v>
      </c>
      <c r="D1080" s="701" t="s">
        <v>1160</v>
      </c>
      <c r="E1080" s="701"/>
      <c r="F1080" s="701"/>
      <c r="G1080" s="226" t="s">
        <v>129</v>
      </c>
      <c r="H1080" s="226">
        <v>1</v>
      </c>
      <c r="I1080" s="226">
        <v>18</v>
      </c>
      <c r="L1080" s="226">
        <v>18</v>
      </c>
    </row>
    <row r="1081" spans="1:12" ht="10.5" customHeight="1" x14ac:dyDescent="0.3">
      <c r="A1081" s="156" t="s">
        <v>1192</v>
      </c>
      <c r="B1081" s="227" t="s">
        <v>1157</v>
      </c>
      <c r="C1081" s="226" t="s">
        <v>1195</v>
      </c>
      <c r="D1081" s="701" t="s">
        <v>1160</v>
      </c>
      <c r="E1081" s="701"/>
      <c r="F1081" s="701"/>
      <c r="G1081" s="226" t="s">
        <v>129</v>
      </c>
      <c r="H1081" s="226">
        <v>1</v>
      </c>
      <c r="I1081" s="226">
        <v>18</v>
      </c>
      <c r="L1081" s="226">
        <v>18</v>
      </c>
    </row>
    <row r="1082" spans="1:12" ht="12" customHeight="1" x14ac:dyDescent="0.3">
      <c r="J1082" s="701" t="s">
        <v>203</v>
      </c>
      <c r="K1082" s="701"/>
      <c r="L1082" s="226">
        <v>1797</v>
      </c>
    </row>
    <row r="1083" spans="1:12" ht="9.6" customHeight="1" x14ac:dyDescent="0.3"/>
    <row r="1084" spans="1:12" ht="24.75" customHeight="1" x14ac:dyDescent="0.3">
      <c r="A1084" s="226" t="s">
        <v>11</v>
      </c>
      <c r="B1084" s="226" t="s">
        <v>220</v>
      </c>
      <c r="C1084" s="701" t="s">
        <v>35</v>
      </c>
      <c r="D1084" s="701"/>
      <c r="E1084" s="702" t="s">
        <v>1258</v>
      </c>
      <c r="F1084" s="702"/>
      <c r="G1084" s="702"/>
      <c r="H1084" s="702"/>
      <c r="I1084" s="226" t="s">
        <v>105</v>
      </c>
      <c r="J1084" s="226" t="s">
        <v>129</v>
      </c>
      <c r="K1084" s="226" t="s">
        <v>13</v>
      </c>
      <c r="L1084" s="231">
        <v>1428.02</v>
      </c>
    </row>
    <row r="1085" spans="1:12" ht="12" customHeight="1" x14ac:dyDescent="0.3"/>
    <row r="1086" spans="1:12" ht="12" customHeight="1" x14ac:dyDescent="0.3">
      <c r="A1086" s="234" t="s">
        <v>201</v>
      </c>
      <c r="B1086" s="234" t="s">
        <v>200</v>
      </c>
      <c r="C1086" s="235" t="s">
        <v>200</v>
      </c>
      <c r="D1086" s="235" t="s">
        <v>193</v>
      </c>
      <c r="E1086" s="235"/>
      <c r="F1086" s="235"/>
      <c r="G1086" s="234" t="s">
        <v>12</v>
      </c>
      <c r="H1086" s="234" t="s">
        <v>194</v>
      </c>
      <c r="I1086" s="234" t="s">
        <v>196</v>
      </c>
      <c r="J1086" s="234" t="s">
        <v>195</v>
      </c>
      <c r="K1086" s="234" t="s">
        <v>197</v>
      </c>
      <c r="L1086" s="234" t="s">
        <v>198</v>
      </c>
    </row>
    <row r="1087" spans="1:12" ht="10.95" customHeight="1" x14ac:dyDescent="0.3">
      <c r="A1087" s="226" t="s">
        <v>684</v>
      </c>
      <c r="B1087" s="227" t="s">
        <v>1006</v>
      </c>
      <c r="C1087" s="226" t="s">
        <v>684</v>
      </c>
      <c r="D1087" s="701" t="s">
        <v>738</v>
      </c>
      <c r="E1087" s="701"/>
      <c r="F1087" s="701"/>
      <c r="G1087" s="226" t="s">
        <v>129</v>
      </c>
      <c r="H1087" s="226">
        <v>1</v>
      </c>
      <c r="I1087" s="226">
        <v>126.96</v>
      </c>
      <c r="L1087" s="226">
        <v>126.96</v>
      </c>
    </row>
    <row r="1088" spans="1:12" ht="10.95" customHeight="1" x14ac:dyDescent="0.3">
      <c r="A1088" s="226" t="s">
        <v>684</v>
      </c>
      <c r="B1088" s="227" t="s">
        <v>1013</v>
      </c>
      <c r="C1088" s="226" t="s">
        <v>684</v>
      </c>
      <c r="D1088" s="701" t="s">
        <v>738</v>
      </c>
      <c r="E1088" s="701"/>
      <c r="F1088" s="701"/>
      <c r="G1088" s="226" t="s">
        <v>129</v>
      </c>
      <c r="H1088" s="226">
        <v>1</v>
      </c>
      <c r="I1088" s="226">
        <v>105</v>
      </c>
      <c r="L1088" s="226">
        <v>105</v>
      </c>
    </row>
    <row r="1089" spans="1:12" ht="10.95" customHeight="1" x14ac:dyDescent="0.3">
      <c r="A1089" s="226" t="s">
        <v>684</v>
      </c>
      <c r="B1089" s="227" t="s">
        <v>1014</v>
      </c>
      <c r="C1089" s="226" t="s">
        <v>684</v>
      </c>
      <c r="D1089" s="701" t="s">
        <v>738</v>
      </c>
      <c r="E1089" s="701"/>
      <c r="F1089" s="701"/>
      <c r="G1089" s="226" t="s">
        <v>129</v>
      </c>
      <c r="H1089" s="226">
        <v>1</v>
      </c>
      <c r="I1089" s="226">
        <v>106</v>
      </c>
      <c r="L1089" s="226">
        <v>106</v>
      </c>
    </row>
    <row r="1090" spans="1:12" ht="10.95" customHeight="1" x14ac:dyDescent="0.3">
      <c r="A1090" s="226" t="s">
        <v>684</v>
      </c>
      <c r="B1090" s="227" t="s">
        <v>1015</v>
      </c>
      <c r="C1090" s="226" t="s">
        <v>684</v>
      </c>
      <c r="D1090" s="701" t="s">
        <v>738</v>
      </c>
      <c r="E1090" s="701"/>
      <c r="F1090" s="701"/>
      <c r="G1090" s="226" t="s">
        <v>129</v>
      </c>
      <c r="H1090" s="226">
        <v>1</v>
      </c>
      <c r="I1090" s="226">
        <v>47.54</v>
      </c>
      <c r="L1090" s="226">
        <v>47.54</v>
      </c>
    </row>
    <row r="1091" spans="1:12" ht="10.95" customHeight="1" x14ac:dyDescent="0.3">
      <c r="A1091" s="226" t="s">
        <v>684</v>
      </c>
      <c r="B1091" s="227" t="s">
        <v>1015</v>
      </c>
      <c r="C1091" s="226" t="s">
        <v>684</v>
      </c>
      <c r="D1091" s="701" t="s">
        <v>738</v>
      </c>
      <c r="E1091" s="701"/>
      <c r="F1091" s="701"/>
      <c r="G1091" s="226" t="s">
        <v>129</v>
      </c>
      <c r="H1091" s="226">
        <v>1</v>
      </c>
      <c r="I1091" s="226">
        <v>47.54</v>
      </c>
      <c r="L1091" s="226">
        <v>47.54</v>
      </c>
    </row>
    <row r="1092" spans="1:12" ht="10.95" customHeight="1" x14ac:dyDescent="0.3">
      <c r="A1092" s="226" t="s">
        <v>684</v>
      </c>
      <c r="B1092" s="227" t="s">
        <v>1007</v>
      </c>
      <c r="C1092" s="226" t="s">
        <v>684</v>
      </c>
      <c r="D1092" s="701" t="s">
        <v>738</v>
      </c>
      <c r="E1092" s="701"/>
      <c r="F1092" s="701"/>
      <c r="G1092" s="226" t="s">
        <v>129</v>
      </c>
      <c r="H1092" s="226">
        <v>1</v>
      </c>
      <c r="I1092" s="226">
        <v>47.54</v>
      </c>
      <c r="L1092" s="226">
        <v>47.54</v>
      </c>
    </row>
    <row r="1093" spans="1:12" ht="10.95" customHeight="1" x14ac:dyDescent="0.3">
      <c r="A1093" s="226" t="s">
        <v>684</v>
      </c>
      <c r="B1093" s="227" t="s">
        <v>1008</v>
      </c>
      <c r="C1093" s="226" t="s">
        <v>684</v>
      </c>
      <c r="D1093" s="701" t="s">
        <v>738</v>
      </c>
      <c r="E1093" s="701"/>
      <c r="F1093" s="701"/>
      <c r="G1093" s="226" t="s">
        <v>129</v>
      </c>
      <c r="H1093" s="226">
        <v>1</v>
      </c>
      <c r="I1093" s="226">
        <v>40.25</v>
      </c>
      <c r="L1093" s="226">
        <v>40.25</v>
      </c>
    </row>
    <row r="1094" spans="1:12" ht="10.95" customHeight="1" x14ac:dyDescent="0.3">
      <c r="A1094" s="226" t="s">
        <v>684</v>
      </c>
      <c r="B1094" s="227" t="s">
        <v>1009</v>
      </c>
      <c r="C1094" s="226" t="s">
        <v>684</v>
      </c>
      <c r="D1094" s="701" t="s">
        <v>738</v>
      </c>
      <c r="E1094" s="701"/>
      <c r="F1094" s="701"/>
      <c r="G1094" s="226" t="s">
        <v>129</v>
      </c>
      <c r="H1094" s="226">
        <v>1</v>
      </c>
      <c r="I1094" s="226">
        <v>46</v>
      </c>
      <c r="L1094" s="226">
        <v>46</v>
      </c>
    </row>
    <row r="1095" spans="1:12" ht="10.95" customHeight="1" x14ac:dyDescent="0.3">
      <c r="A1095" s="226" t="s">
        <v>684</v>
      </c>
      <c r="B1095" s="227" t="s">
        <v>1010</v>
      </c>
      <c r="C1095" s="226" t="s">
        <v>684</v>
      </c>
      <c r="D1095" s="701" t="s">
        <v>738</v>
      </c>
      <c r="E1095" s="701"/>
      <c r="F1095" s="701"/>
      <c r="G1095" s="226" t="s">
        <v>129</v>
      </c>
      <c r="H1095" s="226">
        <v>1</v>
      </c>
      <c r="I1095" s="226">
        <v>39</v>
      </c>
      <c r="L1095" s="226">
        <v>39</v>
      </c>
    </row>
    <row r="1096" spans="1:12" ht="10.95" customHeight="1" x14ac:dyDescent="0.3">
      <c r="A1096" s="226" t="s">
        <v>684</v>
      </c>
      <c r="B1096" s="227" t="s">
        <v>1016</v>
      </c>
      <c r="C1096" s="226" t="s">
        <v>684</v>
      </c>
      <c r="D1096" s="701" t="s">
        <v>738</v>
      </c>
      <c r="E1096" s="701"/>
      <c r="F1096" s="701"/>
      <c r="G1096" s="226" t="s">
        <v>129</v>
      </c>
      <c r="H1096" s="226">
        <v>1</v>
      </c>
      <c r="I1096" s="226">
        <v>36.799999999999997</v>
      </c>
      <c r="L1096" s="226">
        <v>36.799999999999997</v>
      </c>
    </row>
    <row r="1097" spans="1:12" ht="10.95" customHeight="1" x14ac:dyDescent="0.3">
      <c r="A1097" s="226" t="s">
        <v>684</v>
      </c>
      <c r="B1097" s="227" t="s">
        <v>1017</v>
      </c>
      <c r="C1097" s="226" t="s">
        <v>684</v>
      </c>
      <c r="D1097" s="701" t="s">
        <v>738</v>
      </c>
      <c r="E1097" s="701"/>
      <c r="F1097" s="701"/>
      <c r="G1097" s="226" t="s">
        <v>129</v>
      </c>
      <c r="H1097" s="226">
        <v>1</v>
      </c>
      <c r="I1097" s="226">
        <v>33</v>
      </c>
      <c r="L1097" s="226">
        <v>33</v>
      </c>
    </row>
    <row r="1098" spans="1:12" ht="10.95" customHeight="1" x14ac:dyDescent="0.3">
      <c r="A1098" s="226" t="s">
        <v>684</v>
      </c>
      <c r="B1098" s="227" t="s">
        <v>1011</v>
      </c>
      <c r="C1098" s="226" t="s">
        <v>684</v>
      </c>
      <c r="D1098" s="701" t="s">
        <v>738</v>
      </c>
      <c r="E1098" s="701"/>
      <c r="F1098" s="701"/>
      <c r="G1098" s="226" t="s">
        <v>129</v>
      </c>
      <c r="H1098" s="226">
        <v>1</v>
      </c>
      <c r="I1098" s="226">
        <v>47</v>
      </c>
      <c r="L1098" s="226">
        <v>47</v>
      </c>
    </row>
    <row r="1099" spans="1:12" ht="10.95" customHeight="1" x14ac:dyDescent="0.3">
      <c r="A1099" s="226" t="s">
        <v>684</v>
      </c>
      <c r="B1099" s="227" t="s">
        <v>1012</v>
      </c>
      <c r="C1099" s="226" t="s">
        <v>684</v>
      </c>
      <c r="D1099" s="701" t="s">
        <v>738</v>
      </c>
      <c r="E1099" s="701"/>
      <c r="F1099" s="701"/>
      <c r="G1099" s="226" t="s">
        <v>129</v>
      </c>
      <c r="H1099" s="226">
        <v>1</v>
      </c>
      <c r="I1099" s="226">
        <v>40.5</v>
      </c>
      <c r="L1099" s="226">
        <v>40.5</v>
      </c>
    </row>
    <row r="1100" spans="1:12" ht="10.95" customHeight="1" x14ac:dyDescent="0.3">
      <c r="A1100" s="226" t="s">
        <v>684</v>
      </c>
      <c r="B1100" s="227" t="s">
        <v>1018</v>
      </c>
      <c r="C1100" s="226" t="s">
        <v>684</v>
      </c>
      <c r="D1100" s="701" t="s">
        <v>738</v>
      </c>
      <c r="E1100" s="701"/>
      <c r="F1100" s="701"/>
      <c r="G1100" s="226" t="s">
        <v>129</v>
      </c>
      <c r="H1100" s="226">
        <v>1</v>
      </c>
      <c r="I1100" s="226">
        <v>66</v>
      </c>
      <c r="L1100" s="226">
        <v>66</v>
      </c>
    </row>
    <row r="1101" spans="1:12" ht="10.95" customHeight="1" x14ac:dyDescent="0.3">
      <c r="A1101" s="226" t="s">
        <v>684</v>
      </c>
      <c r="B1101" s="227" t="s">
        <v>1019</v>
      </c>
      <c r="C1101" s="226" t="s">
        <v>684</v>
      </c>
      <c r="D1101" s="701" t="s">
        <v>738</v>
      </c>
      <c r="E1101" s="701"/>
      <c r="F1101" s="701"/>
      <c r="G1101" s="226" t="s">
        <v>129</v>
      </c>
      <c r="H1101" s="226">
        <v>1</v>
      </c>
      <c r="I1101" s="226">
        <v>42</v>
      </c>
      <c r="L1101" s="226">
        <v>42</v>
      </c>
    </row>
    <row r="1102" spans="1:12" ht="10.95" customHeight="1" x14ac:dyDescent="0.3">
      <c r="A1102" s="156" t="s">
        <v>684</v>
      </c>
      <c r="B1102" s="227" t="s">
        <v>1026</v>
      </c>
      <c r="C1102" s="226" t="s">
        <v>666</v>
      </c>
      <c r="D1102" s="701" t="s">
        <v>729</v>
      </c>
      <c r="E1102" s="701"/>
      <c r="F1102" s="701"/>
      <c r="G1102" s="226" t="s">
        <v>129</v>
      </c>
      <c r="H1102" s="226">
        <v>1</v>
      </c>
      <c r="I1102" s="226">
        <v>85.33</v>
      </c>
      <c r="L1102" s="226">
        <v>85.33</v>
      </c>
    </row>
    <row r="1103" spans="1:12" ht="10.95" customHeight="1" x14ac:dyDescent="0.3">
      <c r="A1103" s="156" t="s">
        <v>684</v>
      </c>
      <c r="B1103" s="227" t="s">
        <v>1027</v>
      </c>
      <c r="C1103" s="226" t="s">
        <v>666</v>
      </c>
      <c r="D1103" s="701" t="s">
        <v>729</v>
      </c>
      <c r="E1103" s="701"/>
      <c r="F1103" s="701"/>
      <c r="G1103" s="226" t="s">
        <v>129</v>
      </c>
      <c r="H1103" s="226">
        <v>1</v>
      </c>
      <c r="I1103" s="226">
        <v>32.21</v>
      </c>
      <c r="L1103" s="226">
        <v>32.21</v>
      </c>
    </row>
    <row r="1104" spans="1:12" ht="10.95" customHeight="1" x14ac:dyDescent="0.3">
      <c r="A1104" s="156" t="s">
        <v>684</v>
      </c>
      <c r="B1104" s="227" t="s">
        <v>1028</v>
      </c>
      <c r="C1104" s="226" t="s">
        <v>666</v>
      </c>
      <c r="D1104" s="701" t="s">
        <v>729</v>
      </c>
      <c r="E1104" s="701"/>
      <c r="F1104" s="701"/>
      <c r="G1104" s="226" t="s">
        <v>129</v>
      </c>
      <c r="H1104" s="226">
        <v>1</v>
      </c>
      <c r="I1104" s="226">
        <v>30.67</v>
      </c>
      <c r="L1104" s="226">
        <v>30.67</v>
      </c>
    </row>
    <row r="1105" spans="1:12" ht="10.95" customHeight="1" x14ac:dyDescent="0.3">
      <c r="A1105" s="156" t="s">
        <v>684</v>
      </c>
      <c r="B1105" s="227" t="s">
        <v>1029</v>
      </c>
      <c r="C1105" s="226" t="s">
        <v>666</v>
      </c>
      <c r="D1105" s="701" t="s">
        <v>729</v>
      </c>
      <c r="E1105" s="701"/>
      <c r="F1105" s="701"/>
      <c r="G1105" s="226" t="s">
        <v>129</v>
      </c>
      <c r="H1105" s="226">
        <v>1</v>
      </c>
      <c r="I1105" s="226">
        <v>32.65</v>
      </c>
      <c r="L1105" s="226">
        <v>32.65</v>
      </c>
    </row>
    <row r="1106" spans="1:12" ht="10.95" customHeight="1" x14ac:dyDescent="0.3">
      <c r="A1106" s="156" t="s">
        <v>684</v>
      </c>
      <c r="B1106" s="227" t="s">
        <v>1030</v>
      </c>
      <c r="C1106" s="226" t="s">
        <v>666</v>
      </c>
      <c r="D1106" s="701" t="s">
        <v>729</v>
      </c>
      <c r="E1106" s="701"/>
      <c r="F1106" s="701"/>
      <c r="G1106" s="226" t="s">
        <v>129</v>
      </c>
      <c r="H1106" s="226">
        <v>1</v>
      </c>
      <c r="I1106" s="226">
        <v>59.29</v>
      </c>
      <c r="L1106" s="226">
        <v>59.29</v>
      </c>
    </row>
    <row r="1107" spans="1:12" ht="10.95" customHeight="1" x14ac:dyDescent="0.3">
      <c r="A1107" s="156" t="s">
        <v>684</v>
      </c>
      <c r="B1107" s="227" t="s">
        <v>1031</v>
      </c>
      <c r="C1107" s="226" t="s">
        <v>666</v>
      </c>
      <c r="D1107" s="701" t="s">
        <v>729</v>
      </c>
      <c r="E1107" s="701"/>
      <c r="F1107" s="701"/>
      <c r="G1107" s="226" t="s">
        <v>129</v>
      </c>
      <c r="H1107" s="226">
        <v>1</v>
      </c>
      <c r="I1107" s="226">
        <v>32.65</v>
      </c>
      <c r="L1107" s="226">
        <v>32.65</v>
      </c>
    </row>
    <row r="1108" spans="1:12" ht="10.95" customHeight="1" x14ac:dyDescent="0.3">
      <c r="A1108" s="156" t="s">
        <v>684</v>
      </c>
      <c r="B1108" s="227" t="s">
        <v>1030</v>
      </c>
      <c r="C1108" s="226" t="s">
        <v>666</v>
      </c>
      <c r="D1108" s="701" t="s">
        <v>729</v>
      </c>
      <c r="E1108" s="701"/>
      <c r="F1108" s="701"/>
      <c r="G1108" s="226" t="s">
        <v>129</v>
      </c>
      <c r="H1108" s="226">
        <v>1</v>
      </c>
      <c r="I1108" s="226">
        <v>59.29</v>
      </c>
      <c r="L1108" s="226">
        <v>59.29</v>
      </c>
    </row>
    <row r="1109" spans="1:12" ht="10.95" customHeight="1" x14ac:dyDescent="0.3">
      <c r="A1109" s="156" t="s">
        <v>666</v>
      </c>
      <c r="B1109" s="227" t="s">
        <v>1032</v>
      </c>
      <c r="C1109" s="226" t="s">
        <v>666</v>
      </c>
      <c r="D1109" s="701" t="s">
        <v>729</v>
      </c>
      <c r="E1109" s="701"/>
      <c r="F1109" s="701"/>
      <c r="G1109" s="226" t="s">
        <v>129</v>
      </c>
      <c r="H1109" s="226">
        <v>1</v>
      </c>
      <c r="I1109" s="226">
        <v>143</v>
      </c>
      <c r="L1109" s="226">
        <v>143</v>
      </c>
    </row>
    <row r="1110" spans="1:12" ht="10.95" customHeight="1" x14ac:dyDescent="0.3">
      <c r="A1110" s="156" t="s">
        <v>666</v>
      </c>
      <c r="B1110" s="227" t="s">
        <v>1033</v>
      </c>
      <c r="C1110" s="226" t="s">
        <v>666</v>
      </c>
      <c r="D1110" s="701" t="s">
        <v>729</v>
      </c>
      <c r="E1110" s="701"/>
      <c r="F1110" s="701"/>
      <c r="G1110" s="226" t="s">
        <v>129</v>
      </c>
      <c r="H1110" s="226">
        <v>1</v>
      </c>
      <c r="I1110" s="226">
        <v>40.5</v>
      </c>
      <c r="L1110" s="226">
        <v>40.5</v>
      </c>
    </row>
    <row r="1111" spans="1:12" ht="10.95" customHeight="1" x14ac:dyDescent="0.3">
      <c r="A1111" s="156" t="s">
        <v>666</v>
      </c>
      <c r="B1111" s="227" t="s">
        <v>1034</v>
      </c>
      <c r="C1111" s="226" t="s">
        <v>666</v>
      </c>
      <c r="D1111" s="701" t="s">
        <v>729</v>
      </c>
      <c r="E1111" s="701"/>
      <c r="F1111" s="701"/>
      <c r="G1111" s="226" t="s">
        <v>129</v>
      </c>
      <c r="H1111" s="226">
        <v>1</v>
      </c>
      <c r="I1111" s="226">
        <v>41.3</v>
      </c>
      <c r="L1111" s="226">
        <v>41.3</v>
      </c>
    </row>
    <row r="1112" spans="1:12" ht="12" customHeight="1" x14ac:dyDescent="0.3">
      <c r="J1112" s="701" t="s">
        <v>203</v>
      </c>
      <c r="K1112" s="701"/>
      <c r="L1112" s="226">
        <v>1428.02</v>
      </c>
    </row>
    <row r="1113" spans="1:12" ht="12" customHeight="1" x14ac:dyDescent="0.3">
      <c r="A1113" s="156"/>
      <c r="B1113" s="701"/>
      <c r="C1113" s="701"/>
      <c r="D1113" s="701"/>
      <c r="E1113" s="701"/>
      <c r="F1113" s="701"/>
      <c r="G1113" s="226"/>
      <c r="H1113" s="226"/>
    </row>
    <row r="1114" spans="1:12" ht="25.5" customHeight="1" x14ac:dyDescent="0.3">
      <c r="A1114" s="226" t="s">
        <v>11</v>
      </c>
      <c r="B1114" s="226" t="s">
        <v>221</v>
      </c>
      <c r="C1114" s="701" t="s">
        <v>35</v>
      </c>
      <c r="D1114" s="701"/>
      <c r="E1114" s="702" t="s">
        <v>1259</v>
      </c>
      <c r="F1114" s="702"/>
      <c r="G1114" s="702"/>
      <c r="H1114" s="702"/>
      <c r="I1114" s="226" t="s">
        <v>105</v>
      </c>
      <c r="J1114" s="226" t="s">
        <v>129</v>
      </c>
      <c r="K1114" s="226" t="s">
        <v>13</v>
      </c>
      <c r="L1114" s="231">
        <v>1228.6500000000001</v>
      </c>
    </row>
    <row r="1115" spans="1:12" ht="12" customHeight="1" x14ac:dyDescent="0.3"/>
    <row r="1116" spans="1:12" ht="12" customHeight="1" x14ac:dyDescent="0.3">
      <c r="A1116" s="234" t="s">
        <v>201</v>
      </c>
      <c r="B1116" s="703" t="s">
        <v>35</v>
      </c>
      <c r="C1116" s="703"/>
      <c r="D1116" s="235" t="s">
        <v>193</v>
      </c>
      <c r="E1116" s="235"/>
      <c r="F1116" s="235"/>
      <c r="G1116" s="234" t="s">
        <v>12</v>
      </c>
      <c r="H1116" s="234" t="s">
        <v>194</v>
      </c>
      <c r="I1116" s="234" t="s">
        <v>196</v>
      </c>
      <c r="J1116" s="234" t="s">
        <v>195</v>
      </c>
      <c r="K1116" s="234" t="s">
        <v>197</v>
      </c>
      <c r="L1116" s="234" t="s">
        <v>198</v>
      </c>
    </row>
    <row r="1117" spans="1:12" ht="12" customHeight="1" x14ac:dyDescent="0.3">
      <c r="A1117" s="226" t="s">
        <v>684</v>
      </c>
      <c r="B1117" s="227" t="s">
        <v>1020</v>
      </c>
      <c r="C1117" s="226" t="s">
        <v>684</v>
      </c>
      <c r="D1117" s="701" t="s">
        <v>738</v>
      </c>
      <c r="E1117" s="701"/>
      <c r="F1117" s="701"/>
      <c r="G1117" s="226" t="s">
        <v>129</v>
      </c>
      <c r="H1117" s="226">
        <v>1</v>
      </c>
      <c r="I1117" s="226">
        <v>110</v>
      </c>
      <c r="L1117" s="226">
        <v>110</v>
      </c>
    </row>
    <row r="1118" spans="1:12" ht="12" customHeight="1" x14ac:dyDescent="0.3">
      <c r="A1118" s="226" t="s">
        <v>684</v>
      </c>
      <c r="B1118" s="227" t="s">
        <v>1021</v>
      </c>
      <c r="C1118" s="226" t="s">
        <v>684</v>
      </c>
      <c r="D1118" s="701" t="s">
        <v>738</v>
      </c>
      <c r="E1118" s="701"/>
      <c r="F1118" s="701"/>
      <c r="G1118" s="226" t="s">
        <v>129</v>
      </c>
      <c r="H1118" s="226">
        <v>1</v>
      </c>
      <c r="I1118" s="226">
        <v>107</v>
      </c>
      <c r="L1118" s="226">
        <v>107</v>
      </c>
    </row>
    <row r="1119" spans="1:12" ht="12" customHeight="1" x14ac:dyDescent="0.3">
      <c r="A1119" s="226" t="s">
        <v>684</v>
      </c>
      <c r="B1119" s="227" t="s">
        <v>1022</v>
      </c>
      <c r="C1119" s="226" t="s">
        <v>684</v>
      </c>
      <c r="D1119" s="701" t="s">
        <v>738</v>
      </c>
      <c r="E1119" s="701"/>
      <c r="F1119" s="701"/>
      <c r="G1119" s="226" t="s">
        <v>129</v>
      </c>
      <c r="H1119" s="226">
        <v>1</v>
      </c>
      <c r="I1119" s="226">
        <v>103</v>
      </c>
      <c r="J1119" s="227"/>
      <c r="K1119" s="227"/>
      <c r="L1119" s="226">
        <v>103</v>
      </c>
    </row>
    <row r="1120" spans="1:12" ht="12" customHeight="1" x14ac:dyDescent="0.3">
      <c r="A1120" s="226" t="s">
        <v>684</v>
      </c>
      <c r="B1120" s="227" t="s">
        <v>1023</v>
      </c>
      <c r="C1120" s="226" t="s">
        <v>684</v>
      </c>
      <c r="D1120" s="701" t="s">
        <v>738</v>
      </c>
      <c r="E1120" s="701"/>
      <c r="F1120" s="701"/>
      <c r="G1120" s="226" t="s">
        <v>129</v>
      </c>
      <c r="H1120" s="226">
        <v>1</v>
      </c>
      <c r="I1120" s="226">
        <v>110.8</v>
      </c>
      <c r="J1120" s="227"/>
      <c r="K1120" s="227"/>
      <c r="L1120" s="226">
        <v>110.8</v>
      </c>
    </row>
    <row r="1121" spans="1:12" ht="12" customHeight="1" x14ac:dyDescent="0.3">
      <c r="A1121" s="226" t="s">
        <v>684</v>
      </c>
      <c r="B1121" s="227" t="s">
        <v>1024</v>
      </c>
      <c r="C1121" s="226" t="s">
        <v>684</v>
      </c>
      <c r="D1121" s="701" t="s">
        <v>738</v>
      </c>
      <c r="E1121" s="701"/>
      <c r="F1121" s="701"/>
      <c r="G1121" s="226" t="s">
        <v>129</v>
      </c>
      <c r="H1121" s="226">
        <v>1</v>
      </c>
      <c r="I1121" s="226">
        <v>114</v>
      </c>
      <c r="J1121" s="227"/>
      <c r="K1121" s="227"/>
      <c r="L1121" s="226">
        <v>114</v>
      </c>
    </row>
    <row r="1122" spans="1:12" ht="13.2" customHeight="1" x14ac:dyDescent="0.3">
      <c r="A1122" s="226" t="s">
        <v>684</v>
      </c>
      <c r="B1122" s="227" t="s">
        <v>1025</v>
      </c>
      <c r="C1122" s="226" t="s">
        <v>684</v>
      </c>
      <c r="D1122" s="701" t="s">
        <v>738</v>
      </c>
      <c r="E1122" s="701"/>
      <c r="F1122" s="701"/>
      <c r="G1122" s="226" t="s">
        <v>129</v>
      </c>
      <c r="H1122" s="226">
        <v>1</v>
      </c>
      <c r="I1122" s="226">
        <v>106</v>
      </c>
      <c r="L1122" s="226">
        <v>106</v>
      </c>
    </row>
    <row r="1123" spans="1:12" ht="13.2" customHeight="1" x14ac:dyDescent="0.3">
      <c r="A1123" s="226" t="s">
        <v>1195</v>
      </c>
      <c r="B1123" s="227" t="s">
        <v>1217</v>
      </c>
      <c r="C1123" s="226" t="s">
        <v>1195</v>
      </c>
      <c r="D1123" s="701" t="s">
        <v>1160</v>
      </c>
      <c r="E1123" s="701"/>
      <c r="F1123" s="701"/>
      <c r="G1123" s="226" t="s">
        <v>129</v>
      </c>
      <c r="H1123" s="226">
        <v>1</v>
      </c>
      <c r="I1123" s="226">
        <v>126</v>
      </c>
      <c r="L1123" s="226">
        <v>126</v>
      </c>
    </row>
    <row r="1124" spans="1:12" ht="13.2" customHeight="1" x14ac:dyDescent="0.3">
      <c r="A1124" s="226" t="s">
        <v>1195</v>
      </c>
      <c r="B1124" s="227" t="s">
        <v>1218</v>
      </c>
      <c r="C1124" s="226" t="s">
        <v>1195</v>
      </c>
      <c r="D1124" s="701" t="s">
        <v>1160</v>
      </c>
      <c r="E1124" s="701"/>
      <c r="F1124" s="701"/>
      <c r="G1124" s="226" t="s">
        <v>129</v>
      </c>
      <c r="H1124" s="226">
        <v>1</v>
      </c>
      <c r="I1124" s="226">
        <v>89</v>
      </c>
      <c r="L1124" s="226">
        <v>89</v>
      </c>
    </row>
    <row r="1125" spans="1:12" ht="13.2" customHeight="1" x14ac:dyDescent="0.3">
      <c r="A1125" s="226" t="s">
        <v>1195</v>
      </c>
      <c r="B1125" s="227" t="s">
        <v>1219</v>
      </c>
      <c r="C1125" s="226" t="s">
        <v>1195</v>
      </c>
      <c r="D1125" s="701" t="s">
        <v>1160</v>
      </c>
      <c r="E1125" s="701"/>
      <c r="F1125" s="701"/>
      <c r="G1125" s="226" t="s">
        <v>129</v>
      </c>
      <c r="H1125" s="226">
        <v>1</v>
      </c>
      <c r="I1125" s="226">
        <v>120.85</v>
      </c>
      <c r="L1125" s="226">
        <v>120.85</v>
      </c>
    </row>
    <row r="1126" spans="1:12" ht="13.2" customHeight="1" x14ac:dyDescent="0.3">
      <c r="A1126" s="226" t="s">
        <v>1195</v>
      </c>
      <c r="B1126" s="227" t="s">
        <v>1220</v>
      </c>
      <c r="C1126" s="226" t="s">
        <v>1195</v>
      </c>
      <c r="D1126" s="701" t="s">
        <v>1160</v>
      </c>
      <c r="E1126" s="701"/>
      <c r="F1126" s="701"/>
      <c r="G1126" s="226" t="s">
        <v>129</v>
      </c>
      <c r="H1126" s="226">
        <v>1</v>
      </c>
      <c r="I1126" s="226">
        <v>82</v>
      </c>
      <c r="L1126" s="226">
        <v>82</v>
      </c>
    </row>
    <row r="1127" spans="1:12" ht="13.2" customHeight="1" x14ac:dyDescent="0.3">
      <c r="A1127" s="226" t="s">
        <v>1195</v>
      </c>
      <c r="B1127" s="227" t="s">
        <v>1221</v>
      </c>
      <c r="C1127" s="226" t="s">
        <v>1195</v>
      </c>
      <c r="D1127" s="701" t="s">
        <v>1160</v>
      </c>
      <c r="E1127" s="701"/>
      <c r="F1127" s="701"/>
      <c r="G1127" s="226" t="s">
        <v>129</v>
      </c>
      <c r="H1127" s="226">
        <v>1</v>
      </c>
      <c r="I1127" s="226">
        <v>90</v>
      </c>
      <c r="L1127" s="226">
        <v>90</v>
      </c>
    </row>
    <row r="1128" spans="1:12" ht="13.2" customHeight="1" x14ac:dyDescent="0.3">
      <c r="A1128" s="226" t="s">
        <v>1195</v>
      </c>
      <c r="B1128" s="227" t="s">
        <v>1222</v>
      </c>
      <c r="C1128" s="226" t="s">
        <v>1195</v>
      </c>
      <c r="D1128" s="701" t="s">
        <v>1160</v>
      </c>
      <c r="E1128" s="701"/>
      <c r="F1128" s="701"/>
      <c r="G1128" s="226" t="s">
        <v>129</v>
      </c>
      <c r="H1128" s="226">
        <v>1</v>
      </c>
      <c r="I1128" s="226">
        <v>70</v>
      </c>
      <c r="L1128" s="226">
        <v>70</v>
      </c>
    </row>
    <row r="1129" spans="1:12" ht="13.2" customHeight="1" x14ac:dyDescent="0.3">
      <c r="A1129" s="156"/>
      <c r="B1129" s="226"/>
      <c r="C1129" s="226"/>
      <c r="D1129" s="226"/>
      <c r="E1129" s="226"/>
      <c r="F1129" s="226"/>
      <c r="H1129" s="226"/>
      <c r="J1129" s="701" t="s">
        <v>203</v>
      </c>
      <c r="K1129" s="701"/>
      <c r="L1129" s="226">
        <v>1228.6500000000001</v>
      </c>
    </row>
    <row r="1130" spans="1:12" ht="13.2" customHeight="1" x14ac:dyDescent="0.3">
      <c r="B1130" s="226"/>
      <c r="C1130" s="226"/>
      <c r="D1130" s="226"/>
      <c r="E1130" s="226"/>
      <c r="F1130" s="226"/>
      <c r="H1130" s="226"/>
    </row>
    <row r="1131" spans="1:12" ht="27" customHeight="1" x14ac:dyDescent="0.3">
      <c r="A1131" s="226" t="s">
        <v>11</v>
      </c>
      <c r="B1131" s="226" t="s">
        <v>426</v>
      </c>
      <c r="C1131" s="701" t="s">
        <v>35</v>
      </c>
      <c r="D1131" s="701"/>
      <c r="E1131" s="702" t="s">
        <v>1260</v>
      </c>
      <c r="F1131" s="702"/>
      <c r="G1131" s="702"/>
      <c r="H1131" s="702"/>
      <c r="I1131" s="226" t="s">
        <v>105</v>
      </c>
      <c r="J1131" s="226" t="s">
        <v>129</v>
      </c>
      <c r="K1131" s="226" t="s">
        <v>13</v>
      </c>
      <c r="L1131" s="231">
        <v>560</v>
      </c>
    </row>
    <row r="1132" spans="1:12" ht="12" customHeight="1" x14ac:dyDescent="0.3"/>
    <row r="1133" spans="1:12" ht="12" customHeight="1" x14ac:dyDescent="0.3">
      <c r="A1133" s="234" t="s">
        <v>201</v>
      </c>
      <c r="B1133" s="234" t="s">
        <v>200</v>
      </c>
      <c r="C1133" s="235" t="s">
        <v>200</v>
      </c>
      <c r="D1133" s="235" t="s">
        <v>193</v>
      </c>
      <c r="E1133" s="235"/>
      <c r="F1133" s="235"/>
      <c r="G1133" s="234" t="s">
        <v>12</v>
      </c>
      <c r="H1133" s="234" t="s">
        <v>194</v>
      </c>
      <c r="I1133" s="234" t="s">
        <v>196</v>
      </c>
      <c r="J1133" s="234" t="s">
        <v>195</v>
      </c>
      <c r="K1133" s="234" t="s">
        <v>197</v>
      </c>
      <c r="L1133" s="234" t="s">
        <v>198</v>
      </c>
    </row>
    <row r="1134" spans="1:12" ht="12" customHeight="1" x14ac:dyDescent="0.3">
      <c r="A1134" s="226" t="s">
        <v>684</v>
      </c>
      <c r="B1134" s="227" t="s">
        <v>1038</v>
      </c>
      <c r="C1134" s="226" t="s">
        <v>684</v>
      </c>
      <c r="D1134" s="701" t="s">
        <v>738</v>
      </c>
      <c r="E1134" s="701"/>
      <c r="F1134" s="701"/>
      <c r="G1134" s="226" t="s">
        <v>129</v>
      </c>
      <c r="H1134" s="226">
        <v>1</v>
      </c>
      <c r="I1134" s="226">
        <v>48</v>
      </c>
      <c r="J1134" s="226">
        <v>0</v>
      </c>
      <c r="K1134" s="226">
        <v>0</v>
      </c>
      <c r="L1134" s="226">
        <v>48</v>
      </c>
    </row>
    <row r="1135" spans="1:12" ht="12" customHeight="1" x14ac:dyDescent="0.3">
      <c r="A1135" s="226" t="s">
        <v>684</v>
      </c>
      <c r="B1135" s="227" t="s">
        <v>1037</v>
      </c>
      <c r="C1135" s="226" t="s">
        <v>684</v>
      </c>
      <c r="D1135" s="701" t="s">
        <v>738</v>
      </c>
      <c r="E1135" s="701"/>
      <c r="F1135" s="701"/>
      <c r="G1135" s="226" t="s">
        <v>129</v>
      </c>
      <c r="H1135" s="226">
        <v>1</v>
      </c>
      <c r="I1135" s="226">
        <v>51</v>
      </c>
      <c r="J1135" s="226">
        <v>0</v>
      </c>
      <c r="K1135" s="226">
        <v>0</v>
      </c>
      <c r="L1135" s="226">
        <v>51</v>
      </c>
    </row>
    <row r="1136" spans="1:12" ht="12" customHeight="1" x14ac:dyDescent="0.3">
      <c r="A1136" s="226" t="s">
        <v>684</v>
      </c>
      <c r="B1136" s="227" t="s">
        <v>1036</v>
      </c>
      <c r="C1136" s="226" t="s">
        <v>684</v>
      </c>
      <c r="D1136" s="701" t="s">
        <v>738</v>
      </c>
      <c r="E1136" s="701"/>
      <c r="F1136" s="701"/>
      <c r="G1136" s="226" t="s">
        <v>129</v>
      </c>
      <c r="H1136" s="226">
        <v>1</v>
      </c>
      <c r="I1136" s="226">
        <v>50</v>
      </c>
      <c r="J1136" s="226">
        <v>0</v>
      </c>
      <c r="K1136" s="226">
        <v>0</v>
      </c>
      <c r="L1136" s="226">
        <v>50</v>
      </c>
    </row>
    <row r="1137" spans="1:12" ht="12" customHeight="1" x14ac:dyDescent="0.3">
      <c r="A1137" s="226" t="s">
        <v>684</v>
      </c>
      <c r="B1137" s="227" t="s">
        <v>1039</v>
      </c>
      <c r="C1137" s="226" t="s">
        <v>684</v>
      </c>
      <c r="D1137" s="701" t="s">
        <v>738</v>
      </c>
      <c r="E1137" s="701"/>
      <c r="F1137" s="701"/>
      <c r="G1137" s="226" t="s">
        <v>129</v>
      </c>
      <c r="H1137" s="226">
        <v>1</v>
      </c>
      <c r="I1137" s="226">
        <v>110</v>
      </c>
      <c r="J1137" s="226">
        <v>0</v>
      </c>
      <c r="K1137" s="226">
        <v>0</v>
      </c>
      <c r="L1137" s="226">
        <v>110</v>
      </c>
    </row>
    <row r="1138" spans="1:12" ht="12" customHeight="1" x14ac:dyDescent="0.3">
      <c r="A1138" s="156" t="s">
        <v>1195</v>
      </c>
      <c r="B1138" s="227" t="s">
        <v>1212</v>
      </c>
      <c r="C1138" s="226" t="s">
        <v>1195</v>
      </c>
      <c r="D1138" s="701" t="s">
        <v>1160</v>
      </c>
      <c r="E1138" s="701"/>
      <c r="F1138" s="701"/>
      <c r="G1138" s="226" t="s">
        <v>129</v>
      </c>
      <c r="H1138" s="226">
        <v>1</v>
      </c>
      <c r="I1138" s="226">
        <v>42</v>
      </c>
      <c r="J1138" s="226">
        <v>0</v>
      </c>
      <c r="K1138" s="226">
        <v>0</v>
      </c>
      <c r="L1138" s="226">
        <v>42</v>
      </c>
    </row>
    <row r="1139" spans="1:12" ht="12" customHeight="1" x14ac:dyDescent="0.3">
      <c r="A1139" s="156" t="s">
        <v>1195</v>
      </c>
      <c r="B1139" s="227" t="s">
        <v>1213</v>
      </c>
      <c r="C1139" s="226" t="s">
        <v>1195</v>
      </c>
      <c r="D1139" s="701" t="s">
        <v>1160</v>
      </c>
      <c r="E1139" s="701"/>
      <c r="F1139" s="701"/>
      <c r="G1139" s="226" t="s">
        <v>129</v>
      </c>
      <c r="H1139" s="226">
        <v>1</v>
      </c>
      <c r="I1139" s="226">
        <v>68</v>
      </c>
      <c r="J1139" s="226">
        <v>0</v>
      </c>
      <c r="K1139" s="226">
        <v>0</v>
      </c>
      <c r="L1139" s="226">
        <v>68</v>
      </c>
    </row>
    <row r="1140" spans="1:12" ht="12" customHeight="1" x14ac:dyDescent="0.3">
      <c r="A1140" s="156" t="s">
        <v>1195</v>
      </c>
      <c r="B1140" s="227" t="s">
        <v>1214</v>
      </c>
      <c r="C1140" s="226" t="s">
        <v>1195</v>
      </c>
      <c r="D1140" s="701" t="s">
        <v>1160</v>
      </c>
      <c r="E1140" s="701"/>
      <c r="F1140" s="701"/>
      <c r="G1140" s="226" t="s">
        <v>129</v>
      </c>
      <c r="H1140" s="226">
        <v>1</v>
      </c>
      <c r="I1140" s="226">
        <v>55</v>
      </c>
      <c r="J1140" s="226">
        <v>0</v>
      </c>
      <c r="K1140" s="226">
        <v>0</v>
      </c>
      <c r="L1140" s="226">
        <v>55</v>
      </c>
    </row>
    <row r="1141" spans="1:12" ht="12" customHeight="1" x14ac:dyDescent="0.3">
      <c r="A1141" s="156" t="s">
        <v>1195</v>
      </c>
      <c r="B1141" s="227" t="s">
        <v>1215</v>
      </c>
      <c r="C1141" s="226" t="s">
        <v>1195</v>
      </c>
      <c r="D1141" s="701" t="s">
        <v>1160</v>
      </c>
      <c r="E1141" s="701"/>
      <c r="F1141" s="701"/>
      <c r="G1141" s="226" t="s">
        <v>129</v>
      </c>
      <c r="H1141" s="226">
        <v>1</v>
      </c>
      <c r="I1141" s="226">
        <v>56</v>
      </c>
      <c r="J1141" s="226">
        <v>0</v>
      </c>
      <c r="K1141" s="226">
        <v>0</v>
      </c>
      <c r="L1141" s="226">
        <v>56</v>
      </c>
    </row>
    <row r="1142" spans="1:12" ht="12" customHeight="1" x14ac:dyDescent="0.3">
      <c r="A1142" s="156" t="s">
        <v>1195</v>
      </c>
      <c r="B1142" s="227" t="s">
        <v>1216</v>
      </c>
      <c r="C1142" s="226" t="s">
        <v>1195</v>
      </c>
      <c r="D1142" s="701" t="s">
        <v>1160</v>
      </c>
      <c r="E1142" s="701"/>
      <c r="F1142" s="701"/>
      <c r="G1142" s="226" t="s">
        <v>129</v>
      </c>
      <c r="H1142" s="226">
        <v>1</v>
      </c>
      <c r="I1142" s="226">
        <v>79.510000000000005</v>
      </c>
      <c r="J1142" s="226">
        <v>0</v>
      </c>
      <c r="K1142" s="226">
        <v>0</v>
      </c>
      <c r="L1142" s="226">
        <v>79.510000000000005</v>
      </c>
    </row>
    <row r="1143" spans="1:12" ht="12" customHeight="1" x14ac:dyDescent="0.3">
      <c r="A1143" s="156"/>
      <c r="B1143" s="226"/>
      <c r="C1143" s="226"/>
      <c r="D1143" s="226"/>
      <c r="E1143" s="226"/>
      <c r="F1143" s="226"/>
      <c r="J1143" s="701" t="s">
        <v>203</v>
      </c>
      <c r="K1143" s="701"/>
      <c r="L1143" s="226">
        <v>559.51</v>
      </c>
    </row>
    <row r="1144" spans="1:12" ht="12" customHeight="1" x14ac:dyDescent="0.3"/>
    <row r="1145" spans="1:12" ht="27.75" customHeight="1" x14ac:dyDescent="0.3">
      <c r="A1145" s="226" t="s">
        <v>11</v>
      </c>
      <c r="B1145" s="226" t="s">
        <v>412</v>
      </c>
      <c r="C1145" s="701" t="s">
        <v>35</v>
      </c>
      <c r="D1145" s="701"/>
      <c r="E1145" s="702" t="s">
        <v>1261</v>
      </c>
      <c r="F1145" s="702"/>
      <c r="G1145" s="702"/>
      <c r="H1145" s="702"/>
      <c r="I1145" s="226" t="s">
        <v>105</v>
      </c>
      <c r="J1145" s="226" t="s">
        <v>12</v>
      </c>
      <c r="K1145" s="226" t="s">
        <v>13</v>
      </c>
      <c r="L1145" s="231">
        <v>36</v>
      </c>
    </row>
    <row r="1146" spans="1:12" ht="12" customHeight="1" x14ac:dyDescent="0.3"/>
    <row r="1147" spans="1:12" ht="12" customHeight="1" x14ac:dyDescent="0.3">
      <c r="A1147" s="234" t="s">
        <v>201</v>
      </c>
      <c r="B1147" s="234" t="s">
        <v>200</v>
      </c>
      <c r="C1147" s="235" t="s">
        <v>200</v>
      </c>
      <c r="D1147" s="235" t="s">
        <v>193</v>
      </c>
      <c r="E1147" s="235"/>
      <c r="F1147" s="235"/>
      <c r="G1147" s="234" t="s">
        <v>12</v>
      </c>
      <c r="H1147" s="234" t="s">
        <v>194</v>
      </c>
      <c r="I1147" s="234" t="s">
        <v>196</v>
      </c>
      <c r="J1147" s="234" t="s">
        <v>195</v>
      </c>
      <c r="K1147" s="234" t="s">
        <v>197</v>
      </c>
      <c r="L1147" s="234" t="s">
        <v>198</v>
      </c>
    </row>
    <row r="1148" spans="1:12" ht="12" customHeight="1" x14ac:dyDescent="0.3">
      <c r="A1148" s="156" t="s">
        <v>684</v>
      </c>
      <c r="B1148" s="227" t="s">
        <v>1038</v>
      </c>
      <c r="C1148" s="226" t="s">
        <v>684</v>
      </c>
      <c r="D1148" s="701" t="s">
        <v>738</v>
      </c>
      <c r="E1148" s="701"/>
      <c r="F1148" s="701"/>
      <c r="G1148" s="226" t="s">
        <v>12</v>
      </c>
      <c r="H1148" s="226">
        <v>1</v>
      </c>
      <c r="L1148" s="226">
        <v>1</v>
      </c>
    </row>
    <row r="1149" spans="1:12" ht="12" customHeight="1" x14ac:dyDescent="0.3">
      <c r="A1149" s="156" t="s">
        <v>684</v>
      </c>
      <c r="B1149" s="227" t="s">
        <v>1037</v>
      </c>
      <c r="C1149" s="226" t="s">
        <v>684</v>
      </c>
      <c r="D1149" s="701" t="s">
        <v>738</v>
      </c>
      <c r="E1149" s="701"/>
      <c r="F1149" s="701"/>
      <c r="G1149" s="226" t="s">
        <v>12</v>
      </c>
      <c r="H1149" s="226">
        <v>1</v>
      </c>
      <c r="L1149" s="226">
        <v>1</v>
      </c>
    </row>
    <row r="1150" spans="1:12" ht="12" customHeight="1" x14ac:dyDescent="0.3">
      <c r="A1150" s="156" t="s">
        <v>684</v>
      </c>
      <c r="B1150" s="227" t="s">
        <v>1036</v>
      </c>
      <c r="C1150" s="226" t="s">
        <v>684</v>
      </c>
      <c r="D1150" s="701" t="s">
        <v>738</v>
      </c>
      <c r="E1150" s="701"/>
      <c r="F1150" s="701"/>
      <c r="G1150" s="226" t="s">
        <v>12</v>
      </c>
      <c r="H1150" s="226">
        <v>1</v>
      </c>
      <c r="L1150" s="226">
        <v>1</v>
      </c>
    </row>
    <row r="1151" spans="1:12" ht="12" customHeight="1" x14ac:dyDescent="0.3">
      <c r="A1151" s="156" t="s">
        <v>684</v>
      </c>
      <c r="B1151" s="227" t="s">
        <v>1039</v>
      </c>
      <c r="C1151" s="226" t="s">
        <v>684</v>
      </c>
      <c r="D1151" s="701" t="s">
        <v>738</v>
      </c>
      <c r="E1151" s="701"/>
      <c r="F1151" s="701"/>
      <c r="G1151" s="226" t="s">
        <v>12</v>
      </c>
      <c r="H1151" s="226">
        <v>1</v>
      </c>
      <c r="L1151" s="226">
        <v>1</v>
      </c>
    </row>
    <row r="1152" spans="1:12" ht="12" customHeight="1" x14ac:dyDescent="0.3">
      <c r="A1152" s="156" t="s">
        <v>684</v>
      </c>
      <c r="B1152" s="227" t="s">
        <v>1020</v>
      </c>
      <c r="C1152" s="226" t="s">
        <v>684</v>
      </c>
      <c r="D1152" s="701" t="s">
        <v>738</v>
      </c>
      <c r="E1152" s="701"/>
      <c r="F1152" s="701"/>
      <c r="G1152" s="226" t="s">
        <v>12</v>
      </c>
      <c r="H1152" s="226">
        <v>2</v>
      </c>
      <c r="L1152" s="226">
        <v>2</v>
      </c>
    </row>
    <row r="1153" spans="1:12" ht="12" customHeight="1" x14ac:dyDescent="0.3">
      <c r="A1153" s="156" t="s">
        <v>684</v>
      </c>
      <c r="B1153" s="227" t="s">
        <v>1021</v>
      </c>
      <c r="C1153" s="226" t="s">
        <v>684</v>
      </c>
      <c r="D1153" s="701" t="s">
        <v>738</v>
      </c>
      <c r="E1153" s="701"/>
      <c r="F1153" s="701"/>
      <c r="G1153" s="226" t="s">
        <v>12</v>
      </c>
      <c r="H1153" s="226">
        <v>1</v>
      </c>
      <c r="L1153" s="226">
        <v>1</v>
      </c>
    </row>
    <row r="1154" spans="1:12" ht="12" customHeight="1" x14ac:dyDescent="0.3">
      <c r="A1154" s="156" t="s">
        <v>684</v>
      </c>
      <c r="B1154" s="227" t="s">
        <v>1022</v>
      </c>
      <c r="C1154" s="226" t="s">
        <v>684</v>
      </c>
      <c r="D1154" s="701" t="s">
        <v>738</v>
      </c>
      <c r="E1154" s="701"/>
      <c r="F1154" s="701"/>
      <c r="G1154" s="226" t="s">
        <v>12</v>
      </c>
      <c r="H1154" s="226">
        <v>1</v>
      </c>
      <c r="L1154" s="226">
        <v>1</v>
      </c>
    </row>
    <row r="1155" spans="1:12" ht="12" customHeight="1" x14ac:dyDescent="0.3">
      <c r="A1155" s="156" t="s">
        <v>684</v>
      </c>
      <c r="B1155" s="227" t="s">
        <v>1023</v>
      </c>
      <c r="C1155" s="226" t="s">
        <v>684</v>
      </c>
      <c r="D1155" s="701" t="s">
        <v>738</v>
      </c>
      <c r="E1155" s="701"/>
      <c r="F1155" s="701"/>
      <c r="G1155" s="226" t="s">
        <v>12</v>
      </c>
      <c r="H1155" s="226">
        <v>1</v>
      </c>
      <c r="L1155" s="226">
        <v>1</v>
      </c>
    </row>
    <row r="1156" spans="1:12" ht="12" customHeight="1" x14ac:dyDescent="0.3">
      <c r="A1156" s="156" t="s">
        <v>684</v>
      </c>
      <c r="B1156" s="227" t="s">
        <v>1024</v>
      </c>
      <c r="C1156" s="226" t="s">
        <v>684</v>
      </c>
      <c r="D1156" s="701" t="s">
        <v>738</v>
      </c>
      <c r="E1156" s="701"/>
      <c r="F1156" s="701"/>
      <c r="G1156" s="226" t="s">
        <v>12</v>
      </c>
      <c r="H1156" s="226">
        <v>1</v>
      </c>
      <c r="L1156" s="226">
        <v>1</v>
      </c>
    </row>
    <row r="1157" spans="1:12" ht="12" customHeight="1" x14ac:dyDescent="0.3">
      <c r="A1157" s="156" t="s">
        <v>684</v>
      </c>
      <c r="B1157" s="227" t="s">
        <v>1025</v>
      </c>
      <c r="C1157" s="226" t="s">
        <v>684</v>
      </c>
      <c r="D1157" s="701" t="s">
        <v>738</v>
      </c>
      <c r="E1157" s="701"/>
      <c r="F1157" s="701"/>
      <c r="G1157" s="226" t="s">
        <v>12</v>
      </c>
      <c r="H1157" s="226">
        <v>1</v>
      </c>
      <c r="L1157" s="226">
        <v>1</v>
      </c>
    </row>
    <row r="1158" spans="1:12" ht="12" customHeight="1" x14ac:dyDescent="0.3">
      <c r="A1158" s="156" t="s">
        <v>684</v>
      </c>
      <c r="B1158" s="227" t="s">
        <v>1006</v>
      </c>
      <c r="C1158" s="226" t="s">
        <v>684</v>
      </c>
      <c r="D1158" s="701" t="s">
        <v>738</v>
      </c>
      <c r="E1158" s="701"/>
      <c r="F1158" s="701"/>
      <c r="G1158" s="226" t="s">
        <v>12</v>
      </c>
      <c r="H1158" s="226">
        <v>1</v>
      </c>
      <c r="L1158" s="226">
        <v>1</v>
      </c>
    </row>
    <row r="1159" spans="1:12" ht="12" customHeight="1" x14ac:dyDescent="0.3">
      <c r="A1159" s="156" t="s">
        <v>684</v>
      </c>
      <c r="B1159" s="227" t="s">
        <v>1013</v>
      </c>
      <c r="C1159" s="226" t="s">
        <v>684</v>
      </c>
      <c r="D1159" s="701" t="s">
        <v>738</v>
      </c>
      <c r="E1159" s="701"/>
      <c r="F1159" s="701"/>
      <c r="G1159" s="226" t="s">
        <v>12</v>
      </c>
      <c r="H1159" s="226">
        <v>1</v>
      </c>
      <c r="L1159" s="226">
        <v>1</v>
      </c>
    </row>
    <row r="1160" spans="1:12" ht="12" customHeight="1" x14ac:dyDescent="0.3">
      <c r="A1160" s="156" t="s">
        <v>684</v>
      </c>
      <c r="B1160" s="227" t="s">
        <v>1014</v>
      </c>
      <c r="C1160" s="226" t="s">
        <v>684</v>
      </c>
      <c r="D1160" s="701" t="s">
        <v>738</v>
      </c>
      <c r="E1160" s="701"/>
      <c r="F1160" s="701"/>
      <c r="G1160" s="226" t="s">
        <v>12</v>
      </c>
      <c r="H1160" s="226">
        <v>1</v>
      </c>
      <c r="L1160" s="226">
        <v>1</v>
      </c>
    </row>
    <row r="1161" spans="1:12" ht="12" customHeight="1" x14ac:dyDescent="0.3">
      <c r="A1161" s="156" t="s">
        <v>684</v>
      </c>
      <c r="B1161" s="227" t="s">
        <v>1015</v>
      </c>
      <c r="C1161" s="226" t="s">
        <v>684</v>
      </c>
      <c r="D1161" s="701" t="s">
        <v>738</v>
      </c>
      <c r="E1161" s="701"/>
      <c r="F1161" s="701"/>
      <c r="G1161" s="226" t="s">
        <v>12</v>
      </c>
      <c r="H1161" s="226">
        <v>1</v>
      </c>
      <c r="L1161" s="226">
        <v>1</v>
      </c>
    </row>
    <row r="1162" spans="1:12" ht="12" customHeight="1" x14ac:dyDescent="0.3">
      <c r="A1162" s="156" t="s">
        <v>684</v>
      </c>
      <c r="B1162" s="227" t="s">
        <v>1015</v>
      </c>
      <c r="C1162" s="226" t="s">
        <v>684</v>
      </c>
      <c r="D1162" s="701" t="s">
        <v>738</v>
      </c>
      <c r="E1162" s="701"/>
      <c r="F1162" s="701"/>
      <c r="G1162" s="226" t="s">
        <v>12</v>
      </c>
      <c r="H1162" s="226">
        <v>1</v>
      </c>
      <c r="L1162" s="226">
        <v>1</v>
      </c>
    </row>
    <row r="1163" spans="1:12" ht="12" customHeight="1" x14ac:dyDescent="0.3">
      <c r="A1163" s="156" t="s">
        <v>684</v>
      </c>
      <c r="B1163" s="227" t="s">
        <v>1007</v>
      </c>
      <c r="C1163" s="226" t="s">
        <v>684</v>
      </c>
      <c r="D1163" s="701" t="s">
        <v>738</v>
      </c>
      <c r="E1163" s="701"/>
      <c r="F1163" s="701"/>
      <c r="G1163" s="226" t="s">
        <v>12</v>
      </c>
      <c r="H1163" s="226">
        <v>1</v>
      </c>
      <c r="L1163" s="226">
        <v>1</v>
      </c>
    </row>
    <row r="1164" spans="1:12" ht="12" customHeight="1" x14ac:dyDescent="0.3">
      <c r="A1164" s="156" t="s">
        <v>684</v>
      </c>
      <c r="B1164" s="227" t="s">
        <v>1008</v>
      </c>
      <c r="C1164" s="226" t="s">
        <v>684</v>
      </c>
      <c r="D1164" s="701" t="s">
        <v>738</v>
      </c>
      <c r="E1164" s="701"/>
      <c r="F1164" s="701"/>
      <c r="G1164" s="226" t="s">
        <v>12</v>
      </c>
      <c r="H1164" s="226">
        <v>1</v>
      </c>
      <c r="L1164" s="226">
        <v>1</v>
      </c>
    </row>
    <row r="1165" spans="1:12" ht="12" customHeight="1" x14ac:dyDescent="0.3">
      <c r="A1165" s="156" t="s">
        <v>684</v>
      </c>
      <c r="B1165" s="227" t="s">
        <v>1009</v>
      </c>
      <c r="C1165" s="226" t="s">
        <v>684</v>
      </c>
      <c r="D1165" s="701" t="s">
        <v>738</v>
      </c>
      <c r="E1165" s="701"/>
      <c r="F1165" s="701"/>
      <c r="G1165" s="226" t="s">
        <v>12</v>
      </c>
      <c r="H1165" s="226">
        <v>1</v>
      </c>
      <c r="L1165" s="226">
        <v>1</v>
      </c>
    </row>
    <row r="1166" spans="1:12" ht="12" customHeight="1" x14ac:dyDescent="0.3">
      <c r="A1166" s="156" t="s">
        <v>684</v>
      </c>
      <c r="B1166" s="227" t="s">
        <v>1010</v>
      </c>
      <c r="C1166" s="226" t="s">
        <v>684</v>
      </c>
      <c r="D1166" s="701" t="s">
        <v>738</v>
      </c>
      <c r="E1166" s="701"/>
      <c r="F1166" s="701"/>
      <c r="G1166" s="226" t="s">
        <v>12</v>
      </c>
      <c r="H1166" s="226">
        <v>1</v>
      </c>
      <c r="L1166" s="226">
        <v>1</v>
      </c>
    </row>
    <row r="1167" spans="1:12" ht="12" customHeight="1" x14ac:dyDescent="0.3">
      <c r="A1167" s="156" t="s">
        <v>684</v>
      </c>
      <c r="B1167" s="227" t="s">
        <v>1016</v>
      </c>
      <c r="C1167" s="226" t="s">
        <v>684</v>
      </c>
      <c r="D1167" s="701" t="s">
        <v>738</v>
      </c>
      <c r="E1167" s="701"/>
      <c r="F1167" s="701"/>
      <c r="G1167" s="226" t="s">
        <v>12</v>
      </c>
      <c r="H1167" s="226">
        <v>1</v>
      </c>
      <c r="L1167" s="226">
        <v>1</v>
      </c>
    </row>
    <row r="1168" spans="1:12" ht="12" customHeight="1" x14ac:dyDescent="0.3">
      <c r="A1168" s="156" t="s">
        <v>684</v>
      </c>
      <c r="B1168" s="227" t="s">
        <v>1017</v>
      </c>
      <c r="C1168" s="226" t="s">
        <v>684</v>
      </c>
      <c r="D1168" s="701" t="s">
        <v>738</v>
      </c>
      <c r="E1168" s="701"/>
      <c r="F1168" s="701"/>
      <c r="G1168" s="226" t="s">
        <v>12</v>
      </c>
      <c r="H1168" s="226">
        <v>1</v>
      </c>
      <c r="L1168" s="226">
        <v>1</v>
      </c>
    </row>
    <row r="1169" spans="1:12" ht="12" customHeight="1" x14ac:dyDescent="0.3">
      <c r="A1169" s="156" t="s">
        <v>684</v>
      </c>
      <c r="B1169" s="227" t="s">
        <v>1011</v>
      </c>
      <c r="C1169" s="226" t="s">
        <v>684</v>
      </c>
      <c r="D1169" s="701" t="s">
        <v>738</v>
      </c>
      <c r="E1169" s="701"/>
      <c r="F1169" s="701"/>
      <c r="G1169" s="226" t="s">
        <v>12</v>
      </c>
      <c r="H1169" s="226">
        <v>1</v>
      </c>
      <c r="L1169" s="226">
        <v>1</v>
      </c>
    </row>
    <row r="1170" spans="1:12" ht="12" customHeight="1" x14ac:dyDescent="0.3">
      <c r="A1170" s="156" t="s">
        <v>684</v>
      </c>
      <c r="B1170" s="227" t="s">
        <v>1012</v>
      </c>
      <c r="C1170" s="226" t="s">
        <v>684</v>
      </c>
      <c r="D1170" s="701" t="s">
        <v>738</v>
      </c>
      <c r="E1170" s="701"/>
      <c r="F1170" s="701"/>
      <c r="G1170" s="226" t="s">
        <v>12</v>
      </c>
      <c r="H1170" s="226">
        <v>1</v>
      </c>
      <c r="L1170" s="226">
        <v>1</v>
      </c>
    </row>
    <row r="1171" spans="1:12" ht="12" customHeight="1" x14ac:dyDescent="0.3">
      <c r="A1171" s="156" t="s">
        <v>684</v>
      </c>
      <c r="B1171" s="227" t="s">
        <v>1018</v>
      </c>
      <c r="C1171" s="226" t="s">
        <v>684</v>
      </c>
      <c r="D1171" s="701" t="s">
        <v>738</v>
      </c>
      <c r="E1171" s="701"/>
      <c r="F1171" s="701"/>
      <c r="G1171" s="226" t="s">
        <v>12</v>
      </c>
      <c r="H1171" s="226">
        <v>1</v>
      </c>
      <c r="L1171" s="226">
        <v>1</v>
      </c>
    </row>
    <row r="1172" spans="1:12" ht="12" customHeight="1" x14ac:dyDescent="0.3">
      <c r="A1172" s="156" t="s">
        <v>684</v>
      </c>
      <c r="B1172" s="227" t="s">
        <v>1019</v>
      </c>
      <c r="C1172" s="226" t="s">
        <v>684</v>
      </c>
      <c r="D1172" s="701" t="s">
        <v>738</v>
      </c>
      <c r="E1172" s="701"/>
      <c r="F1172" s="701"/>
      <c r="G1172" s="226" t="s">
        <v>12</v>
      </c>
      <c r="H1172" s="226">
        <v>1</v>
      </c>
      <c r="L1172" s="226">
        <v>1</v>
      </c>
    </row>
    <row r="1173" spans="1:12" ht="12" customHeight="1" x14ac:dyDescent="0.3">
      <c r="A1173" s="226" t="s">
        <v>666</v>
      </c>
      <c r="B1173" s="227" t="s">
        <v>1026</v>
      </c>
      <c r="C1173" s="226" t="s">
        <v>666</v>
      </c>
      <c r="D1173" s="701" t="s">
        <v>729</v>
      </c>
      <c r="E1173" s="701"/>
      <c r="F1173" s="701"/>
      <c r="G1173" s="226" t="s">
        <v>12</v>
      </c>
      <c r="H1173" s="226">
        <v>1</v>
      </c>
      <c r="L1173" s="226">
        <v>1</v>
      </c>
    </row>
    <row r="1174" spans="1:12" ht="12" customHeight="1" x14ac:dyDescent="0.3">
      <c r="A1174" s="226" t="s">
        <v>666</v>
      </c>
      <c r="B1174" s="227" t="s">
        <v>1027</v>
      </c>
      <c r="C1174" s="226" t="s">
        <v>666</v>
      </c>
      <c r="D1174" s="701" t="s">
        <v>729</v>
      </c>
      <c r="E1174" s="701"/>
      <c r="F1174" s="701"/>
      <c r="G1174" s="226" t="s">
        <v>12</v>
      </c>
      <c r="H1174" s="226">
        <v>1</v>
      </c>
      <c r="L1174" s="226">
        <v>1</v>
      </c>
    </row>
    <row r="1175" spans="1:12" ht="12" customHeight="1" x14ac:dyDescent="0.3">
      <c r="A1175" s="226" t="s">
        <v>666</v>
      </c>
      <c r="B1175" s="227" t="s">
        <v>1028</v>
      </c>
      <c r="C1175" s="226" t="s">
        <v>666</v>
      </c>
      <c r="D1175" s="701" t="s">
        <v>729</v>
      </c>
      <c r="E1175" s="701"/>
      <c r="F1175" s="701"/>
      <c r="G1175" s="226" t="s">
        <v>12</v>
      </c>
      <c r="H1175" s="226">
        <v>1</v>
      </c>
      <c r="L1175" s="226">
        <v>1</v>
      </c>
    </row>
    <row r="1176" spans="1:12" ht="12" customHeight="1" x14ac:dyDescent="0.3">
      <c r="A1176" s="226" t="s">
        <v>666</v>
      </c>
      <c r="B1176" s="227" t="s">
        <v>1029</v>
      </c>
      <c r="C1176" s="226" t="s">
        <v>666</v>
      </c>
      <c r="D1176" s="701" t="s">
        <v>729</v>
      </c>
      <c r="E1176" s="701"/>
      <c r="F1176" s="701"/>
      <c r="G1176" s="226" t="s">
        <v>12</v>
      </c>
      <c r="H1176" s="226">
        <v>1</v>
      </c>
      <c r="L1176" s="226">
        <v>1</v>
      </c>
    </row>
    <row r="1177" spans="1:12" ht="12" customHeight="1" x14ac:dyDescent="0.3">
      <c r="A1177" s="226" t="s">
        <v>666</v>
      </c>
      <c r="B1177" s="227" t="s">
        <v>1030</v>
      </c>
      <c r="C1177" s="226" t="s">
        <v>666</v>
      </c>
      <c r="D1177" s="701" t="s">
        <v>729</v>
      </c>
      <c r="E1177" s="701"/>
      <c r="F1177" s="701"/>
      <c r="G1177" s="226" t="s">
        <v>12</v>
      </c>
      <c r="H1177" s="226">
        <v>1</v>
      </c>
      <c r="L1177" s="226">
        <v>1</v>
      </c>
    </row>
    <row r="1178" spans="1:12" ht="12" customHeight="1" x14ac:dyDescent="0.3">
      <c r="A1178" s="226" t="s">
        <v>666</v>
      </c>
      <c r="B1178" s="227" t="s">
        <v>1031</v>
      </c>
      <c r="C1178" s="226" t="s">
        <v>666</v>
      </c>
      <c r="D1178" s="701" t="s">
        <v>729</v>
      </c>
      <c r="E1178" s="701"/>
      <c r="F1178" s="701"/>
      <c r="G1178" s="226" t="s">
        <v>12</v>
      </c>
      <c r="H1178" s="226">
        <v>1</v>
      </c>
      <c r="L1178" s="226">
        <v>1</v>
      </c>
    </row>
    <row r="1179" spans="1:12" ht="12" customHeight="1" x14ac:dyDescent="0.3">
      <c r="A1179" s="226" t="s">
        <v>666</v>
      </c>
      <c r="B1179" s="227" t="s">
        <v>1030</v>
      </c>
      <c r="C1179" s="226" t="s">
        <v>666</v>
      </c>
      <c r="D1179" s="701" t="s">
        <v>729</v>
      </c>
      <c r="E1179" s="701"/>
      <c r="F1179" s="701"/>
      <c r="G1179" s="226" t="s">
        <v>12</v>
      </c>
      <c r="H1179" s="226">
        <v>1</v>
      </c>
      <c r="L1179" s="226">
        <v>1</v>
      </c>
    </row>
    <row r="1180" spans="1:12" ht="12" customHeight="1" x14ac:dyDescent="0.3">
      <c r="A1180" s="226" t="s">
        <v>666</v>
      </c>
      <c r="B1180" s="227" t="s">
        <v>1032</v>
      </c>
      <c r="C1180" s="226" t="s">
        <v>666</v>
      </c>
      <c r="D1180" s="701" t="s">
        <v>729</v>
      </c>
      <c r="E1180" s="701"/>
      <c r="F1180" s="701"/>
      <c r="G1180" s="226" t="s">
        <v>12</v>
      </c>
      <c r="H1180" s="226">
        <v>1</v>
      </c>
      <c r="L1180" s="226">
        <v>1</v>
      </c>
    </row>
    <row r="1181" spans="1:12" ht="12" customHeight="1" x14ac:dyDescent="0.3">
      <c r="A1181" s="226" t="s">
        <v>666</v>
      </c>
      <c r="B1181" s="227" t="s">
        <v>1033</v>
      </c>
      <c r="C1181" s="226" t="s">
        <v>666</v>
      </c>
      <c r="D1181" s="701" t="s">
        <v>729</v>
      </c>
      <c r="E1181" s="701"/>
      <c r="F1181" s="701"/>
      <c r="G1181" s="226" t="s">
        <v>12</v>
      </c>
      <c r="H1181" s="226">
        <v>1</v>
      </c>
      <c r="L1181" s="226">
        <v>1</v>
      </c>
    </row>
    <row r="1182" spans="1:12" ht="12" customHeight="1" x14ac:dyDescent="0.3">
      <c r="A1182" s="226" t="s">
        <v>666</v>
      </c>
      <c r="B1182" s="227" t="s">
        <v>1034</v>
      </c>
      <c r="C1182" s="226" t="s">
        <v>666</v>
      </c>
      <c r="D1182" s="701" t="s">
        <v>729</v>
      </c>
      <c r="E1182" s="701"/>
      <c r="F1182" s="701"/>
      <c r="G1182" s="226" t="s">
        <v>12</v>
      </c>
      <c r="H1182" s="226">
        <v>1</v>
      </c>
      <c r="L1182" s="226">
        <v>1</v>
      </c>
    </row>
    <row r="1183" spans="1:12" ht="12" customHeight="1" x14ac:dyDescent="0.3">
      <c r="J1183" s="701" t="s">
        <v>203</v>
      </c>
      <c r="K1183" s="701"/>
      <c r="L1183" s="226">
        <v>36</v>
      </c>
    </row>
    <row r="1184" spans="1:12" ht="12" customHeight="1" x14ac:dyDescent="0.3"/>
    <row r="1185" spans="1:12" ht="18" customHeight="1" x14ac:dyDescent="0.3">
      <c r="A1185" s="226" t="s">
        <v>11</v>
      </c>
      <c r="B1185" s="226" t="s">
        <v>413</v>
      </c>
      <c r="C1185" s="701" t="s">
        <v>35</v>
      </c>
      <c r="D1185" s="701"/>
      <c r="E1185" s="702" t="s">
        <v>1262</v>
      </c>
      <c r="F1185" s="702"/>
      <c r="G1185" s="702"/>
      <c r="H1185" s="702"/>
      <c r="I1185" s="226" t="s">
        <v>105</v>
      </c>
      <c r="J1185" s="226" t="s">
        <v>124</v>
      </c>
      <c r="K1185" s="226" t="s">
        <v>13</v>
      </c>
      <c r="L1185" s="231">
        <v>1890</v>
      </c>
    </row>
    <row r="1186" spans="1:12" ht="10.5" customHeight="1" x14ac:dyDescent="0.3"/>
    <row r="1187" spans="1:12" ht="10.5" customHeight="1" x14ac:dyDescent="0.3">
      <c r="A1187" s="234" t="s">
        <v>201</v>
      </c>
      <c r="B1187" s="234" t="s">
        <v>200</v>
      </c>
      <c r="C1187" s="235" t="s">
        <v>200</v>
      </c>
      <c r="D1187" s="235" t="s">
        <v>193</v>
      </c>
      <c r="E1187" s="235"/>
      <c r="F1187" s="235"/>
      <c r="G1187" s="234" t="s">
        <v>12</v>
      </c>
      <c r="H1187" s="234" t="s">
        <v>194</v>
      </c>
      <c r="I1187" s="234" t="s">
        <v>196</v>
      </c>
      <c r="J1187" s="234" t="s">
        <v>195</v>
      </c>
      <c r="K1187" s="234" t="s">
        <v>197</v>
      </c>
      <c r="L1187" s="234" t="s">
        <v>198</v>
      </c>
    </row>
    <row r="1188" spans="1:12" ht="10.5" customHeight="1" x14ac:dyDescent="0.3">
      <c r="A1188" s="156" t="s">
        <v>199</v>
      </c>
      <c r="B1188" s="701" t="s">
        <v>868</v>
      </c>
      <c r="C1188" s="701"/>
      <c r="D1188" s="701" t="s">
        <v>599</v>
      </c>
      <c r="E1188" s="701"/>
      <c r="F1188" s="701"/>
      <c r="G1188" s="226" t="s">
        <v>124</v>
      </c>
      <c r="H1188" s="226">
        <v>1</v>
      </c>
      <c r="I1188" s="226">
        <v>1797</v>
      </c>
      <c r="J1188" s="226">
        <v>0.6</v>
      </c>
      <c r="K1188" s="226">
        <v>0.5</v>
      </c>
      <c r="L1188" s="226">
        <v>539.1</v>
      </c>
    </row>
    <row r="1189" spans="1:12" ht="10.5" customHeight="1" x14ac:dyDescent="0.3">
      <c r="A1189" s="156" t="s">
        <v>199</v>
      </c>
      <c r="B1189" s="701" t="s">
        <v>869</v>
      </c>
      <c r="C1189" s="701"/>
      <c r="D1189" s="701" t="s">
        <v>599</v>
      </c>
      <c r="E1189" s="701"/>
      <c r="F1189" s="701"/>
      <c r="G1189" s="226" t="s">
        <v>124</v>
      </c>
      <c r="H1189" s="226">
        <v>1</v>
      </c>
      <c r="I1189" s="226">
        <v>1428.02</v>
      </c>
      <c r="J1189" s="226">
        <v>0.6</v>
      </c>
      <c r="K1189" s="226">
        <v>0.6</v>
      </c>
      <c r="L1189" s="226">
        <v>514.08719999999994</v>
      </c>
    </row>
    <row r="1190" spans="1:12" ht="10.5" customHeight="1" x14ac:dyDescent="0.3">
      <c r="A1190" s="156" t="s">
        <v>199</v>
      </c>
      <c r="B1190" s="701" t="s">
        <v>870</v>
      </c>
      <c r="C1190" s="701"/>
      <c r="D1190" s="701" t="s">
        <v>599</v>
      </c>
      <c r="E1190" s="701"/>
      <c r="F1190" s="701"/>
      <c r="G1190" s="226" t="s">
        <v>124</v>
      </c>
      <c r="H1190" s="226">
        <v>1</v>
      </c>
      <c r="I1190" s="226">
        <v>1228.6500000000001</v>
      </c>
      <c r="J1190" s="226">
        <v>0.6</v>
      </c>
      <c r="K1190" s="226">
        <v>0.65</v>
      </c>
      <c r="L1190" s="226">
        <v>479.17350000000005</v>
      </c>
    </row>
    <row r="1191" spans="1:12" ht="10.5" customHeight="1" x14ac:dyDescent="0.3">
      <c r="A1191" s="156" t="s">
        <v>199</v>
      </c>
      <c r="B1191" s="701" t="s">
        <v>871</v>
      </c>
      <c r="C1191" s="701"/>
      <c r="D1191" s="701" t="s">
        <v>599</v>
      </c>
      <c r="E1191" s="701"/>
      <c r="F1191" s="701"/>
      <c r="G1191" s="226" t="s">
        <v>124</v>
      </c>
      <c r="H1191" s="226">
        <v>1</v>
      </c>
      <c r="I1191" s="226">
        <v>559.51</v>
      </c>
      <c r="J1191" s="226">
        <v>0.8</v>
      </c>
      <c r="K1191" s="226">
        <v>0.8</v>
      </c>
      <c r="L1191" s="226">
        <v>358.08640000000003</v>
      </c>
    </row>
    <row r="1192" spans="1:12" ht="10.5" customHeight="1" x14ac:dyDescent="0.3">
      <c r="J1192" s="701" t="s">
        <v>203</v>
      </c>
      <c r="K1192" s="701"/>
      <c r="L1192" s="226">
        <v>1890.4470999999999</v>
      </c>
    </row>
    <row r="1193" spans="1:12" ht="10.5" customHeight="1" x14ac:dyDescent="0.3"/>
    <row r="1194" spans="1:12" ht="16.5" customHeight="1" x14ac:dyDescent="0.3">
      <c r="A1194" s="226" t="s">
        <v>11</v>
      </c>
      <c r="B1194" s="226" t="s">
        <v>864</v>
      </c>
      <c r="C1194" s="701" t="s">
        <v>35</v>
      </c>
      <c r="D1194" s="701"/>
      <c r="E1194" s="702" t="s">
        <v>1263</v>
      </c>
      <c r="F1194" s="702"/>
      <c r="G1194" s="702"/>
      <c r="H1194" s="702"/>
      <c r="I1194" s="226" t="s">
        <v>105</v>
      </c>
      <c r="J1194" s="226" t="s">
        <v>124</v>
      </c>
      <c r="K1194" s="226" t="s">
        <v>13</v>
      </c>
      <c r="L1194" s="231">
        <v>1527</v>
      </c>
    </row>
    <row r="1195" spans="1:12" ht="10.5" customHeight="1" x14ac:dyDescent="0.3"/>
    <row r="1196" spans="1:12" ht="10.5" customHeight="1" x14ac:dyDescent="0.3">
      <c r="A1196" s="234" t="s">
        <v>201</v>
      </c>
      <c r="B1196" s="234" t="s">
        <v>200</v>
      </c>
      <c r="C1196" s="235" t="s">
        <v>200</v>
      </c>
      <c r="D1196" s="235" t="s">
        <v>193</v>
      </c>
      <c r="E1196" s="235"/>
      <c r="F1196" s="235"/>
      <c r="G1196" s="234" t="s">
        <v>12</v>
      </c>
      <c r="H1196" s="234" t="s">
        <v>194</v>
      </c>
      <c r="I1196" s="234" t="s">
        <v>196</v>
      </c>
      <c r="J1196" s="234" t="s">
        <v>195</v>
      </c>
      <c r="K1196" s="234" t="s">
        <v>197</v>
      </c>
      <c r="L1196" s="234" t="s">
        <v>198</v>
      </c>
    </row>
    <row r="1197" spans="1:12" ht="10.5" customHeight="1" x14ac:dyDescent="0.3">
      <c r="A1197" s="156" t="s">
        <v>199</v>
      </c>
      <c r="B1197" s="701" t="s">
        <v>868</v>
      </c>
      <c r="C1197" s="701"/>
      <c r="D1197" s="701" t="s">
        <v>599</v>
      </c>
      <c r="E1197" s="701"/>
      <c r="F1197" s="701"/>
      <c r="G1197" s="226" t="s">
        <v>124</v>
      </c>
      <c r="H1197" s="226">
        <v>1</v>
      </c>
      <c r="I1197" s="226">
        <v>1797</v>
      </c>
      <c r="J1197" s="226">
        <v>0.6</v>
      </c>
      <c r="K1197" s="226">
        <v>0.5</v>
      </c>
      <c r="L1197" s="226">
        <v>539.1</v>
      </c>
    </row>
    <row r="1198" spans="1:12" ht="10.5" customHeight="1" x14ac:dyDescent="0.3">
      <c r="A1198" s="156" t="s">
        <v>199</v>
      </c>
      <c r="B1198" s="701" t="s">
        <v>869</v>
      </c>
      <c r="C1198" s="701"/>
      <c r="D1198" s="701" t="s">
        <v>599</v>
      </c>
      <c r="E1198" s="701"/>
      <c r="F1198" s="701"/>
      <c r="G1198" s="226" t="s">
        <v>124</v>
      </c>
      <c r="H1198" s="226">
        <v>1</v>
      </c>
      <c r="I1198" s="226">
        <v>1428.02</v>
      </c>
      <c r="J1198" s="226">
        <v>0.6</v>
      </c>
      <c r="K1198" s="226">
        <v>0.6</v>
      </c>
      <c r="L1198" s="226">
        <v>514.08719999999994</v>
      </c>
    </row>
    <row r="1199" spans="1:12" ht="10.5" customHeight="1" x14ac:dyDescent="0.3">
      <c r="A1199" s="156" t="s">
        <v>199</v>
      </c>
      <c r="B1199" s="701" t="s">
        <v>870</v>
      </c>
      <c r="C1199" s="701"/>
      <c r="D1199" s="701" t="s">
        <v>599</v>
      </c>
      <c r="E1199" s="701"/>
      <c r="F1199" s="701"/>
      <c r="G1199" s="226" t="s">
        <v>124</v>
      </c>
      <c r="H1199" s="226">
        <v>1</v>
      </c>
      <c r="I1199" s="226">
        <v>1228.6500000000001</v>
      </c>
      <c r="J1199" s="226">
        <v>0.6</v>
      </c>
      <c r="K1199" s="226">
        <v>0.4</v>
      </c>
      <c r="L1199" s="226">
        <v>294.87600000000003</v>
      </c>
    </row>
    <row r="1200" spans="1:12" ht="10.5" customHeight="1" x14ac:dyDescent="0.3">
      <c r="A1200" s="156" t="s">
        <v>199</v>
      </c>
      <c r="B1200" s="701" t="s">
        <v>871</v>
      </c>
      <c r="C1200" s="701"/>
      <c r="D1200" s="701" t="s">
        <v>599</v>
      </c>
      <c r="E1200" s="701"/>
      <c r="F1200" s="701"/>
      <c r="G1200" s="226" t="s">
        <v>124</v>
      </c>
      <c r="H1200" s="226">
        <v>1</v>
      </c>
      <c r="I1200" s="226">
        <v>559.51</v>
      </c>
      <c r="J1200" s="226">
        <v>0.8</v>
      </c>
      <c r="K1200" s="226">
        <v>0.4</v>
      </c>
      <c r="L1200" s="226">
        <v>179.04320000000001</v>
      </c>
    </row>
    <row r="1201" spans="1:12" ht="10.5" customHeight="1" x14ac:dyDescent="0.3">
      <c r="J1201" s="701" t="s">
        <v>203</v>
      </c>
      <c r="K1201" s="701"/>
      <c r="L1201" s="226">
        <v>1527.1063999999999</v>
      </c>
    </row>
    <row r="1202" spans="1:12" ht="10.5" customHeight="1" x14ac:dyDescent="0.3"/>
    <row r="1203" spans="1:12" ht="16.5" customHeight="1" x14ac:dyDescent="0.3">
      <c r="A1203" s="226" t="s">
        <v>11</v>
      </c>
      <c r="B1203" s="226" t="s">
        <v>865</v>
      </c>
      <c r="C1203" s="701" t="s">
        <v>35</v>
      </c>
      <c r="D1203" s="701"/>
      <c r="E1203" s="702" t="s">
        <v>1264</v>
      </c>
      <c r="F1203" s="702"/>
      <c r="G1203" s="702"/>
      <c r="H1203" s="702"/>
      <c r="I1203" s="226" t="s">
        <v>105</v>
      </c>
      <c r="J1203" s="226" t="s">
        <v>12</v>
      </c>
      <c r="K1203" s="226" t="s">
        <v>13</v>
      </c>
      <c r="L1203" s="231">
        <v>426</v>
      </c>
    </row>
    <row r="1204" spans="1:12" ht="10.5" customHeight="1" x14ac:dyDescent="0.3"/>
    <row r="1205" spans="1:12" ht="10.5" customHeight="1" x14ac:dyDescent="0.3">
      <c r="A1205" s="234" t="s">
        <v>201</v>
      </c>
      <c r="B1205" s="234" t="s">
        <v>200</v>
      </c>
      <c r="C1205" s="234"/>
      <c r="D1205" s="703" t="s">
        <v>193</v>
      </c>
      <c r="E1205" s="703"/>
      <c r="F1205" s="703"/>
      <c r="G1205" s="234" t="s">
        <v>12</v>
      </c>
      <c r="H1205" s="234" t="s">
        <v>194</v>
      </c>
      <c r="I1205" s="234" t="s">
        <v>196</v>
      </c>
      <c r="J1205" s="234" t="s">
        <v>195</v>
      </c>
      <c r="K1205" s="234" t="s">
        <v>197</v>
      </c>
      <c r="L1205" s="234" t="s">
        <v>198</v>
      </c>
    </row>
    <row r="1206" spans="1:12" ht="10.5" customHeight="1" x14ac:dyDescent="0.3">
      <c r="A1206" s="156" t="s">
        <v>185</v>
      </c>
      <c r="B1206" s="227" t="s">
        <v>875</v>
      </c>
      <c r="C1206" s="226" t="s">
        <v>662</v>
      </c>
      <c r="D1206" s="701" t="s">
        <v>685</v>
      </c>
      <c r="E1206" s="701"/>
      <c r="F1206" s="701"/>
      <c r="G1206" s="226" t="s">
        <v>12</v>
      </c>
      <c r="H1206" s="226">
        <v>2</v>
      </c>
      <c r="L1206" s="226">
        <v>2</v>
      </c>
    </row>
    <row r="1207" spans="1:12" ht="10.5" customHeight="1" x14ac:dyDescent="0.3">
      <c r="A1207" s="156" t="s">
        <v>187</v>
      </c>
      <c r="B1207" s="227" t="s">
        <v>876</v>
      </c>
      <c r="C1207" s="226" t="s">
        <v>662</v>
      </c>
      <c r="D1207" s="701" t="s">
        <v>685</v>
      </c>
      <c r="E1207" s="701"/>
      <c r="F1207" s="701"/>
      <c r="G1207" s="226" t="s">
        <v>12</v>
      </c>
      <c r="H1207" s="226">
        <v>4</v>
      </c>
      <c r="L1207" s="226">
        <v>4</v>
      </c>
    </row>
    <row r="1208" spans="1:12" ht="10.5" customHeight="1" x14ac:dyDescent="0.3">
      <c r="A1208" s="156" t="s">
        <v>482</v>
      </c>
      <c r="B1208" s="227" t="s">
        <v>877</v>
      </c>
      <c r="C1208" s="226" t="s">
        <v>662</v>
      </c>
      <c r="D1208" s="701" t="s">
        <v>685</v>
      </c>
      <c r="E1208" s="701"/>
      <c r="F1208" s="701"/>
      <c r="G1208" s="226" t="s">
        <v>12</v>
      </c>
      <c r="H1208" s="226">
        <v>2</v>
      </c>
      <c r="L1208" s="226">
        <v>2</v>
      </c>
    </row>
    <row r="1209" spans="1:12" ht="10.5" customHeight="1" x14ac:dyDescent="0.3">
      <c r="A1209" s="156" t="s">
        <v>189</v>
      </c>
      <c r="B1209" s="227" t="s">
        <v>878</v>
      </c>
      <c r="C1209" s="226" t="s">
        <v>662</v>
      </c>
      <c r="D1209" s="701" t="s">
        <v>685</v>
      </c>
      <c r="E1209" s="701"/>
      <c r="F1209" s="701"/>
      <c r="G1209" s="226" t="s">
        <v>12</v>
      </c>
      <c r="H1209" s="226">
        <v>2</v>
      </c>
      <c r="L1209" s="226">
        <v>2</v>
      </c>
    </row>
    <row r="1210" spans="1:12" ht="10.5" customHeight="1" x14ac:dyDescent="0.3">
      <c r="A1210" s="156" t="s">
        <v>190</v>
      </c>
      <c r="B1210" s="227" t="s">
        <v>879</v>
      </c>
      <c r="C1210" s="226" t="s">
        <v>662</v>
      </c>
      <c r="D1210" s="701" t="s">
        <v>685</v>
      </c>
      <c r="E1210" s="701"/>
      <c r="F1210" s="701"/>
      <c r="G1210" s="226" t="s">
        <v>12</v>
      </c>
      <c r="H1210" s="226">
        <v>4</v>
      </c>
      <c r="L1210" s="226">
        <v>4</v>
      </c>
    </row>
    <row r="1211" spans="1:12" ht="10.5" customHeight="1" x14ac:dyDescent="0.3">
      <c r="A1211" s="156" t="s">
        <v>191</v>
      </c>
      <c r="B1211" s="227" t="s">
        <v>880</v>
      </c>
      <c r="C1211" s="226" t="s">
        <v>662</v>
      </c>
      <c r="D1211" s="701" t="s">
        <v>685</v>
      </c>
      <c r="E1211" s="701"/>
      <c r="F1211" s="701"/>
      <c r="G1211" s="226" t="s">
        <v>12</v>
      </c>
      <c r="H1211" s="226">
        <v>4</v>
      </c>
      <c r="L1211" s="226">
        <v>4</v>
      </c>
    </row>
    <row r="1212" spans="1:12" ht="10.5" customHeight="1" x14ac:dyDescent="0.3">
      <c r="A1212" s="156" t="s">
        <v>192</v>
      </c>
      <c r="B1212" s="227" t="s">
        <v>881</v>
      </c>
      <c r="C1212" s="226" t="s">
        <v>662</v>
      </c>
      <c r="D1212" s="701" t="s">
        <v>685</v>
      </c>
      <c r="E1212" s="701"/>
      <c r="F1212" s="701"/>
      <c r="G1212" s="226" t="s">
        <v>12</v>
      </c>
      <c r="H1212" s="226">
        <v>2</v>
      </c>
      <c r="L1212" s="226">
        <v>2</v>
      </c>
    </row>
    <row r="1213" spans="1:12" ht="10.5" customHeight="1" x14ac:dyDescent="0.3">
      <c r="A1213" s="156" t="s">
        <v>487</v>
      </c>
      <c r="B1213" s="227" t="s">
        <v>882</v>
      </c>
      <c r="C1213" s="226" t="s">
        <v>662</v>
      </c>
      <c r="D1213" s="701" t="s">
        <v>685</v>
      </c>
      <c r="E1213" s="701"/>
      <c r="F1213" s="701"/>
      <c r="G1213" s="226" t="s">
        <v>12</v>
      </c>
      <c r="H1213" s="226">
        <v>2</v>
      </c>
      <c r="L1213" s="226">
        <v>2</v>
      </c>
    </row>
    <row r="1214" spans="1:12" ht="10.5" customHeight="1" x14ac:dyDescent="0.3">
      <c r="A1214" s="156" t="s">
        <v>488</v>
      </c>
      <c r="B1214" s="227" t="s">
        <v>883</v>
      </c>
      <c r="C1214" s="226" t="s">
        <v>662</v>
      </c>
      <c r="D1214" s="701" t="s">
        <v>685</v>
      </c>
      <c r="E1214" s="701"/>
      <c r="F1214" s="701"/>
      <c r="G1214" s="226" t="s">
        <v>12</v>
      </c>
      <c r="H1214" s="226">
        <v>4</v>
      </c>
      <c r="L1214" s="226">
        <v>4</v>
      </c>
    </row>
    <row r="1215" spans="1:12" ht="10.5" customHeight="1" x14ac:dyDescent="0.3">
      <c r="A1215" s="156" t="s">
        <v>530</v>
      </c>
      <c r="B1215" s="227" t="s">
        <v>884</v>
      </c>
      <c r="C1215" s="226" t="s">
        <v>662</v>
      </c>
      <c r="D1215" s="701" t="s">
        <v>685</v>
      </c>
      <c r="E1215" s="701"/>
      <c r="F1215" s="701"/>
      <c r="G1215" s="226" t="s">
        <v>12</v>
      </c>
      <c r="H1215" s="226">
        <v>2</v>
      </c>
      <c r="L1215" s="226">
        <v>2</v>
      </c>
    </row>
    <row r="1216" spans="1:12" ht="10.5" customHeight="1" x14ac:dyDescent="0.3">
      <c r="A1216" s="156" t="s">
        <v>531</v>
      </c>
      <c r="B1216" s="227" t="s">
        <v>886</v>
      </c>
      <c r="C1216" s="226" t="s">
        <v>662</v>
      </c>
      <c r="D1216" s="701" t="s">
        <v>685</v>
      </c>
      <c r="E1216" s="701"/>
      <c r="F1216" s="701"/>
      <c r="G1216" s="226" t="s">
        <v>12</v>
      </c>
      <c r="H1216" s="226">
        <v>2</v>
      </c>
      <c r="L1216" s="226">
        <v>2</v>
      </c>
    </row>
    <row r="1217" spans="1:12" ht="10.5" customHeight="1" x14ac:dyDescent="0.3">
      <c r="A1217" s="156" t="s">
        <v>533</v>
      </c>
      <c r="B1217" s="227" t="s">
        <v>887</v>
      </c>
      <c r="C1217" s="226" t="s">
        <v>662</v>
      </c>
      <c r="D1217" s="701" t="s">
        <v>685</v>
      </c>
      <c r="E1217" s="701"/>
      <c r="F1217" s="701"/>
      <c r="G1217" s="226" t="s">
        <v>12</v>
      </c>
      <c r="H1217" s="226">
        <v>4</v>
      </c>
      <c r="L1217" s="226">
        <v>4</v>
      </c>
    </row>
    <row r="1218" spans="1:12" ht="10.5" customHeight="1" x14ac:dyDescent="0.3">
      <c r="A1218" s="156" t="s">
        <v>535</v>
      </c>
      <c r="B1218" s="227" t="s">
        <v>888</v>
      </c>
      <c r="C1218" s="226" t="s">
        <v>662</v>
      </c>
      <c r="D1218" s="701" t="s">
        <v>685</v>
      </c>
      <c r="E1218" s="701"/>
      <c r="F1218" s="701"/>
      <c r="G1218" s="226" t="s">
        <v>12</v>
      </c>
      <c r="H1218" s="226">
        <v>2</v>
      </c>
      <c r="L1218" s="226">
        <v>2</v>
      </c>
    </row>
    <row r="1219" spans="1:12" ht="10.5" customHeight="1" x14ac:dyDescent="0.3">
      <c r="A1219" s="156" t="s">
        <v>536</v>
      </c>
      <c r="B1219" s="227" t="s">
        <v>889</v>
      </c>
      <c r="C1219" s="226" t="s">
        <v>662</v>
      </c>
      <c r="D1219" s="701" t="s">
        <v>685</v>
      </c>
      <c r="E1219" s="701"/>
      <c r="F1219" s="701"/>
      <c r="G1219" s="226" t="s">
        <v>12</v>
      </c>
      <c r="H1219" s="226">
        <v>2</v>
      </c>
      <c r="L1219" s="226">
        <v>2</v>
      </c>
    </row>
    <row r="1220" spans="1:12" ht="10.5" customHeight="1" x14ac:dyDescent="0.3">
      <c r="A1220" s="156" t="s">
        <v>538</v>
      </c>
      <c r="B1220" s="227" t="s">
        <v>890</v>
      </c>
      <c r="C1220" s="226" t="s">
        <v>662</v>
      </c>
      <c r="D1220" s="701" t="s">
        <v>685</v>
      </c>
      <c r="E1220" s="701"/>
      <c r="F1220" s="701"/>
      <c r="G1220" s="226" t="s">
        <v>12</v>
      </c>
      <c r="H1220" s="226">
        <v>2</v>
      </c>
      <c r="L1220" s="226">
        <v>2</v>
      </c>
    </row>
    <row r="1221" spans="1:12" ht="10.5" customHeight="1" x14ac:dyDescent="0.3">
      <c r="A1221" s="156" t="s">
        <v>539</v>
      </c>
      <c r="B1221" s="227" t="s">
        <v>891</v>
      </c>
      <c r="C1221" s="226" t="s">
        <v>666</v>
      </c>
      <c r="D1221" s="701" t="s">
        <v>729</v>
      </c>
      <c r="E1221" s="701"/>
      <c r="F1221" s="701"/>
      <c r="G1221" s="226" t="s">
        <v>12</v>
      </c>
      <c r="H1221" s="226">
        <v>2</v>
      </c>
      <c r="L1221" s="226">
        <v>2</v>
      </c>
    </row>
    <row r="1222" spans="1:12" ht="10.5" customHeight="1" x14ac:dyDescent="0.3">
      <c r="A1222" s="156" t="s">
        <v>541</v>
      </c>
      <c r="B1222" s="227" t="s">
        <v>892</v>
      </c>
      <c r="C1222" s="226" t="s">
        <v>666</v>
      </c>
      <c r="D1222" s="701" t="s">
        <v>729</v>
      </c>
      <c r="E1222" s="701"/>
      <c r="F1222" s="701"/>
      <c r="G1222" s="226" t="s">
        <v>12</v>
      </c>
      <c r="H1222" s="226">
        <v>2</v>
      </c>
      <c r="L1222" s="226">
        <v>2</v>
      </c>
    </row>
    <row r="1223" spans="1:12" ht="10.5" customHeight="1" x14ac:dyDescent="0.3">
      <c r="A1223" s="156" t="s">
        <v>542</v>
      </c>
      <c r="B1223" s="227" t="s">
        <v>893</v>
      </c>
      <c r="C1223" s="226" t="s">
        <v>666</v>
      </c>
      <c r="D1223" s="701" t="s">
        <v>729</v>
      </c>
      <c r="E1223" s="701"/>
      <c r="F1223" s="701"/>
      <c r="G1223" s="226" t="s">
        <v>12</v>
      </c>
      <c r="H1223" s="226">
        <v>2</v>
      </c>
      <c r="L1223" s="226">
        <v>2</v>
      </c>
    </row>
    <row r="1224" spans="1:12" ht="10.5" customHeight="1" x14ac:dyDescent="0.3">
      <c r="A1224" s="156" t="s">
        <v>544</v>
      </c>
      <c r="B1224" s="227" t="s">
        <v>894</v>
      </c>
      <c r="C1224" s="226" t="s">
        <v>666</v>
      </c>
      <c r="D1224" s="701" t="s">
        <v>729</v>
      </c>
      <c r="E1224" s="701"/>
      <c r="F1224" s="701"/>
      <c r="G1224" s="226" t="s">
        <v>12</v>
      </c>
      <c r="H1224" s="226">
        <v>2</v>
      </c>
      <c r="L1224" s="226">
        <v>2</v>
      </c>
    </row>
    <row r="1225" spans="1:12" ht="10.5" customHeight="1" x14ac:dyDescent="0.3">
      <c r="A1225" s="156" t="s">
        <v>545</v>
      </c>
      <c r="B1225" s="227" t="s">
        <v>895</v>
      </c>
      <c r="C1225" s="226" t="s">
        <v>666</v>
      </c>
      <c r="D1225" s="701" t="s">
        <v>729</v>
      </c>
      <c r="E1225" s="701"/>
      <c r="F1225" s="701"/>
      <c r="G1225" s="226" t="s">
        <v>12</v>
      </c>
      <c r="H1225" s="226">
        <v>2</v>
      </c>
      <c r="L1225" s="226">
        <v>2</v>
      </c>
    </row>
    <row r="1226" spans="1:12" ht="10.5" customHeight="1" x14ac:dyDescent="0.3">
      <c r="A1226" s="156" t="s">
        <v>547</v>
      </c>
      <c r="B1226" s="227" t="s">
        <v>896</v>
      </c>
      <c r="C1226" s="226" t="s">
        <v>666</v>
      </c>
      <c r="D1226" s="701" t="s">
        <v>729</v>
      </c>
      <c r="E1226" s="701"/>
      <c r="F1226" s="701"/>
      <c r="G1226" s="226" t="s">
        <v>12</v>
      </c>
      <c r="H1226" s="226">
        <v>4</v>
      </c>
      <c r="L1226" s="226">
        <v>4</v>
      </c>
    </row>
    <row r="1227" spans="1:12" ht="10.5" customHeight="1" x14ac:dyDescent="0.3">
      <c r="A1227" s="156" t="s">
        <v>549</v>
      </c>
      <c r="B1227" s="227" t="s">
        <v>897</v>
      </c>
      <c r="C1227" s="226" t="s">
        <v>666</v>
      </c>
      <c r="D1227" s="701" t="s">
        <v>729</v>
      </c>
      <c r="E1227" s="701"/>
      <c r="F1227" s="701"/>
      <c r="G1227" s="226" t="s">
        <v>12</v>
      </c>
      <c r="H1227" s="226">
        <v>2</v>
      </c>
      <c r="L1227" s="226">
        <v>2</v>
      </c>
    </row>
    <row r="1228" spans="1:12" ht="10.5" customHeight="1" x14ac:dyDescent="0.3">
      <c r="A1228" s="156" t="s">
        <v>550</v>
      </c>
      <c r="B1228" s="227" t="s">
        <v>898</v>
      </c>
      <c r="C1228" s="226" t="s">
        <v>666</v>
      </c>
      <c r="D1228" s="701" t="s">
        <v>729</v>
      </c>
      <c r="E1228" s="701"/>
      <c r="F1228" s="701"/>
      <c r="G1228" s="226" t="s">
        <v>12</v>
      </c>
      <c r="H1228" s="226">
        <v>2</v>
      </c>
      <c r="L1228" s="226">
        <v>2</v>
      </c>
    </row>
    <row r="1229" spans="1:12" ht="10.5" customHeight="1" x14ac:dyDescent="0.3">
      <c r="A1229" s="156" t="s">
        <v>552</v>
      </c>
      <c r="B1229" s="227" t="s">
        <v>899</v>
      </c>
      <c r="C1229" s="226" t="s">
        <v>666</v>
      </c>
      <c r="D1229" s="701" t="s">
        <v>729</v>
      </c>
      <c r="E1229" s="701"/>
      <c r="F1229" s="701"/>
      <c r="G1229" s="226" t="s">
        <v>12</v>
      </c>
      <c r="H1229" s="226">
        <v>2</v>
      </c>
      <c r="L1229" s="226">
        <v>2</v>
      </c>
    </row>
    <row r="1230" spans="1:12" ht="10.5" customHeight="1" x14ac:dyDescent="0.3">
      <c r="A1230" s="156" t="s">
        <v>553</v>
      </c>
      <c r="B1230" s="227" t="s">
        <v>900</v>
      </c>
      <c r="C1230" s="226" t="s">
        <v>666</v>
      </c>
      <c r="D1230" s="701" t="s">
        <v>729</v>
      </c>
      <c r="E1230" s="701"/>
      <c r="F1230" s="701"/>
      <c r="G1230" s="226" t="s">
        <v>12</v>
      </c>
      <c r="H1230" s="226">
        <v>2</v>
      </c>
      <c r="L1230" s="226">
        <v>2</v>
      </c>
    </row>
    <row r="1231" spans="1:12" ht="10.5" customHeight="1" x14ac:dyDescent="0.3">
      <c r="A1231" s="156" t="s">
        <v>555</v>
      </c>
      <c r="B1231" s="227" t="s">
        <v>901</v>
      </c>
      <c r="C1231" s="226" t="s">
        <v>666</v>
      </c>
      <c r="D1231" s="701" t="s">
        <v>729</v>
      </c>
      <c r="E1231" s="701"/>
      <c r="F1231" s="701"/>
      <c r="G1231" s="226" t="s">
        <v>12</v>
      </c>
      <c r="H1231" s="226">
        <v>2</v>
      </c>
      <c r="L1231" s="226">
        <v>2</v>
      </c>
    </row>
    <row r="1232" spans="1:12" ht="10.5" customHeight="1" x14ac:dyDescent="0.3">
      <c r="A1232" s="156" t="s">
        <v>556</v>
      </c>
      <c r="B1232" s="227" t="s">
        <v>902</v>
      </c>
      <c r="C1232" s="226" t="s">
        <v>666</v>
      </c>
      <c r="D1232" s="701" t="s">
        <v>729</v>
      </c>
      <c r="E1232" s="701"/>
      <c r="F1232" s="701"/>
      <c r="G1232" s="226" t="s">
        <v>12</v>
      </c>
      <c r="H1232" s="226">
        <v>2</v>
      </c>
      <c r="L1232" s="226">
        <v>2</v>
      </c>
    </row>
    <row r="1233" spans="1:12" ht="10.5" customHeight="1" x14ac:dyDescent="0.3">
      <c r="A1233" s="156" t="s">
        <v>558</v>
      </c>
      <c r="B1233" s="227" t="s">
        <v>903</v>
      </c>
      <c r="C1233" s="226" t="s">
        <v>666</v>
      </c>
      <c r="D1233" s="701" t="s">
        <v>729</v>
      </c>
      <c r="E1233" s="701"/>
      <c r="F1233" s="701"/>
      <c r="G1233" s="226" t="s">
        <v>12</v>
      </c>
      <c r="H1233" s="226">
        <v>4</v>
      </c>
      <c r="L1233" s="226">
        <v>4</v>
      </c>
    </row>
    <row r="1234" spans="1:12" ht="10.5" customHeight="1" x14ac:dyDescent="0.3">
      <c r="A1234" s="156" t="s">
        <v>560</v>
      </c>
      <c r="B1234" s="227" t="s">
        <v>904</v>
      </c>
      <c r="C1234" s="226" t="s">
        <v>666</v>
      </c>
      <c r="D1234" s="701" t="s">
        <v>729</v>
      </c>
      <c r="E1234" s="701"/>
      <c r="F1234" s="701"/>
      <c r="G1234" s="226" t="s">
        <v>12</v>
      </c>
      <c r="H1234" s="226">
        <v>4</v>
      </c>
      <c r="L1234" s="226">
        <v>4</v>
      </c>
    </row>
    <row r="1235" spans="1:12" ht="10.5" customHeight="1" x14ac:dyDescent="0.3">
      <c r="A1235" s="156" t="s">
        <v>562</v>
      </c>
      <c r="B1235" s="227" t="s">
        <v>905</v>
      </c>
      <c r="C1235" s="226" t="s">
        <v>666</v>
      </c>
      <c r="D1235" s="701" t="s">
        <v>729</v>
      </c>
      <c r="E1235" s="701"/>
      <c r="F1235" s="701"/>
      <c r="G1235" s="226" t="s">
        <v>12</v>
      </c>
      <c r="H1235" s="226">
        <v>4</v>
      </c>
      <c r="L1235" s="226">
        <v>4</v>
      </c>
    </row>
    <row r="1236" spans="1:12" ht="10.5" customHeight="1" x14ac:dyDescent="0.3">
      <c r="A1236" s="156" t="s">
        <v>564</v>
      </c>
      <c r="B1236" s="227" t="s">
        <v>906</v>
      </c>
      <c r="C1236" s="226" t="s">
        <v>666</v>
      </c>
      <c r="D1236" s="701" t="s">
        <v>729</v>
      </c>
      <c r="E1236" s="701"/>
      <c r="F1236" s="701"/>
      <c r="G1236" s="226" t="s">
        <v>12</v>
      </c>
      <c r="H1236" s="226">
        <v>2</v>
      </c>
      <c r="L1236" s="226">
        <v>2</v>
      </c>
    </row>
    <row r="1237" spans="1:12" ht="10.5" customHeight="1" x14ac:dyDescent="0.3">
      <c r="A1237" s="156" t="s">
        <v>565</v>
      </c>
      <c r="B1237" s="227" t="s">
        <v>908</v>
      </c>
      <c r="C1237" s="226" t="s">
        <v>683</v>
      </c>
      <c r="D1237" s="701" t="s">
        <v>855</v>
      </c>
      <c r="E1237" s="701"/>
      <c r="F1237" s="701"/>
      <c r="G1237" s="226" t="s">
        <v>12</v>
      </c>
      <c r="H1237" s="226">
        <v>2</v>
      </c>
      <c r="L1237" s="226">
        <v>2</v>
      </c>
    </row>
    <row r="1238" spans="1:12" ht="10.5" customHeight="1" x14ac:dyDescent="0.3">
      <c r="A1238" s="156" t="s">
        <v>567</v>
      </c>
      <c r="B1238" s="227" t="s">
        <v>907</v>
      </c>
      <c r="C1238" s="226" t="s">
        <v>683</v>
      </c>
      <c r="D1238" s="701" t="s">
        <v>855</v>
      </c>
      <c r="E1238" s="701"/>
      <c r="F1238" s="701"/>
      <c r="G1238" s="226" t="s">
        <v>12</v>
      </c>
      <c r="H1238" s="226">
        <v>4</v>
      </c>
      <c r="L1238" s="226">
        <v>4</v>
      </c>
    </row>
    <row r="1239" spans="1:12" ht="10.5" customHeight="1" x14ac:dyDescent="0.3">
      <c r="A1239" s="156" t="s">
        <v>569</v>
      </c>
      <c r="B1239" s="227" t="s">
        <v>909</v>
      </c>
      <c r="C1239" s="226" t="s">
        <v>683</v>
      </c>
      <c r="D1239" s="701" t="s">
        <v>855</v>
      </c>
      <c r="E1239" s="701"/>
      <c r="F1239" s="701"/>
      <c r="G1239" s="226" t="s">
        <v>12</v>
      </c>
      <c r="H1239" s="226">
        <v>2</v>
      </c>
      <c r="L1239" s="226">
        <v>2</v>
      </c>
    </row>
    <row r="1240" spans="1:12" ht="10.5" customHeight="1" x14ac:dyDescent="0.3">
      <c r="A1240" s="156" t="s">
        <v>570</v>
      </c>
      <c r="B1240" s="227" t="s">
        <v>910</v>
      </c>
      <c r="C1240" s="226" t="s">
        <v>683</v>
      </c>
      <c r="D1240" s="701" t="s">
        <v>855</v>
      </c>
      <c r="E1240" s="701"/>
      <c r="F1240" s="701"/>
      <c r="G1240" s="226" t="s">
        <v>12</v>
      </c>
      <c r="H1240" s="226">
        <v>2</v>
      </c>
      <c r="L1240" s="226">
        <v>2</v>
      </c>
    </row>
    <row r="1241" spans="1:12" ht="10.5" customHeight="1" x14ac:dyDescent="0.3">
      <c r="A1241" s="156" t="s">
        <v>572</v>
      </c>
      <c r="B1241" s="227" t="s">
        <v>911</v>
      </c>
      <c r="C1241" s="226" t="s">
        <v>683</v>
      </c>
      <c r="D1241" s="701" t="s">
        <v>855</v>
      </c>
      <c r="E1241" s="701"/>
      <c r="F1241" s="701"/>
      <c r="G1241" s="226" t="s">
        <v>12</v>
      </c>
      <c r="H1241" s="226">
        <v>2</v>
      </c>
      <c r="L1241" s="226">
        <v>2</v>
      </c>
    </row>
    <row r="1242" spans="1:12" ht="10.5" customHeight="1" x14ac:dyDescent="0.3">
      <c r="A1242" s="156" t="s">
        <v>573</v>
      </c>
      <c r="B1242" s="227" t="s">
        <v>912</v>
      </c>
      <c r="C1242" s="226" t="s">
        <v>683</v>
      </c>
      <c r="D1242" s="701" t="s">
        <v>855</v>
      </c>
      <c r="E1242" s="701"/>
      <c r="F1242" s="701"/>
      <c r="G1242" s="226" t="s">
        <v>12</v>
      </c>
      <c r="H1242" s="226">
        <v>2</v>
      </c>
      <c r="L1242" s="226">
        <v>2</v>
      </c>
    </row>
    <row r="1243" spans="1:12" ht="10.5" customHeight="1" x14ac:dyDescent="0.3">
      <c r="A1243" s="156" t="s">
        <v>575</v>
      </c>
      <c r="B1243" s="227" t="s">
        <v>913</v>
      </c>
      <c r="C1243" s="226" t="s">
        <v>683</v>
      </c>
      <c r="D1243" s="701" t="s">
        <v>855</v>
      </c>
      <c r="E1243" s="701"/>
      <c r="F1243" s="701"/>
      <c r="G1243" s="226" t="s">
        <v>12</v>
      </c>
      <c r="H1243" s="226">
        <v>2</v>
      </c>
      <c r="L1243" s="226">
        <v>2</v>
      </c>
    </row>
    <row r="1244" spans="1:12" ht="10.5" customHeight="1" x14ac:dyDescent="0.3">
      <c r="A1244" s="156" t="s">
        <v>576</v>
      </c>
      <c r="B1244" s="227" t="s">
        <v>837</v>
      </c>
      <c r="C1244" s="226" t="s">
        <v>683</v>
      </c>
      <c r="D1244" s="701" t="s">
        <v>855</v>
      </c>
      <c r="E1244" s="701"/>
      <c r="F1244" s="701"/>
      <c r="G1244" s="226" t="s">
        <v>12</v>
      </c>
      <c r="H1244" s="226">
        <v>2</v>
      </c>
      <c r="L1244" s="226">
        <v>2</v>
      </c>
    </row>
    <row r="1245" spans="1:12" ht="10.5" customHeight="1" x14ac:dyDescent="0.3">
      <c r="A1245" s="156" t="s">
        <v>578</v>
      </c>
      <c r="B1245" s="227" t="s">
        <v>915</v>
      </c>
      <c r="C1245" s="226" t="s">
        <v>683</v>
      </c>
      <c r="D1245" s="701" t="s">
        <v>855</v>
      </c>
      <c r="E1245" s="701"/>
      <c r="F1245" s="701"/>
      <c r="G1245" s="226" t="s">
        <v>12</v>
      </c>
      <c r="H1245" s="226">
        <v>2</v>
      </c>
      <c r="L1245" s="226">
        <v>2</v>
      </c>
    </row>
    <row r="1246" spans="1:12" ht="10.5" customHeight="1" x14ac:dyDescent="0.3">
      <c r="A1246" s="156" t="s">
        <v>579</v>
      </c>
      <c r="B1246" s="227" t="s">
        <v>916</v>
      </c>
      <c r="C1246" s="226" t="s">
        <v>683</v>
      </c>
      <c r="D1246" s="701" t="s">
        <v>855</v>
      </c>
      <c r="E1246" s="701"/>
      <c r="F1246" s="701"/>
      <c r="G1246" s="226" t="s">
        <v>12</v>
      </c>
      <c r="H1246" s="226">
        <v>2</v>
      </c>
      <c r="L1246" s="226">
        <v>2</v>
      </c>
    </row>
    <row r="1247" spans="1:12" ht="10.5" customHeight="1" x14ac:dyDescent="0.3">
      <c r="A1247" s="156" t="s">
        <v>581</v>
      </c>
      <c r="B1247" s="227" t="s">
        <v>917</v>
      </c>
      <c r="C1247" s="226" t="s">
        <v>683</v>
      </c>
      <c r="D1247" s="701" t="s">
        <v>855</v>
      </c>
      <c r="E1247" s="701"/>
      <c r="F1247" s="701"/>
      <c r="G1247" s="226" t="s">
        <v>12</v>
      </c>
      <c r="H1247" s="226">
        <v>4</v>
      </c>
      <c r="L1247" s="226">
        <v>4</v>
      </c>
    </row>
    <row r="1248" spans="1:12" ht="10.5" customHeight="1" x14ac:dyDescent="0.3">
      <c r="A1248" s="156" t="s">
        <v>583</v>
      </c>
      <c r="B1248" s="227" t="s">
        <v>918</v>
      </c>
      <c r="C1248" s="226" t="s">
        <v>683</v>
      </c>
      <c r="D1248" s="701" t="s">
        <v>855</v>
      </c>
      <c r="E1248" s="701"/>
      <c r="F1248" s="701"/>
      <c r="G1248" s="226" t="s">
        <v>12</v>
      </c>
      <c r="H1248" s="226">
        <v>4</v>
      </c>
      <c r="L1248" s="226">
        <v>4</v>
      </c>
    </row>
    <row r="1249" spans="1:12" ht="10.5" customHeight="1" x14ac:dyDescent="0.3">
      <c r="A1249" s="156" t="s">
        <v>585</v>
      </c>
      <c r="B1249" s="227" t="s">
        <v>919</v>
      </c>
      <c r="C1249" s="226" t="s">
        <v>683</v>
      </c>
      <c r="D1249" s="701" t="s">
        <v>855</v>
      </c>
      <c r="E1249" s="701"/>
      <c r="F1249" s="701"/>
      <c r="G1249" s="226" t="s">
        <v>12</v>
      </c>
      <c r="H1249" s="226">
        <v>2</v>
      </c>
      <c r="L1249" s="226">
        <v>2</v>
      </c>
    </row>
    <row r="1250" spans="1:12" ht="10.5" customHeight="1" x14ac:dyDescent="0.3">
      <c r="A1250" s="156" t="s">
        <v>586</v>
      </c>
      <c r="B1250" s="227" t="s">
        <v>920</v>
      </c>
      <c r="C1250" s="226" t="s">
        <v>683</v>
      </c>
      <c r="D1250" s="701" t="s">
        <v>855</v>
      </c>
      <c r="E1250" s="701"/>
      <c r="F1250" s="701"/>
      <c r="G1250" s="226" t="s">
        <v>12</v>
      </c>
      <c r="H1250" s="226">
        <v>2</v>
      </c>
      <c r="L1250" s="226">
        <v>2</v>
      </c>
    </row>
    <row r="1251" spans="1:12" ht="10.5" customHeight="1" x14ac:dyDescent="0.3">
      <c r="A1251" s="156" t="s">
        <v>588</v>
      </c>
      <c r="B1251" s="227" t="s">
        <v>921</v>
      </c>
      <c r="C1251" s="226" t="s">
        <v>683</v>
      </c>
      <c r="D1251" s="701" t="s">
        <v>855</v>
      </c>
      <c r="E1251" s="701"/>
      <c r="F1251" s="701"/>
      <c r="G1251" s="226" t="s">
        <v>12</v>
      </c>
      <c r="H1251" s="226">
        <v>2</v>
      </c>
      <c r="L1251" s="226">
        <v>2</v>
      </c>
    </row>
    <row r="1252" spans="1:12" ht="10.5" customHeight="1" x14ac:dyDescent="0.3">
      <c r="A1252" s="156" t="s">
        <v>589</v>
      </c>
      <c r="B1252" s="227" t="s">
        <v>922</v>
      </c>
      <c r="C1252" s="226" t="s">
        <v>683</v>
      </c>
      <c r="D1252" s="701" t="s">
        <v>855</v>
      </c>
      <c r="E1252" s="701"/>
      <c r="F1252" s="701"/>
      <c r="G1252" s="226" t="s">
        <v>12</v>
      </c>
      <c r="H1252" s="226">
        <v>2</v>
      </c>
      <c r="L1252" s="226">
        <v>2</v>
      </c>
    </row>
    <row r="1253" spans="1:12" ht="10.5" customHeight="1" x14ac:dyDescent="0.3">
      <c r="A1253" s="156" t="s">
        <v>591</v>
      </c>
      <c r="B1253" s="227" t="s">
        <v>923</v>
      </c>
      <c r="C1253" s="226" t="s">
        <v>683</v>
      </c>
      <c r="D1253" s="701" t="s">
        <v>855</v>
      </c>
      <c r="E1253" s="701"/>
      <c r="F1253" s="701"/>
      <c r="G1253" s="226" t="s">
        <v>12</v>
      </c>
      <c r="H1253" s="226">
        <v>4</v>
      </c>
      <c r="L1253" s="226">
        <v>4</v>
      </c>
    </row>
    <row r="1254" spans="1:12" ht="10.5" customHeight="1" x14ac:dyDescent="0.3">
      <c r="A1254" s="156" t="s">
        <v>593</v>
      </c>
      <c r="B1254" s="227" t="s">
        <v>924</v>
      </c>
      <c r="C1254" s="226" t="s">
        <v>683</v>
      </c>
      <c r="D1254" s="701" t="s">
        <v>855</v>
      </c>
      <c r="E1254" s="701"/>
      <c r="F1254" s="701"/>
      <c r="G1254" s="226" t="s">
        <v>12</v>
      </c>
      <c r="H1254" s="226">
        <v>4</v>
      </c>
      <c r="L1254" s="226">
        <v>4</v>
      </c>
    </row>
    <row r="1255" spans="1:12" ht="10.5" customHeight="1" x14ac:dyDescent="0.3">
      <c r="A1255" s="156" t="s">
        <v>595</v>
      </c>
      <c r="B1255" s="227" t="s">
        <v>925</v>
      </c>
      <c r="C1255" s="226" t="s">
        <v>683</v>
      </c>
      <c r="D1255" s="701" t="s">
        <v>855</v>
      </c>
      <c r="E1255" s="701"/>
      <c r="F1255" s="701"/>
      <c r="G1255" s="226" t="s">
        <v>12</v>
      </c>
      <c r="H1255" s="226">
        <v>4</v>
      </c>
      <c r="L1255" s="226">
        <v>4</v>
      </c>
    </row>
    <row r="1256" spans="1:12" ht="10.5" customHeight="1" x14ac:dyDescent="0.3">
      <c r="A1256" s="156" t="s">
        <v>603</v>
      </c>
      <c r="B1256" s="227" t="s">
        <v>926</v>
      </c>
      <c r="C1256" s="226" t="s">
        <v>683</v>
      </c>
      <c r="D1256" s="701" t="s">
        <v>855</v>
      </c>
      <c r="E1256" s="701"/>
      <c r="F1256" s="701"/>
      <c r="G1256" s="226" t="s">
        <v>12</v>
      </c>
      <c r="H1256" s="226">
        <v>4</v>
      </c>
      <c r="L1256" s="226">
        <v>4</v>
      </c>
    </row>
    <row r="1257" spans="1:12" ht="10.5" customHeight="1" x14ac:dyDescent="0.3">
      <c r="A1257" s="156" t="s">
        <v>605</v>
      </c>
      <c r="B1257" s="227" t="s">
        <v>927</v>
      </c>
      <c r="C1257" s="226" t="s">
        <v>683</v>
      </c>
      <c r="D1257" s="701" t="s">
        <v>855</v>
      </c>
      <c r="E1257" s="701"/>
      <c r="F1257" s="701"/>
      <c r="G1257" s="226" t="s">
        <v>12</v>
      </c>
      <c r="H1257" s="226">
        <v>4</v>
      </c>
      <c r="L1257" s="226">
        <v>4</v>
      </c>
    </row>
    <row r="1258" spans="1:12" ht="10.5" customHeight="1" x14ac:dyDescent="0.3">
      <c r="A1258" s="156" t="s">
        <v>607</v>
      </c>
      <c r="B1258" s="227" t="s">
        <v>928</v>
      </c>
      <c r="C1258" s="226" t="s">
        <v>683</v>
      </c>
      <c r="D1258" s="701" t="s">
        <v>855</v>
      </c>
      <c r="E1258" s="701"/>
      <c r="F1258" s="701"/>
      <c r="G1258" s="226" t="s">
        <v>12</v>
      </c>
      <c r="H1258" s="226">
        <v>2</v>
      </c>
      <c r="L1258" s="226">
        <v>2</v>
      </c>
    </row>
    <row r="1259" spans="1:12" ht="10.5" customHeight="1" x14ac:dyDescent="0.3">
      <c r="A1259" s="156" t="s">
        <v>608</v>
      </c>
      <c r="B1259" s="227" t="s">
        <v>1004</v>
      </c>
      <c r="C1259" s="226" t="s">
        <v>683</v>
      </c>
      <c r="D1259" s="701" t="s">
        <v>855</v>
      </c>
      <c r="E1259" s="701"/>
      <c r="F1259" s="701"/>
      <c r="G1259" s="226" t="s">
        <v>12</v>
      </c>
      <c r="H1259" s="226">
        <v>2</v>
      </c>
      <c r="L1259" s="226">
        <v>2</v>
      </c>
    </row>
    <row r="1260" spans="1:12" ht="10.5" customHeight="1" x14ac:dyDescent="0.3">
      <c r="A1260" s="156" t="s">
        <v>610</v>
      </c>
      <c r="B1260" s="227" t="s">
        <v>929</v>
      </c>
      <c r="C1260" s="226" t="s">
        <v>683</v>
      </c>
      <c r="D1260" s="701" t="s">
        <v>855</v>
      </c>
      <c r="E1260" s="701"/>
      <c r="F1260" s="701"/>
      <c r="G1260" s="226" t="s">
        <v>12</v>
      </c>
      <c r="H1260" s="226">
        <v>4</v>
      </c>
      <c r="L1260" s="226">
        <v>4</v>
      </c>
    </row>
    <row r="1261" spans="1:12" ht="10.5" customHeight="1" x14ac:dyDescent="0.3">
      <c r="A1261" s="156" t="s">
        <v>612</v>
      </c>
      <c r="B1261" s="227" t="s">
        <v>930</v>
      </c>
      <c r="C1261" s="226" t="s">
        <v>683</v>
      </c>
      <c r="D1261" s="701" t="s">
        <v>855</v>
      </c>
      <c r="E1261" s="701"/>
      <c r="F1261" s="701"/>
      <c r="G1261" s="226" t="s">
        <v>12</v>
      </c>
      <c r="H1261" s="226">
        <v>4</v>
      </c>
      <c r="L1261" s="226">
        <v>4</v>
      </c>
    </row>
    <row r="1262" spans="1:12" ht="10.5" customHeight="1" x14ac:dyDescent="0.3">
      <c r="A1262" s="156" t="s">
        <v>614</v>
      </c>
      <c r="B1262" s="227" t="s">
        <v>931</v>
      </c>
      <c r="C1262" s="226" t="s">
        <v>683</v>
      </c>
      <c r="D1262" s="701" t="s">
        <v>855</v>
      </c>
      <c r="E1262" s="701"/>
      <c r="F1262" s="701"/>
      <c r="G1262" s="226" t="s">
        <v>12</v>
      </c>
      <c r="H1262" s="226">
        <v>2</v>
      </c>
      <c r="L1262" s="226">
        <v>2</v>
      </c>
    </row>
    <row r="1263" spans="1:12" ht="10.5" customHeight="1" x14ac:dyDescent="0.3">
      <c r="A1263" s="156" t="s">
        <v>615</v>
      </c>
      <c r="B1263" s="227" t="s">
        <v>934</v>
      </c>
      <c r="C1263" s="226" t="s">
        <v>684</v>
      </c>
      <c r="D1263" s="701" t="s">
        <v>738</v>
      </c>
      <c r="E1263" s="701"/>
      <c r="F1263" s="701"/>
      <c r="G1263" s="226" t="s">
        <v>12</v>
      </c>
      <c r="H1263" s="226">
        <v>2</v>
      </c>
      <c r="L1263" s="226">
        <v>2</v>
      </c>
    </row>
    <row r="1264" spans="1:12" ht="10.5" customHeight="1" x14ac:dyDescent="0.3">
      <c r="A1264" s="156" t="s">
        <v>617</v>
      </c>
      <c r="B1264" s="227" t="s">
        <v>935</v>
      </c>
      <c r="C1264" s="226" t="s">
        <v>684</v>
      </c>
      <c r="D1264" s="701" t="s">
        <v>738</v>
      </c>
      <c r="E1264" s="701"/>
      <c r="F1264" s="701"/>
      <c r="G1264" s="226" t="s">
        <v>12</v>
      </c>
      <c r="H1264" s="226">
        <v>4</v>
      </c>
      <c r="L1264" s="226">
        <v>4</v>
      </c>
    </row>
    <row r="1265" spans="1:12" ht="10.5" customHeight="1" x14ac:dyDescent="0.3">
      <c r="A1265" s="156" t="s">
        <v>619</v>
      </c>
      <c r="B1265" s="227" t="s">
        <v>936</v>
      </c>
      <c r="C1265" s="226" t="s">
        <v>684</v>
      </c>
      <c r="D1265" s="701" t="s">
        <v>738</v>
      </c>
      <c r="E1265" s="701"/>
      <c r="F1265" s="701"/>
      <c r="G1265" s="226" t="s">
        <v>12</v>
      </c>
      <c r="H1265" s="226">
        <v>4</v>
      </c>
      <c r="L1265" s="226">
        <v>4</v>
      </c>
    </row>
    <row r="1266" spans="1:12" ht="10.5" customHeight="1" x14ac:dyDescent="0.3">
      <c r="A1266" s="156" t="s">
        <v>621</v>
      </c>
      <c r="B1266" s="227" t="s">
        <v>937</v>
      </c>
      <c r="C1266" s="226" t="s">
        <v>684</v>
      </c>
      <c r="D1266" s="701" t="s">
        <v>738</v>
      </c>
      <c r="E1266" s="701"/>
      <c r="F1266" s="701"/>
      <c r="G1266" s="226" t="s">
        <v>12</v>
      </c>
      <c r="H1266" s="226">
        <v>4</v>
      </c>
      <c r="L1266" s="226">
        <v>4</v>
      </c>
    </row>
    <row r="1267" spans="1:12" ht="10.5" customHeight="1" x14ac:dyDescent="0.3">
      <c r="A1267" s="156" t="s">
        <v>622</v>
      </c>
      <c r="B1267" s="227" t="s">
        <v>932</v>
      </c>
      <c r="C1267" s="226" t="s">
        <v>684</v>
      </c>
      <c r="D1267" s="701" t="s">
        <v>738</v>
      </c>
      <c r="E1267" s="701"/>
      <c r="F1267" s="701"/>
      <c r="G1267" s="226" t="s">
        <v>12</v>
      </c>
      <c r="H1267" s="226">
        <v>2</v>
      </c>
      <c r="L1267" s="226">
        <v>2</v>
      </c>
    </row>
    <row r="1268" spans="1:12" ht="10.5" customHeight="1" x14ac:dyDescent="0.3">
      <c r="A1268" s="156" t="s">
        <v>624</v>
      </c>
      <c r="B1268" s="227" t="s">
        <v>938</v>
      </c>
      <c r="C1268" s="226" t="s">
        <v>684</v>
      </c>
      <c r="D1268" s="701" t="s">
        <v>738</v>
      </c>
      <c r="E1268" s="701"/>
      <c r="F1268" s="701"/>
      <c r="G1268" s="226" t="s">
        <v>12</v>
      </c>
      <c r="H1268" s="226">
        <v>4</v>
      </c>
      <c r="L1268" s="226">
        <v>4</v>
      </c>
    </row>
    <row r="1269" spans="1:12" ht="10.5" customHeight="1" x14ac:dyDescent="0.3">
      <c r="A1269" s="156" t="s">
        <v>626</v>
      </c>
      <c r="B1269" s="227" t="s">
        <v>939</v>
      </c>
      <c r="C1269" s="226" t="s">
        <v>684</v>
      </c>
      <c r="D1269" s="701" t="s">
        <v>738</v>
      </c>
      <c r="E1269" s="701"/>
      <c r="F1269" s="701"/>
      <c r="G1269" s="226" t="s">
        <v>12</v>
      </c>
      <c r="H1269" s="226">
        <v>4</v>
      </c>
      <c r="L1269" s="226">
        <v>4</v>
      </c>
    </row>
    <row r="1270" spans="1:12" ht="10.5" customHeight="1" x14ac:dyDescent="0.3">
      <c r="A1270" s="156" t="s">
        <v>628</v>
      </c>
      <c r="B1270" s="227" t="s">
        <v>940</v>
      </c>
      <c r="C1270" s="226" t="s">
        <v>684</v>
      </c>
      <c r="D1270" s="701" t="s">
        <v>738</v>
      </c>
      <c r="E1270" s="701"/>
      <c r="F1270" s="701"/>
      <c r="G1270" s="226" t="s">
        <v>12</v>
      </c>
      <c r="H1270" s="226">
        <v>4</v>
      </c>
      <c r="L1270" s="226">
        <v>4</v>
      </c>
    </row>
    <row r="1271" spans="1:12" ht="10.5" customHeight="1" x14ac:dyDescent="0.3">
      <c r="A1271" s="156" t="s">
        <v>630</v>
      </c>
      <c r="B1271" s="227" t="s">
        <v>941</v>
      </c>
      <c r="C1271" s="226" t="s">
        <v>684</v>
      </c>
      <c r="D1271" s="701" t="s">
        <v>738</v>
      </c>
      <c r="E1271" s="701"/>
      <c r="F1271" s="701"/>
      <c r="G1271" s="226" t="s">
        <v>12</v>
      </c>
      <c r="H1271" s="226">
        <v>4</v>
      </c>
      <c r="L1271" s="226">
        <v>4</v>
      </c>
    </row>
    <row r="1272" spans="1:12" ht="10.5" customHeight="1" x14ac:dyDescent="0.3">
      <c r="A1272" s="156" t="s">
        <v>632</v>
      </c>
      <c r="B1272" s="227" t="s">
        <v>942</v>
      </c>
      <c r="C1272" s="226" t="s">
        <v>684</v>
      </c>
      <c r="D1272" s="701" t="s">
        <v>738</v>
      </c>
      <c r="E1272" s="701"/>
      <c r="F1272" s="701"/>
      <c r="G1272" s="226" t="s">
        <v>12</v>
      </c>
      <c r="H1272" s="226">
        <v>4</v>
      </c>
      <c r="L1272" s="226">
        <v>4</v>
      </c>
    </row>
    <row r="1273" spans="1:12" ht="10.5" customHeight="1" x14ac:dyDescent="0.3">
      <c r="A1273" s="156" t="s">
        <v>632</v>
      </c>
      <c r="B1273" s="227" t="s">
        <v>942</v>
      </c>
      <c r="C1273" s="226" t="s">
        <v>684</v>
      </c>
      <c r="D1273" s="701" t="s">
        <v>738</v>
      </c>
      <c r="E1273" s="701"/>
      <c r="F1273" s="701"/>
      <c r="G1273" s="226" t="s">
        <v>12</v>
      </c>
      <c r="H1273" s="226">
        <v>4</v>
      </c>
      <c r="L1273" s="226">
        <v>4</v>
      </c>
    </row>
    <row r="1274" spans="1:12" ht="10.5" customHeight="1" x14ac:dyDescent="0.3">
      <c r="A1274" s="156" t="s">
        <v>634</v>
      </c>
      <c r="B1274" s="227" t="s">
        <v>943</v>
      </c>
      <c r="C1274" s="226" t="s">
        <v>684</v>
      </c>
      <c r="D1274" s="701" t="s">
        <v>738</v>
      </c>
      <c r="E1274" s="701"/>
      <c r="F1274" s="701"/>
      <c r="G1274" s="226" t="s">
        <v>12</v>
      </c>
      <c r="H1274" s="226">
        <v>4</v>
      </c>
      <c r="L1274" s="226">
        <v>4</v>
      </c>
    </row>
    <row r="1275" spans="1:12" ht="10.5" customHeight="1" x14ac:dyDescent="0.3">
      <c r="A1275" s="156" t="s">
        <v>638</v>
      </c>
      <c r="B1275" s="227" t="s">
        <v>944</v>
      </c>
      <c r="C1275" s="226" t="s">
        <v>684</v>
      </c>
      <c r="D1275" s="701" t="s">
        <v>738</v>
      </c>
      <c r="E1275" s="701"/>
      <c r="F1275" s="701"/>
      <c r="G1275" s="226" t="s">
        <v>12</v>
      </c>
      <c r="H1275" s="226">
        <v>2</v>
      </c>
      <c r="L1275" s="226">
        <v>2</v>
      </c>
    </row>
    <row r="1276" spans="1:12" ht="10.5" customHeight="1" x14ac:dyDescent="0.3">
      <c r="A1276" s="156" t="s">
        <v>640</v>
      </c>
      <c r="B1276" s="227" t="s">
        <v>945</v>
      </c>
      <c r="C1276" s="226" t="s">
        <v>684</v>
      </c>
      <c r="D1276" s="701" t="s">
        <v>738</v>
      </c>
      <c r="E1276" s="701"/>
      <c r="F1276" s="701"/>
      <c r="G1276" s="226" t="s">
        <v>12</v>
      </c>
      <c r="H1276" s="226">
        <v>4</v>
      </c>
      <c r="L1276" s="226">
        <v>4</v>
      </c>
    </row>
    <row r="1277" spans="1:12" ht="10.5" customHeight="1" x14ac:dyDescent="0.3">
      <c r="A1277" s="156" t="s">
        <v>642</v>
      </c>
      <c r="B1277" s="227" t="s">
        <v>946</v>
      </c>
      <c r="C1277" s="226" t="s">
        <v>684</v>
      </c>
      <c r="D1277" s="701" t="s">
        <v>738</v>
      </c>
      <c r="E1277" s="701"/>
      <c r="F1277" s="701"/>
      <c r="G1277" s="226" t="s">
        <v>12</v>
      </c>
      <c r="H1277" s="226">
        <v>4</v>
      </c>
      <c r="L1277" s="226">
        <v>4</v>
      </c>
    </row>
    <row r="1278" spans="1:12" ht="10.5" customHeight="1" x14ac:dyDescent="0.3">
      <c r="A1278" s="156" t="s">
        <v>644</v>
      </c>
      <c r="B1278" s="227" t="s">
        <v>947</v>
      </c>
      <c r="C1278" s="226" t="s">
        <v>684</v>
      </c>
      <c r="D1278" s="701" t="s">
        <v>738</v>
      </c>
      <c r="E1278" s="701"/>
      <c r="F1278" s="701"/>
      <c r="G1278" s="226" t="s">
        <v>12</v>
      </c>
      <c r="H1278" s="226">
        <v>4</v>
      </c>
      <c r="L1278" s="226">
        <v>4</v>
      </c>
    </row>
    <row r="1279" spans="1:12" ht="10.5" customHeight="1" x14ac:dyDescent="0.3">
      <c r="A1279" s="156" t="s">
        <v>646</v>
      </c>
      <c r="B1279" s="227" t="s">
        <v>948</v>
      </c>
      <c r="C1279" s="226" t="s">
        <v>684</v>
      </c>
      <c r="D1279" s="701" t="s">
        <v>738</v>
      </c>
      <c r="E1279" s="701"/>
      <c r="F1279" s="701"/>
      <c r="G1279" s="226" t="s">
        <v>12</v>
      </c>
      <c r="H1279" s="226">
        <v>4</v>
      </c>
      <c r="L1279" s="226">
        <v>4</v>
      </c>
    </row>
    <row r="1280" spans="1:12" ht="10.5" customHeight="1" x14ac:dyDescent="0.3">
      <c r="A1280" s="156" t="s">
        <v>648</v>
      </c>
      <c r="B1280" s="227" t="s">
        <v>949</v>
      </c>
      <c r="C1280" s="226" t="s">
        <v>684</v>
      </c>
      <c r="D1280" s="701" t="s">
        <v>738</v>
      </c>
      <c r="E1280" s="701"/>
      <c r="F1280" s="701"/>
      <c r="G1280" s="226" t="s">
        <v>12</v>
      </c>
      <c r="H1280" s="226">
        <v>4</v>
      </c>
      <c r="L1280" s="226">
        <v>4</v>
      </c>
    </row>
    <row r="1281" spans="1:12" ht="10.5" customHeight="1" x14ac:dyDescent="0.3">
      <c r="A1281" s="156" t="s">
        <v>649</v>
      </c>
      <c r="B1281" s="227" t="s">
        <v>933</v>
      </c>
      <c r="C1281" s="226" t="s">
        <v>684</v>
      </c>
      <c r="D1281" s="701" t="s">
        <v>738</v>
      </c>
      <c r="E1281" s="701"/>
      <c r="F1281" s="701"/>
      <c r="G1281" s="226" t="s">
        <v>12</v>
      </c>
      <c r="H1281" s="226">
        <v>2</v>
      </c>
      <c r="L1281" s="226">
        <v>2</v>
      </c>
    </row>
    <row r="1282" spans="1:12" ht="10.5" customHeight="1" x14ac:dyDescent="0.3">
      <c r="A1282" s="156" t="s">
        <v>651</v>
      </c>
      <c r="B1282" s="227" t="s">
        <v>950</v>
      </c>
      <c r="C1282" s="226" t="s">
        <v>684</v>
      </c>
      <c r="D1282" s="701" t="s">
        <v>738</v>
      </c>
      <c r="E1282" s="701"/>
      <c r="F1282" s="701"/>
      <c r="G1282" s="226" t="s">
        <v>12</v>
      </c>
      <c r="H1282" s="226">
        <v>4</v>
      </c>
      <c r="L1282" s="226">
        <v>4</v>
      </c>
    </row>
    <row r="1283" spans="1:12" ht="10.5" customHeight="1" x14ac:dyDescent="0.3">
      <c r="A1283" s="156" t="s">
        <v>653</v>
      </c>
      <c r="B1283" s="227" t="s">
        <v>951</v>
      </c>
      <c r="C1283" s="226" t="s">
        <v>684</v>
      </c>
      <c r="D1283" s="701" t="s">
        <v>738</v>
      </c>
      <c r="E1283" s="701"/>
      <c r="F1283" s="701"/>
      <c r="G1283" s="226" t="s">
        <v>12</v>
      </c>
      <c r="H1283" s="226">
        <v>4</v>
      </c>
      <c r="L1283" s="226">
        <v>4</v>
      </c>
    </row>
    <row r="1284" spans="1:12" ht="10.5" customHeight="1" x14ac:dyDescent="0.3">
      <c r="A1284" s="156" t="s">
        <v>655</v>
      </c>
      <c r="B1284" s="227" t="s">
        <v>952</v>
      </c>
      <c r="C1284" s="226" t="s">
        <v>684</v>
      </c>
      <c r="D1284" s="701" t="s">
        <v>738</v>
      </c>
      <c r="E1284" s="701"/>
      <c r="F1284" s="701"/>
      <c r="G1284" s="226" t="s">
        <v>12</v>
      </c>
      <c r="H1284" s="226">
        <v>4</v>
      </c>
      <c r="L1284" s="226">
        <v>4</v>
      </c>
    </row>
    <row r="1285" spans="1:12" ht="10.5" customHeight="1" x14ac:dyDescent="0.3">
      <c r="A1285" s="156" t="s">
        <v>657</v>
      </c>
      <c r="B1285" s="227" t="s">
        <v>953</v>
      </c>
      <c r="C1285" s="226" t="s">
        <v>684</v>
      </c>
      <c r="D1285" s="701" t="s">
        <v>738</v>
      </c>
      <c r="E1285" s="701"/>
      <c r="F1285" s="701"/>
      <c r="G1285" s="226" t="s">
        <v>12</v>
      </c>
      <c r="H1285" s="226">
        <v>4</v>
      </c>
      <c r="L1285" s="226">
        <v>4</v>
      </c>
    </row>
    <row r="1286" spans="1:12" ht="10.5" customHeight="1" x14ac:dyDescent="0.3">
      <c r="A1286" s="156" t="s">
        <v>659</v>
      </c>
      <c r="B1286" s="227" t="s">
        <v>954</v>
      </c>
      <c r="C1286" s="226" t="s">
        <v>684</v>
      </c>
      <c r="D1286" s="701" t="s">
        <v>738</v>
      </c>
      <c r="E1286" s="701"/>
      <c r="F1286" s="701"/>
      <c r="G1286" s="226" t="s">
        <v>12</v>
      </c>
      <c r="H1286" s="226">
        <v>4</v>
      </c>
      <c r="L1286" s="226">
        <v>4</v>
      </c>
    </row>
    <row r="1287" spans="1:12" ht="10.5" customHeight="1" x14ac:dyDescent="0.3">
      <c r="A1287" s="156" t="s">
        <v>660</v>
      </c>
      <c r="B1287" s="227" t="s">
        <v>955</v>
      </c>
      <c r="C1287" s="226" t="s">
        <v>684</v>
      </c>
      <c r="D1287" s="701" t="s">
        <v>738</v>
      </c>
      <c r="E1287" s="701"/>
      <c r="F1287" s="701"/>
      <c r="G1287" s="226" t="s">
        <v>12</v>
      </c>
      <c r="H1287" s="226">
        <v>2</v>
      </c>
      <c r="L1287" s="226">
        <v>2</v>
      </c>
    </row>
    <row r="1288" spans="1:12" ht="10.5" customHeight="1" x14ac:dyDescent="0.3">
      <c r="A1288" s="156" t="s">
        <v>686</v>
      </c>
      <c r="B1288" s="227" t="s">
        <v>956</v>
      </c>
      <c r="C1288" s="226" t="s">
        <v>684</v>
      </c>
      <c r="D1288" s="701" t="s">
        <v>738</v>
      </c>
      <c r="E1288" s="701"/>
      <c r="F1288" s="701"/>
      <c r="G1288" s="226" t="s">
        <v>12</v>
      </c>
      <c r="H1288" s="226">
        <v>4</v>
      </c>
      <c r="L1288" s="226">
        <v>4</v>
      </c>
    </row>
    <row r="1289" spans="1:12" ht="10.5" customHeight="1" x14ac:dyDescent="0.3">
      <c r="A1289" s="156" t="s">
        <v>688</v>
      </c>
      <c r="B1289" s="227" t="s">
        <v>957</v>
      </c>
      <c r="C1289" s="226" t="s">
        <v>684</v>
      </c>
      <c r="D1289" s="701" t="s">
        <v>738</v>
      </c>
      <c r="E1289" s="701"/>
      <c r="F1289" s="701"/>
      <c r="G1289" s="226" t="s">
        <v>12</v>
      </c>
      <c r="H1289" s="226">
        <v>4</v>
      </c>
      <c r="L1289" s="226">
        <v>4</v>
      </c>
    </row>
    <row r="1290" spans="1:12" ht="10.5" customHeight="1" x14ac:dyDescent="0.3">
      <c r="A1290" s="156" t="s">
        <v>690</v>
      </c>
      <c r="B1290" s="227" t="s">
        <v>958</v>
      </c>
      <c r="C1290" s="226" t="s">
        <v>684</v>
      </c>
      <c r="D1290" s="701" t="s">
        <v>738</v>
      </c>
      <c r="E1290" s="701"/>
      <c r="F1290" s="701"/>
      <c r="G1290" s="226" t="s">
        <v>12</v>
      </c>
      <c r="H1290" s="226">
        <v>4</v>
      </c>
      <c r="L1290" s="226">
        <v>4</v>
      </c>
    </row>
    <row r="1291" spans="1:12" ht="10.5" customHeight="1" x14ac:dyDescent="0.3">
      <c r="A1291" s="156" t="s">
        <v>691</v>
      </c>
      <c r="B1291" s="227" t="s">
        <v>959</v>
      </c>
      <c r="C1291" s="226" t="s">
        <v>684</v>
      </c>
      <c r="D1291" s="701" t="s">
        <v>738</v>
      </c>
      <c r="E1291" s="701"/>
      <c r="F1291" s="701"/>
      <c r="G1291" s="226" t="s">
        <v>12</v>
      </c>
      <c r="H1291" s="226">
        <v>2</v>
      </c>
      <c r="L1291" s="226">
        <v>2</v>
      </c>
    </row>
    <row r="1292" spans="1:12" ht="10.5" customHeight="1" x14ac:dyDescent="0.3">
      <c r="A1292" s="156" t="s">
        <v>693</v>
      </c>
      <c r="B1292" s="227" t="s">
        <v>960</v>
      </c>
      <c r="C1292" s="226" t="s">
        <v>684</v>
      </c>
      <c r="D1292" s="701" t="s">
        <v>738</v>
      </c>
      <c r="E1292" s="701"/>
      <c r="F1292" s="701"/>
      <c r="G1292" s="226" t="s">
        <v>12</v>
      </c>
      <c r="H1292" s="226">
        <v>4</v>
      </c>
      <c r="L1292" s="226">
        <v>4</v>
      </c>
    </row>
    <row r="1293" spans="1:12" ht="10.5" customHeight="1" x14ac:dyDescent="0.3">
      <c r="A1293" s="156" t="s">
        <v>695</v>
      </c>
      <c r="B1293" s="227" t="s">
        <v>961</v>
      </c>
      <c r="C1293" s="226" t="s">
        <v>684</v>
      </c>
      <c r="D1293" s="701" t="s">
        <v>738</v>
      </c>
      <c r="E1293" s="701"/>
      <c r="F1293" s="701"/>
      <c r="G1293" s="226" t="s">
        <v>12</v>
      </c>
      <c r="H1293" s="226">
        <v>4</v>
      </c>
      <c r="L1293" s="226">
        <v>4</v>
      </c>
    </row>
    <row r="1294" spans="1:12" ht="10.5" customHeight="1" x14ac:dyDescent="0.3">
      <c r="A1294" s="156" t="s">
        <v>697</v>
      </c>
      <c r="B1294" s="227" t="s">
        <v>962</v>
      </c>
      <c r="C1294" s="226" t="s">
        <v>684</v>
      </c>
      <c r="D1294" s="701" t="s">
        <v>738</v>
      </c>
      <c r="E1294" s="701"/>
      <c r="F1294" s="701"/>
      <c r="G1294" s="226" t="s">
        <v>12</v>
      </c>
      <c r="H1294" s="226">
        <v>4</v>
      </c>
      <c r="L1294" s="226">
        <v>4</v>
      </c>
    </row>
    <row r="1295" spans="1:12" ht="10.5" customHeight="1" x14ac:dyDescent="0.3">
      <c r="A1295" s="156" t="s">
        <v>699</v>
      </c>
      <c r="B1295" s="227" t="s">
        <v>963</v>
      </c>
      <c r="C1295" s="226" t="s">
        <v>684</v>
      </c>
      <c r="D1295" s="701" t="s">
        <v>738</v>
      </c>
      <c r="E1295" s="701"/>
      <c r="F1295" s="701"/>
      <c r="G1295" s="226" t="s">
        <v>12</v>
      </c>
      <c r="H1295" s="226">
        <v>2</v>
      </c>
      <c r="L1295" s="226">
        <v>2</v>
      </c>
    </row>
    <row r="1296" spans="1:12" ht="10.5" customHeight="1" x14ac:dyDescent="0.3">
      <c r="A1296" s="156" t="s">
        <v>701</v>
      </c>
      <c r="B1296" s="227" t="s">
        <v>964</v>
      </c>
      <c r="C1296" s="226" t="s">
        <v>684</v>
      </c>
      <c r="D1296" s="701" t="s">
        <v>738</v>
      </c>
      <c r="E1296" s="701"/>
      <c r="F1296" s="701"/>
      <c r="G1296" s="226" t="s">
        <v>12</v>
      </c>
      <c r="H1296" s="226">
        <v>4</v>
      </c>
      <c r="L1296" s="226">
        <v>4</v>
      </c>
    </row>
    <row r="1297" spans="1:12" ht="10.5" customHeight="1" x14ac:dyDescent="0.3">
      <c r="A1297" s="156" t="s">
        <v>703</v>
      </c>
      <c r="B1297" s="227" t="s">
        <v>965</v>
      </c>
      <c r="C1297" s="226" t="s">
        <v>684</v>
      </c>
      <c r="D1297" s="701" t="s">
        <v>738</v>
      </c>
      <c r="E1297" s="701"/>
      <c r="F1297" s="701"/>
      <c r="G1297" s="226" t="s">
        <v>12</v>
      </c>
      <c r="H1297" s="226">
        <v>4</v>
      </c>
      <c r="L1297" s="226">
        <v>4</v>
      </c>
    </row>
    <row r="1298" spans="1:12" ht="10.5" customHeight="1" x14ac:dyDescent="0.3">
      <c r="A1298" s="156" t="s">
        <v>705</v>
      </c>
      <c r="B1298" s="227" t="s">
        <v>966</v>
      </c>
      <c r="C1298" s="226" t="s">
        <v>684</v>
      </c>
      <c r="D1298" s="701" t="s">
        <v>738</v>
      </c>
      <c r="E1298" s="701"/>
      <c r="F1298" s="701"/>
      <c r="G1298" s="226" t="s">
        <v>12</v>
      </c>
      <c r="H1298" s="226">
        <v>4</v>
      </c>
      <c r="L1298" s="226">
        <v>4</v>
      </c>
    </row>
    <row r="1299" spans="1:12" ht="10.5" customHeight="1" x14ac:dyDescent="0.3">
      <c r="A1299" s="156" t="s">
        <v>730</v>
      </c>
      <c r="B1299" s="227" t="s">
        <v>967</v>
      </c>
      <c r="C1299" s="226" t="s">
        <v>684</v>
      </c>
      <c r="D1299" s="701" t="s">
        <v>738</v>
      </c>
      <c r="E1299" s="701"/>
      <c r="F1299" s="701"/>
      <c r="G1299" s="226" t="s">
        <v>12</v>
      </c>
      <c r="H1299" s="226">
        <v>4</v>
      </c>
      <c r="L1299" s="226">
        <v>4</v>
      </c>
    </row>
    <row r="1300" spans="1:12" ht="10.5" customHeight="1" x14ac:dyDescent="0.3">
      <c r="A1300" s="156" t="s">
        <v>732</v>
      </c>
      <c r="B1300" s="227" t="s">
        <v>968</v>
      </c>
      <c r="C1300" s="226" t="s">
        <v>684</v>
      </c>
      <c r="D1300" s="701" t="s">
        <v>738</v>
      </c>
      <c r="E1300" s="701"/>
      <c r="F1300" s="701"/>
      <c r="G1300" s="226" t="s">
        <v>12</v>
      </c>
      <c r="H1300" s="226">
        <v>4</v>
      </c>
      <c r="L1300" s="226">
        <v>4</v>
      </c>
    </row>
    <row r="1301" spans="1:12" ht="10.5" customHeight="1" x14ac:dyDescent="0.3">
      <c r="A1301" s="156" t="s">
        <v>740</v>
      </c>
      <c r="B1301" s="227" t="s">
        <v>969</v>
      </c>
      <c r="C1301" s="226" t="s">
        <v>684</v>
      </c>
      <c r="D1301" s="701" t="s">
        <v>738</v>
      </c>
      <c r="E1301" s="701"/>
      <c r="F1301" s="701"/>
      <c r="G1301" s="226" t="s">
        <v>12</v>
      </c>
      <c r="H1301" s="226">
        <v>2</v>
      </c>
      <c r="L1301" s="226">
        <v>2</v>
      </c>
    </row>
    <row r="1302" spans="1:12" ht="10.5" customHeight="1" x14ac:dyDescent="0.3">
      <c r="A1302" s="156" t="s">
        <v>742</v>
      </c>
      <c r="B1302" s="227" t="s">
        <v>970</v>
      </c>
      <c r="C1302" s="226" t="s">
        <v>684</v>
      </c>
      <c r="D1302" s="701" t="s">
        <v>738</v>
      </c>
      <c r="E1302" s="701"/>
      <c r="F1302" s="701"/>
      <c r="G1302" s="226" t="s">
        <v>12</v>
      </c>
      <c r="H1302" s="226">
        <v>4</v>
      </c>
      <c r="L1302" s="226">
        <v>4</v>
      </c>
    </row>
    <row r="1303" spans="1:12" ht="10.5" customHeight="1" x14ac:dyDescent="0.3">
      <c r="A1303" s="156" t="s">
        <v>744</v>
      </c>
      <c r="B1303" s="227" t="s">
        <v>971</v>
      </c>
      <c r="C1303" s="226" t="s">
        <v>684</v>
      </c>
      <c r="D1303" s="701" t="s">
        <v>738</v>
      </c>
      <c r="E1303" s="701"/>
      <c r="F1303" s="701"/>
      <c r="G1303" s="226" t="s">
        <v>12</v>
      </c>
      <c r="H1303" s="226">
        <v>4</v>
      </c>
      <c r="L1303" s="226">
        <v>4</v>
      </c>
    </row>
    <row r="1304" spans="1:12" ht="10.5" customHeight="1" x14ac:dyDescent="0.3">
      <c r="A1304" s="156" t="s">
        <v>746</v>
      </c>
      <c r="B1304" s="227" t="s">
        <v>972</v>
      </c>
      <c r="C1304" s="226" t="s">
        <v>684</v>
      </c>
      <c r="D1304" s="701" t="s">
        <v>738</v>
      </c>
      <c r="E1304" s="701"/>
      <c r="F1304" s="701"/>
      <c r="G1304" s="226" t="s">
        <v>12</v>
      </c>
      <c r="H1304" s="226">
        <v>4</v>
      </c>
      <c r="L1304" s="226">
        <v>4</v>
      </c>
    </row>
    <row r="1305" spans="1:12" ht="10.5" customHeight="1" x14ac:dyDescent="0.3">
      <c r="A1305" s="156" t="s">
        <v>748</v>
      </c>
      <c r="B1305" s="227" t="s">
        <v>973</v>
      </c>
      <c r="C1305" s="226" t="s">
        <v>684</v>
      </c>
      <c r="D1305" s="701" t="s">
        <v>738</v>
      </c>
      <c r="E1305" s="701"/>
      <c r="F1305" s="701"/>
      <c r="G1305" s="226" t="s">
        <v>12</v>
      </c>
      <c r="H1305" s="226">
        <v>4</v>
      </c>
      <c r="L1305" s="226">
        <v>4</v>
      </c>
    </row>
    <row r="1306" spans="1:12" ht="10.5" customHeight="1" x14ac:dyDescent="0.3">
      <c r="A1306" s="156" t="s">
        <v>750</v>
      </c>
      <c r="B1306" s="227" t="s">
        <v>974</v>
      </c>
      <c r="C1306" s="226" t="s">
        <v>684</v>
      </c>
      <c r="D1306" s="701" t="s">
        <v>738</v>
      </c>
      <c r="E1306" s="701"/>
      <c r="F1306" s="701"/>
      <c r="G1306" s="226" t="s">
        <v>12</v>
      </c>
      <c r="H1306" s="226">
        <v>2</v>
      </c>
      <c r="L1306" s="226">
        <v>2</v>
      </c>
    </row>
    <row r="1307" spans="1:12" ht="10.5" customHeight="1" x14ac:dyDescent="0.3">
      <c r="A1307" s="156" t="s">
        <v>751</v>
      </c>
      <c r="B1307" s="227" t="s">
        <v>975</v>
      </c>
      <c r="C1307" s="226" t="s">
        <v>684</v>
      </c>
      <c r="D1307" s="701" t="s">
        <v>738</v>
      </c>
      <c r="E1307" s="701"/>
      <c r="F1307" s="701"/>
      <c r="G1307" s="226" t="s">
        <v>12</v>
      </c>
      <c r="H1307" s="226">
        <v>2</v>
      </c>
      <c r="L1307" s="226">
        <v>2</v>
      </c>
    </row>
    <row r="1308" spans="1:12" ht="10.5" customHeight="1" x14ac:dyDescent="0.3">
      <c r="A1308" s="156" t="s">
        <v>754</v>
      </c>
      <c r="B1308" s="227" t="s">
        <v>976</v>
      </c>
      <c r="C1308" s="226" t="s">
        <v>684</v>
      </c>
      <c r="D1308" s="701" t="s">
        <v>738</v>
      </c>
      <c r="E1308" s="701"/>
      <c r="F1308" s="701"/>
      <c r="G1308" s="226" t="s">
        <v>12</v>
      </c>
      <c r="H1308" s="226">
        <v>4</v>
      </c>
      <c r="L1308" s="226">
        <v>4</v>
      </c>
    </row>
    <row r="1309" spans="1:12" ht="10.5" customHeight="1" x14ac:dyDescent="0.3">
      <c r="A1309" s="156" t="s">
        <v>757</v>
      </c>
      <c r="B1309" s="227" t="s">
        <v>977</v>
      </c>
      <c r="C1309" s="226" t="s">
        <v>684</v>
      </c>
      <c r="D1309" s="701" t="s">
        <v>738</v>
      </c>
      <c r="E1309" s="701"/>
      <c r="F1309" s="701"/>
      <c r="G1309" s="226" t="s">
        <v>12</v>
      </c>
      <c r="H1309" s="226">
        <v>4</v>
      </c>
      <c r="L1309" s="226">
        <v>4</v>
      </c>
    </row>
    <row r="1310" spans="1:12" ht="10.5" customHeight="1" x14ac:dyDescent="0.3">
      <c r="A1310" s="156" t="s">
        <v>763</v>
      </c>
      <c r="B1310" s="227" t="s">
        <v>978</v>
      </c>
      <c r="C1310" s="226" t="s">
        <v>684</v>
      </c>
      <c r="D1310" s="701" t="s">
        <v>738</v>
      </c>
      <c r="E1310" s="701"/>
      <c r="F1310" s="701"/>
      <c r="G1310" s="226" t="s">
        <v>12</v>
      </c>
      <c r="H1310" s="226">
        <v>4</v>
      </c>
      <c r="L1310" s="226">
        <v>4</v>
      </c>
    </row>
    <row r="1311" spans="1:12" ht="10.5" customHeight="1" x14ac:dyDescent="0.3">
      <c r="A1311" s="156" t="s">
        <v>765</v>
      </c>
      <c r="B1311" s="227" t="s">
        <v>979</v>
      </c>
      <c r="C1311" s="226" t="s">
        <v>684</v>
      </c>
      <c r="D1311" s="701" t="s">
        <v>738</v>
      </c>
      <c r="E1311" s="701"/>
      <c r="F1311" s="701"/>
      <c r="G1311" s="226" t="s">
        <v>12</v>
      </c>
      <c r="H1311" s="226">
        <v>4</v>
      </c>
      <c r="L1311" s="226">
        <v>4</v>
      </c>
    </row>
    <row r="1312" spans="1:12" ht="10.5" customHeight="1" x14ac:dyDescent="0.3">
      <c r="A1312" s="156" t="s">
        <v>767</v>
      </c>
      <c r="B1312" s="227" t="s">
        <v>980</v>
      </c>
      <c r="C1312" s="226" t="s">
        <v>684</v>
      </c>
      <c r="D1312" s="701" t="s">
        <v>738</v>
      </c>
      <c r="E1312" s="701"/>
      <c r="F1312" s="701"/>
      <c r="G1312" s="226" t="s">
        <v>12</v>
      </c>
      <c r="H1312" s="226">
        <v>4</v>
      </c>
      <c r="L1312" s="226">
        <v>4</v>
      </c>
    </row>
    <row r="1313" spans="1:12" ht="10.5" customHeight="1" x14ac:dyDescent="0.3">
      <c r="A1313" s="156" t="s">
        <v>769</v>
      </c>
      <c r="B1313" s="227" t="s">
        <v>981</v>
      </c>
      <c r="C1313" s="226" t="s">
        <v>684</v>
      </c>
      <c r="D1313" s="701" t="s">
        <v>738</v>
      </c>
      <c r="E1313" s="701"/>
      <c r="F1313" s="701"/>
      <c r="G1313" s="226" t="s">
        <v>12</v>
      </c>
      <c r="H1313" s="226">
        <v>2</v>
      </c>
      <c r="L1313" s="226">
        <v>2</v>
      </c>
    </row>
    <row r="1314" spans="1:12" ht="10.5" customHeight="1" x14ac:dyDescent="0.3">
      <c r="A1314" s="156" t="s">
        <v>770</v>
      </c>
      <c r="B1314" s="227" t="s">
        <v>982</v>
      </c>
      <c r="C1314" s="226" t="s">
        <v>684</v>
      </c>
      <c r="D1314" s="701" t="s">
        <v>738</v>
      </c>
      <c r="E1314" s="701"/>
      <c r="F1314" s="701"/>
      <c r="G1314" s="226" t="s">
        <v>12</v>
      </c>
      <c r="H1314" s="226">
        <v>2</v>
      </c>
      <c r="L1314" s="226">
        <v>2</v>
      </c>
    </row>
    <row r="1315" spans="1:12" ht="10.5" customHeight="1" x14ac:dyDescent="0.3">
      <c r="A1315" s="156" t="s">
        <v>772</v>
      </c>
      <c r="B1315" s="227" t="s">
        <v>983</v>
      </c>
      <c r="C1315" s="226" t="s">
        <v>684</v>
      </c>
      <c r="D1315" s="701" t="s">
        <v>738</v>
      </c>
      <c r="E1315" s="701"/>
      <c r="F1315" s="701"/>
      <c r="G1315" s="226" t="s">
        <v>12</v>
      </c>
      <c r="H1315" s="226">
        <v>4</v>
      </c>
      <c r="L1315" s="226">
        <v>4</v>
      </c>
    </row>
    <row r="1316" spans="1:12" ht="10.5" customHeight="1" x14ac:dyDescent="0.3">
      <c r="A1316" s="156" t="s">
        <v>774</v>
      </c>
      <c r="B1316" s="227" t="s">
        <v>984</v>
      </c>
      <c r="C1316" s="226" t="s">
        <v>684</v>
      </c>
      <c r="D1316" s="701" t="s">
        <v>738</v>
      </c>
      <c r="E1316" s="701"/>
      <c r="F1316" s="701"/>
      <c r="G1316" s="226" t="s">
        <v>12</v>
      </c>
      <c r="H1316" s="226">
        <v>4</v>
      </c>
      <c r="L1316" s="226">
        <v>4</v>
      </c>
    </row>
    <row r="1317" spans="1:12" ht="10.5" customHeight="1" x14ac:dyDescent="0.3">
      <c r="A1317" s="156" t="s">
        <v>776</v>
      </c>
      <c r="B1317" s="227" t="s">
        <v>985</v>
      </c>
      <c r="C1317" s="226" t="s">
        <v>684</v>
      </c>
      <c r="D1317" s="701" t="s">
        <v>738</v>
      </c>
      <c r="E1317" s="701"/>
      <c r="F1317" s="701"/>
      <c r="G1317" s="226" t="s">
        <v>12</v>
      </c>
      <c r="H1317" s="226">
        <v>4</v>
      </c>
      <c r="L1317" s="226">
        <v>4</v>
      </c>
    </row>
    <row r="1318" spans="1:12" ht="10.5" customHeight="1" x14ac:dyDescent="0.3">
      <c r="A1318" s="156" t="s">
        <v>787</v>
      </c>
      <c r="B1318" s="227" t="s">
        <v>986</v>
      </c>
      <c r="C1318" s="226" t="s">
        <v>684</v>
      </c>
      <c r="D1318" s="701" t="s">
        <v>738</v>
      </c>
      <c r="E1318" s="701"/>
      <c r="F1318" s="701"/>
      <c r="G1318" s="226" t="s">
        <v>12</v>
      </c>
      <c r="H1318" s="226">
        <v>4</v>
      </c>
      <c r="L1318" s="226">
        <v>4</v>
      </c>
    </row>
    <row r="1319" spans="1:12" ht="10.5" customHeight="1" x14ac:dyDescent="0.3">
      <c r="A1319" s="156" t="s">
        <v>789</v>
      </c>
      <c r="B1319" s="227" t="s">
        <v>987</v>
      </c>
      <c r="C1319" s="226" t="s">
        <v>684</v>
      </c>
      <c r="D1319" s="701" t="s">
        <v>738</v>
      </c>
      <c r="E1319" s="701"/>
      <c r="F1319" s="701"/>
      <c r="G1319" s="226" t="s">
        <v>12</v>
      </c>
      <c r="H1319" s="226">
        <v>4</v>
      </c>
      <c r="L1319" s="226">
        <v>4</v>
      </c>
    </row>
    <row r="1320" spans="1:12" ht="10.5" customHeight="1" x14ac:dyDescent="0.3">
      <c r="A1320" s="156" t="s">
        <v>791</v>
      </c>
      <c r="B1320" s="227" t="s">
        <v>988</v>
      </c>
      <c r="C1320" s="226" t="s">
        <v>684</v>
      </c>
      <c r="D1320" s="701" t="s">
        <v>738</v>
      </c>
      <c r="E1320" s="701"/>
      <c r="F1320" s="701"/>
      <c r="G1320" s="226" t="s">
        <v>12</v>
      </c>
      <c r="H1320" s="226">
        <v>2</v>
      </c>
      <c r="L1320" s="226">
        <v>2</v>
      </c>
    </row>
    <row r="1321" spans="1:12" ht="10.5" customHeight="1" x14ac:dyDescent="0.3">
      <c r="A1321" s="156" t="s">
        <v>1161</v>
      </c>
      <c r="B1321" s="227" t="s">
        <v>1126</v>
      </c>
      <c r="C1321" s="226" t="s">
        <v>1195</v>
      </c>
      <c r="D1321" s="701" t="s">
        <v>1160</v>
      </c>
      <c r="E1321" s="701"/>
      <c r="F1321" s="701"/>
      <c r="G1321" s="226" t="s">
        <v>12</v>
      </c>
      <c r="H1321" s="226">
        <v>4</v>
      </c>
      <c r="L1321" s="226">
        <v>4</v>
      </c>
    </row>
    <row r="1322" spans="1:12" ht="10.5" customHeight="1" x14ac:dyDescent="0.3">
      <c r="A1322" s="156" t="s">
        <v>1163</v>
      </c>
      <c r="B1322" s="227" t="s">
        <v>1128</v>
      </c>
      <c r="C1322" s="226" t="s">
        <v>1195</v>
      </c>
      <c r="D1322" s="701" t="s">
        <v>1160</v>
      </c>
      <c r="E1322" s="701"/>
      <c r="F1322" s="701"/>
      <c r="G1322" s="226" t="s">
        <v>12</v>
      </c>
      <c r="H1322" s="226">
        <v>4</v>
      </c>
      <c r="L1322" s="226">
        <v>4</v>
      </c>
    </row>
    <row r="1323" spans="1:12" ht="10.5" customHeight="1" x14ac:dyDescent="0.3">
      <c r="A1323" s="156" t="s">
        <v>1165</v>
      </c>
      <c r="B1323" s="227" t="s">
        <v>1130</v>
      </c>
      <c r="C1323" s="226" t="s">
        <v>1195</v>
      </c>
      <c r="D1323" s="701" t="s">
        <v>1160</v>
      </c>
      <c r="E1323" s="701"/>
      <c r="F1323" s="701"/>
      <c r="G1323" s="226" t="s">
        <v>12</v>
      </c>
      <c r="H1323" s="226">
        <v>4</v>
      </c>
      <c r="L1323" s="226">
        <v>4</v>
      </c>
    </row>
    <row r="1324" spans="1:12" ht="10.5" customHeight="1" x14ac:dyDescent="0.3">
      <c r="A1324" s="156" t="s">
        <v>1167</v>
      </c>
      <c r="B1324" s="227" t="s">
        <v>1132</v>
      </c>
      <c r="C1324" s="226" t="s">
        <v>1195</v>
      </c>
      <c r="D1324" s="701" t="s">
        <v>1160</v>
      </c>
      <c r="E1324" s="701"/>
      <c r="F1324" s="701"/>
      <c r="G1324" s="226" t="s">
        <v>12</v>
      </c>
      <c r="H1324" s="226">
        <v>4</v>
      </c>
      <c r="L1324" s="226">
        <v>4</v>
      </c>
    </row>
    <row r="1325" spans="1:12" ht="10.5" customHeight="1" x14ac:dyDescent="0.3">
      <c r="A1325" s="156" t="s">
        <v>1169</v>
      </c>
      <c r="B1325" s="227" t="s">
        <v>1134</v>
      </c>
      <c r="C1325" s="226" t="s">
        <v>1195</v>
      </c>
      <c r="D1325" s="701" t="s">
        <v>1160</v>
      </c>
      <c r="E1325" s="701"/>
      <c r="F1325" s="701"/>
      <c r="G1325" s="226" t="s">
        <v>12</v>
      </c>
      <c r="H1325" s="226">
        <v>4</v>
      </c>
      <c r="L1325" s="226">
        <v>4</v>
      </c>
    </row>
    <row r="1326" spans="1:12" ht="10.5" customHeight="1" x14ac:dyDescent="0.3">
      <c r="A1326" s="156" t="s">
        <v>1171</v>
      </c>
      <c r="B1326" s="227" t="s">
        <v>1136</v>
      </c>
      <c r="C1326" s="226" t="s">
        <v>1195</v>
      </c>
      <c r="D1326" s="701" t="s">
        <v>1160</v>
      </c>
      <c r="E1326" s="701"/>
      <c r="F1326" s="701"/>
      <c r="G1326" s="226" t="s">
        <v>12</v>
      </c>
      <c r="H1326" s="226">
        <v>4</v>
      </c>
      <c r="L1326" s="226">
        <v>4</v>
      </c>
    </row>
    <row r="1327" spans="1:12" ht="10.5" customHeight="1" x14ac:dyDescent="0.3">
      <c r="A1327" s="156" t="s">
        <v>1173</v>
      </c>
      <c r="B1327" s="227" t="s">
        <v>1138</v>
      </c>
      <c r="C1327" s="226" t="s">
        <v>1195</v>
      </c>
      <c r="D1327" s="701" t="s">
        <v>1160</v>
      </c>
      <c r="E1327" s="701"/>
      <c r="F1327" s="701"/>
      <c r="G1327" s="226" t="s">
        <v>12</v>
      </c>
      <c r="H1327" s="226">
        <v>4</v>
      </c>
      <c r="L1327" s="226">
        <v>4</v>
      </c>
    </row>
    <row r="1328" spans="1:12" ht="10.5" customHeight="1" x14ac:dyDescent="0.3">
      <c r="A1328" s="156" t="s">
        <v>1175</v>
      </c>
      <c r="B1328" s="227" t="s">
        <v>1140</v>
      </c>
      <c r="C1328" s="226" t="s">
        <v>1195</v>
      </c>
      <c r="D1328" s="701" t="s">
        <v>1160</v>
      </c>
      <c r="E1328" s="701"/>
      <c r="F1328" s="701"/>
      <c r="G1328" s="226" t="s">
        <v>12</v>
      </c>
      <c r="H1328" s="226">
        <v>4</v>
      </c>
      <c r="L1328" s="226">
        <v>4</v>
      </c>
    </row>
    <row r="1329" spans="1:13" ht="10.5" customHeight="1" x14ac:dyDescent="0.3">
      <c r="A1329" s="156" t="s">
        <v>1177</v>
      </c>
      <c r="B1329" s="227" t="s">
        <v>1142</v>
      </c>
      <c r="C1329" s="226" t="s">
        <v>1195</v>
      </c>
      <c r="D1329" s="701" t="s">
        <v>1160</v>
      </c>
      <c r="E1329" s="701"/>
      <c r="F1329" s="701"/>
      <c r="G1329" s="226" t="s">
        <v>12</v>
      </c>
      <c r="H1329" s="226">
        <v>4</v>
      </c>
      <c r="L1329" s="226">
        <v>4</v>
      </c>
    </row>
    <row r="1330" spans="1:13" ht="10.5" customHeight="1" x14ac:dyDescent="0.3">
      <c r="A1330" s="156" t="s">
        <v>1179</v>
      </c>
      <c r="B1330" s="227" t="s">
        <v>1144</v>
      </c>
      <c r="C1330" s="226" t="s">
        <v>1195</v>
      </c>
      <c r="D1330" s="701" t="s">
        <v>1160</v>
      </c>
      <c r="E1330" s="701"/>
      <c r="F1330" s="701"/>
      <c r="G1330" s="226" t="s">
        <v>12</v>
      </c>
      <c r="H1330" s="226">
        <v>4</v>
      </c>
      <c r="L1330" s="226">
        <v>4</v>
      </c>
    </row>
    <row r="1331" spans="1:13" ht="10.5" customHeight="1" x14ac:dyDescent="0.3">
      <c r="A1331" s="156" t="s">
        <v>1181</v>
      </c>
      <c r="B1331" s="227" t="s">
        <v>1146</v>
      </c>
      <c r="C1331" s="226" t="s">
        <v>1195</v>
      </c>
      <c r="D1331" s="701" t="s">
        <v>1160</v>
      </c>
      <c r="E1331" s="701"/>
      <c r="F1331" s="701"/>
      <c r="G1331" s="226" t="s">
        <v>12</v>
      </c>
      <c r="H1331" s="226">
        <v>4</v>
      </c>
      <c r="L1331" s="226">
        <v>4</v>
      </c>
    </row>
    <row r="1332" spans="1:13" ht="10.5" customHeight="1" x14ac:dyDescent="0.3">
      <c r="A1332" s="156" t="s">
        <v>1183</v>
      </c>
      <c r="B1332" s="227" t="s">
        <v>1148</v>
      </c>
      <c r="C1332" s="226" t="s">
        <v>1195</v>
      </c>
      <c r="D1332" s="701" t="s">
        <v>1160</v>
      </c>
      <c r="E1332" s="701"/>
      <c r="F1332" s="701"/>
      <c r="G1332" s="226" t="s">
        <v>12</v>
      </c>
      <c r="H1332" s="226">
        <v>4</v>
      </c>
      <c r="L1332" s="226">
        <v>4</v>
      </c>
    </row>
    <row r="1333" spans="1:13" ht="10.5" customHeight="1" x14ac:dyDescent="0.3">
      <c r="A1333" s="156" t="s">
        <v>1185</v>
      </c>
      <c r="B1333" s="227" t="s">
        <v>1150</v>
      </c>
      <c r="C1333" s="226" t="s">
        <v>1195</v>
      </c>
      <c r="D1333" s="701" t="s">
        <v>1160</v>
      </c>
      <c r="E1333" s="701"/>
      <c r="F1333" s="701"/>
      <c r="G1333" s="226" t="s">
        <v>12</v>
      </c>
      <c r="H1333" s="226">
        <v>4</v>
      </c>
      <c r="L1333" s="226">
        <v>4</v>
      </c>
    </row>
    <row r="1334" spans="1:13" ht="10.5" customHeight="1" x14ac:dyDescent="0.3">
      <c r="A1334" s="156" t="s">
        <v>1187</v>
      </c>
      <c r="B1334" s="227" t="s">
        <v>1152</v>
      </c>
      <c r="C1334" s="226" t="s">
        <v>1195</v>
      </c>
      <c r="D1334" s="701" t="s">
        <v>1160</v>
      </c>
      <c r="E1334" s="701"/>
      <c r="F1334" s="701"/>
      <c r="G1334" s="226" t="s">
        <v>12</v>
      </c>
      <c r="H1334" s="226">
        <v>4</v>
      </c>
      <c r="L1334" s="226">
        <v>4</v>
      </c>
    </row>
    <row r="1335" spans="1:13" ht="10.5" customHeight="1" x14ac:dyDescent="0.3">
      <c r="A1335" s="156" t="s">
        <v>1189</v>
      </c>
      <c r="B1335" s="227" t="s">
        <v>1154</v>
      </c>
      <c r="C1335" s="226" t="s">
        <v>1195</v>
      </c>
      <c r="D1335" s="701" t="s">
        <v>1160</v>
      </c>
      <c r="E1335" s="701"/>
      <c r="F1335" s="701"/>
      <c r="G1335" s="226" t="s">
        <v>12</v>
      </c>
      <c r="H1335" s="226">
        <v>4</v>
      </c>
      <c r="L1335" s="226">
        <v>4</v>
      </c>
    </row>
    <row r="1336" spans="1:13" ht="10.5" customHeight="1" x14ac:dyDescent="0.3">
      <c r="A1336" s="156" t="s">
        <v>1191</v>
      </c>
      <c r="B1336" s="227" t="s">
        <v>1156</v>
      </c>
      <c r="C1336" s="226" t="s">
        <v>1195</v>
      </c>
      <c r="D1336" s="701" t="s">
        <v>1160</v>
      </c>
      <c r="E1336" s="701"/>
      <c r="F1336" s="701"/>
      <c r="G1336" s="226" t="s">
        <v>12</v>
      </c>
      <c r="H1336" s="226">
        <v>4</v>
      </c>
      <c r="L1336" s="226">
        <v>4</v>
      </c>
    </row>
    <row r="1337" spans="1:13" ht="10.5" customHeight="1" x14ac:dyDescent="0.3">
      <c r="A1337" s="156" t="s">
        <v>1193</v>
      </c>
      <c r="B1337" s="227" t="s">
        <v>1158</v>
      </c>
      <c r="C1337" s="226" t="s">
        <v>1195</v>
      </c>
      <c r="D1337" s="701" t="s">
        <v>1160</v>
      </c>
      <c r="E1337" s="701"/>
      <c r="F1337" s="701"/>
      <c r="G1337" s="226" t="s">
        <v>12</v>
      </c>
      <c r="H1337" s="226">
        <v>4</v>
      </c>
      <c r="L1337" s="226">
        <v>4</v>
      </c>
    </row>
    <row r="1338" spans="1:13" ht="10.5" customHeight="1" x14ac:dyDescent="0.3">
      <c r="J1338" s="701" t="s">
        <v>203</v>
      </c>
      <c r="K1338" s="701"/>
      <c r="L1338" s="226">
        <v>426</v>
      </c>
    </row>
    <row r="1339" spans="1:13" ht="10.5" customHeight="1" x14ac:dyDescent="0.3"/>
    <row r="1340" spans="1:13" ht="25.5" customHeight="1" x14ac:dyDescent="0.3">
      <c r="A1340" s="226" t="s">
        <v>11</v>
      </c>
      <c r="B1340" s="226" t="s">
        <v>243</v>
      </c>
      <c r="C1340" s="701" t="s">
        <v>35</v>
      </c>
      <c r="D1340" s="701"/>
      <c r="E1340" s="702" t="s">
        <v>1398</v>
      </c>
      <c r="F1340" s="702"/>
      <c r="G1340" s="702"/>
      <c r="H1340" s="702"/>
      <c r="I1340" s="226" t="s">
        <v>105</v>
      </c>
      <c r="J1340" s="226" t="s">
        <v>124</v>
      </c>
      <c r="K1340" s="226" t="s">
        <v>13</v>
      </c>
      <c r="L1340" s="231">
        <v>2205</v>
      </c>
    </row>
    <row r="1341" spans="1:13" ht="10.5" customHeight="1" x14ac:dyDescent="0.3"/>
    <row r="1342" spans="1:13" ht="10.5" customHeight="1" x14ac:dyDescent="0.3">
      <c r="A1342" s="234" t="s">
        <v>201</v>
      </c>
      <c r="B1342" s="234" t="s">
        <v>200</v>
      </c>
      <c r="C1342" s="234" t="s">
        <v>200</v>
      </c>
      <c r="D1342" s="703" t="s">
        <v>193</v>
      </c>
      <c r="E1342" s="703"/>
      <c r="F1342" s="703"/>
      <c r="G1342" s="234" t="s">
        <v>12</v>
      </c>
      <c r="H1342" s="234" t="s">
        <v>194</v>
      </c>
      <c r="I1342" s="234" t="s">
        <v>196</v>
      </c>
      <c r="J1342" s="234" t="s">
        <v>195</v>
      </c>
      <c r="K1342" s="234" t="s">
        <v>197</v>
      </c>
      <c r="L1342" s="234" t="s">
        <v>198</v>
      </c>
      <c r="M1342" s="100"/>
    </row>
    <row r="1343" spans="1:13" ht="10.5" customHeight="1" x14ac:dyDescent="0.3">
      <c r="A1343" s="156" t="s">
        <v>597</v>
      </c>
      <c r="B1343" s="227" t="s">
        <v>673</v>
      </c>
      <c r="C1343" s="226" t="s">
        <v>662</v>
      </c>
      <c r="D1343" s="701" t="s">
        <v>685</v>
      </c>
      <c r="E1343" s="701"/>
      <c r="F1343" s="701"/>
      <c r="G1343" s="226" t="s">
        <v>124</v>
      </c>
      <c r="H1343" s="226">
        <v>1</v>
      </c>
      <c r="I1343" s="232">
        <v>158.80940000000001</v>
      </c>
      <c r="J1343" s="226">
        <v>2</v>
      </c>
      <c r="K1343" s="226">
        <v>0.15</v>
      </c>
      <c r="L1343" s="232">
        <v>47.64282</v>
      </c>
    </row>
    <row r="1344" spans="1:13" ht="10.5" customHeight="1" x14ac:dyDescent="0.3">
      <c r="A1344" s="156" t="s">
        <v>598</v>
      </c>
      <c r="B1344" s="227" t="s">
        <v>674</v>
      </c>
      <c r="C1344" s="226" t="s">
        <v>662</v>
      </c>
      <c r="D1344" s="701" t="s">
        <v>685</v>
      </c>
      <c r="E1344" s="701"/>
      <c r="F1344" s="701"/>
      <c r="G1344" s="226" t="s">
        <v>124</v>
      </c>
      <c r="H1344" s="226">
        <v>1</v>
      </c>
      <c r="I1344" s="232">
        <v>196.35719999999998</v>
      </c>
      <c r="J1344" s="226">
        <v>2</v>
      </c>
      <c r="K1344" s="226">
        <v>0.15</v>
      </c>
      <c r="L1344" s="232">
        <v>58.90715999999999</v>
      </c>
    </row>
    <row r="1345" spans="1:12" ht="10.5" customHeight="1" x14ac:dyDescent="0.3">
      <c r="A1345" s="156" t="s">
        <v>601</v>
      </c>
      <c r="B1345" s="227" t="s">
        <v>677</v>
      </c>
      <c r="C1345" s="226" t="s">
        <v>662</v>
      </c>
      <c r="D1345" s="701" t="s">
        <v>685</v>
      </c>
      <c r="E1345" s="701"/>
      <c r="F1345" s="701"/>
      <c r="G1345" s="226" t="s">
        <v>124</v>
      </c>
      <c r="H1345" s="226">
        <v>1</v>
      </c>
      <c r="I1345" s="232">
        <v>76.858599999999981</v>
      </c>
      <c r="J1345" s="226">
        <v>2</v>
      </c>
      <c r="K1345" s="226">
        <v>0.15</v>
      </c>
      <c r="L1345" s="232">
        <v>23.057579999999994</v>
      </c>
    </row>
    <row r="1346" spans="1:12" ht="10.5" customHeight="1" x14ac:dyDescent="0.3">
      <c r="A1346" s="156" t="s">
        <v>602</v>
      </c>
      <c r="B1346" s="227" t="s">
        <v>681</v>
      </c>
      <c r="C1346" s="226" t="s">
        <v>662</v>
      </c>
      <c r="D1346" s="701" t="s">
        <v>685</v>
      </c>
      <c r="E1346" s="701"/>
      <c r="F1346" s="701"/>
      <c r="G1346" s="226" t="s">
        <v>124</v>
      </c>
      <c r="H1346" s="226">
        <v>1</v>
      </c>
      <c r="I1346" s="232">
        <v>80.00739999999999</v>
      </c>
      <c r="J1346" s="226">
        <v>2</v>
      </c>
      <c r="K1346" s="226">
        <v>0.15</v>
      </c>
      <c r="L1346" s="232">
        <v>24.002219999999998</v>
      </c>
    </row>
    <row r="1347" spans="1:12" ht="10.5" customHeight="1" x14ac:dyDescent="0.3">
      <c r="A1347" s="156" t="s">
        <v>635</v>
      </c>
      <c r="B1347" s="227" t="s">
        <v>1111</v>
      </c>
      <c r="C1347" s="226" t="s">
        <v>662</v>
      </c>
      <c r="D1347" s="701" t="s">
        <v>685</v>
      </c>
      <c r="E1347" s="701"/>
      <c r="F1347" s="701"/>
      <c r="G1347" s="226" t="s">
        <v>124</v>
      </c>
      <c r="H1347" s="226">
        <v>1</v>
      </c>
      <c r="I1347" s="232">
        <v>89.174999999999997</v>
      </c>
      <c r="J1347" s="226">
        <v>2</v>
      </c>
      <c r="K1347" s="226">
        <v>0.15</v>
      </c>
      <c r="L1347" s="232">
        <v>26.752499999999998</v>
      </c>
    </row>
    <row r="1348" spans="1:12" ht="10.5" customHeight="1" x14ac:dyDescent="0.3">
      <c r="A1348" s="156" t="s">
        <v>636</v>
      </c>
      <c r="B1348" s="227" t="s">
        <v>710</v>
      </c>
      <c r="C1348" s="226" t="s">
        <v>666</v>
      </c>
      <c r="D1348" s="701" t="s">
        <v>729</v>
      </c>
      <c r="E1348" s="701"/>
      <c r="F1348" s="701"/>
      <c r="G1348" s="226" t="s">
        <v>124</v>
      </c>
      <c r="H1348" s="226">
        <v>1</v>
      </c>
      <c r="I1348" s="232">
        <v>153.2088</v>
      </c>
      <c r="J1348" s="226">
        <v>2</v>
      </c>
      <c r="K1348" s="226">
        <v>0.15</v>
      </c>
      <c r="L1348" s="232">
        <v>45.96264</v>
      </c>
    </row>
    <row r="1349" spans="1:12" ht="10.5" customHeight="1" x14ac:dyDescent="0.3">
      <c r="A1349" s="156" t="s">
        <v>637</v>
      </c>
      <c r="B1349" s="227" t="s">
        <v>709</v>
      </c>
      <c r="C1349" s="226" t="s">
        <v>666</v>
      </c>
      <c r="D1349" s="701" t="s">
        <v>729</v>
      </c>
      <c r="E1349" s="701"/>
      <c r="F1349" s="701"/>
      <c r="G1349" s="226" t="s">
        <v>124</v>
      </c>
      <c r="H1349" s="226">
        <v>1</v>
      </c>
      <c r="I1349" s="232">
        <v>111.4708</v>
      </c>
      <c r="J1349" s="226">
        <v>2</v>
      </c>
      <c r="K1349" s="226">
        <v>0.15</v>
      </c>
      <c r="L1349" s="232">
        <v>33.441240000000001</v>
      </c>
    </row>
    <row r="1350" spans="1:12" ht="10.5" customHeight="1" x14ac:dyDescent="0.3">
      <c r="A1350" s="156" t="s">
        <v>663</v>
      </c>
      <c r="B1350" s="227" t="s">
        <v>711</v>
      </c>
      <c r="C1350" s="226" t="s">
        <v>666</v>
      </c>
      <c r="D1350" s="701" t="s">
        <v>729</v>
      </c>
      <c r="E1350" s="701"/>
      <c r="F1350" s="701"/>
      <c r="G1350" s="226" t="s">
        <v>124</v>
      </c>
      <c r="H1350" s="226">
        <v>1</v>
      </c>
      <c r="I1350" s="232">
        <v>202.81059999999997</v>
      </c>
      <c r="J1350" s="226">
        <v>2</v>
      </c>
      <c r="K1350" s="226">
        <v>0.15</v>
      </c>
      <c r="L1350" s="232">
        <v>60.84317999999999</v>
      </c>
    </row>
    <row r="1351" spans="1:12" ht="10.5" customHeight="1" x14ac:dyDescent="0.3">
      <c r="A1351" s="156" t="s">
        <v>664</v>
      </c>
      <c r="B1351" s="227" t="s">
        <v>715</v>
      </c>
      <c r="C1351" s="226" t="s">
        <v>666</v>
      </c>
      <c r="D1351" s="701" t="s">
        <v>729</v>
      </c>
      <c r="E1351" s="701"/>
      <c r="F1351" s="701"/>
      <c r="G1351" s="226" t="s">
        <v>124</v>
      </c>
      <c r="H1351" s="226">
        <v>1</v>
      </c>
      <c r="I1351" s="232">
        <v>132.79899999999998</v>
      </c>
      <c r="J1351" s="226">
        <v>2</v>
      </c>
      <c r="K1351" s="226">
        <v>0.15</v>
      </c>
      <c r="L1351" s="232">
        <v>39.839699999999993</v>
      </c>
    </row>
    <row r="1352" spans="1:12" ht="10.5" customHeight="1" x14ac:dyDescent="0.3">
      <c r="A1352" s="156" t="s">
        <v>665</v>
      </c>
      <c r="B1352" s="227" t="s">
        <v>1112</v>
      </c>
      <c r="C1352" s="226" t="s">
        <v>666</v>
      </c>
      <c r="D1352" s="701" t="s">
        <v>729</v>
      </c>
      <c r="E1352" s="701"/>
      <c r="F1352" s="701"/>
      <c r="G1352" s="226" t="s">
        <v>124</v>
      </c>
      <c r="H1352" s="226">
        <v>1</v>
      </c>
      <c r="I1352" s="232">
        <v>41.196799999999996</v>
      </c>
      <c r="J1352" s="226">
        <v>2</v>
      </c>
      <c r="K1352" s="226">
        <v>0.15</v>
      </c>
      <c r="L1352" s="232">
        <v>12.359039999999998</v>
      </c>
    </row>
    <row r="1353" spans="1:12" ht="10.5" customHeight="1" x14ac:dyDescent="0.3">
      <c r="A1353" s="156" t="s">
        <v>667</v>
      </c>
      <c r="B1353" s="227" t="s">
        <v>728</v>
      </c>
      <c r="C1353" s="226" t="s">
        <v>666</v>
      </c>
      <c r="D1353" s="701" t="s">
        <v>729</v>
      </c>
      <c r="E1353" s="701"/>
      <c r="F1353" s="701"/>
      <c r="G1353" s="226" t="s">
        <v>124</v>
      </c>
      <c r="H1353" s="226">
        <v>1</v>
      </c>
      <c r="I1353" s="232">
        <v>278.72619999999995</v>
      </c>
      <c r="J1353" s="226">
        <v>2</v>
      </c>
      <c r="K1353" s="226">
        <v>0.15</v>
      </c>
      <c r="L1353" s="232">
        <v>83.617859999999979</v>
      </c>
    </row>
    <row r="1354" spans="1:12" ht="10.5" customHeight="1" x14ac:dyDescent="0.3">
      <c r="A1354" s="156" t="s">
        <v>668</v>
      </c>
      <c r="B1354" s="227" t="s">
        <v>838</v>
      </c>
      <c r="C1354" s="226" t="s">
        <v>683</v>
      </c>
      <c r="D1354" s="701" t="s">
        <v>855</v>
      </c>
      <c r="E1354" s="701"/>
      <c r="F1354" s="701"/>
      <c r="G1354" s="226" t="s">
        <v>124</v>
      </c>
      <c r="H1354" s="226">
        <v>1</v>
      </c>
      <c r="I1354" s="232">
        <v>134.53739999999999</v>
      </c>
      <c r="J1354" s="226">
        <v>2</v>
      </c>
      <c r="K1354" s="226">
        <v>0.15</v>
      </c>
      <c r="L1354" s="232">
        <v>40.361219999999996</v>
      </c>
    </row>
    <row r="1355" spans="1:12" ht="10.5" customHeight="1" x14ac:dyDescent="0.3">
      <c r="A1355" s="156" t="s">
        <v>669</v>
      </c>
      <c r="B1355" s="227" t="s">
        <v>840</v>
      </c>
      <c r="C1355" s="226" t="s">
        <v>683</v>
      </c>
      <c r="D1355" s="701" t="s">
        <v>855</v>
      </c>
      <c r="E1355" s="701"/>
      <c r="F1355" s="701"/>
      <c r="G1355" s="226" t="s">
        <v>124</v>
      </c>
      <c r="H1355" s="226">
        <v>1</v>
      </c>
      <c r="I1355" s="232">
        <v>62.01659999999999</v>
      </c>
      <c r="J1355" s="226">
        <v>2</v>
      </c>
      <c r="K1355" s="226">
        <v>0.15</v>
      </c>
      <c r="L1355" s="232">
        <v>18.604979999999998</v>
      </c>
    </row>
    <row r="1356" spans="1:12" ht="10.5" customHeight="1" x14ac:dyDescent="0.3">
      <c r="A1356" s="156" t="s">
        <v>670</v>
      </c>
      <c r="B1356" s="227" t="s">
        <v>842</v>
      </c>
      <c r="C1356" s="226" t="s">
        <v>683</v>
      </c>
      <c r="D1356" s="701" t="s">
        <v>855</v>
      </c>
      <c r="E1356" s="701"/>
      <c r="F1356" s="701"/>
      <c r="G1356" s="226" t="s">
        <v>124</v>
      </c>
      <c r="H1356" s="226">
        <v>1</v>
      </c>
      <c r="I1356" s="232">
        <v>57.104799999999997</v>
      </c>
      <c r="J1356" s="226">
        <v>1</v>
      </c>
      <c r="K1356" s="226">
        <v>0.15</v>
      </c>
      <c r="L1356" s="232">
        <v>8.5657199999999989</v>
      </c>
    </row>
    <row r="1357" spans="1:12" ht="10.5" customHeight="1" x14ac:dyDescent="0.3">
      <c r="A1357" s="156" t="s">
        <v>671</v>
      </c>
      <c r="B1357" s="227" t="s">
        <v>914</v>
      </c>
      <c r="C1357" s="226" t="s">
        <v>683</v>
      </c>
      <c r="D1357" s="701" t="s">
        <v>855</v>
      </c>
      <c r="E1357" s="701"/>
      <c r="F1357" s="701"/>
      <c r="G1357" s="226" t="s">
        <v>124</v>
      </c>
      <c r="H1357" s="226">
        <v>1</v>
      </c>
      <c r="I1357" s="232">
        <v>49.749400000000001</v>
      </c>
      <c r="J1357" s="226">
        <v>1</v>
      </c>
      <c r="K1357" s="226">
        <v>0.15</v>
      </c>
      <c r="L1357" s="232">
        <v>7.4624100000000002</v>
      </c>
    </row>
    <row r="1358" spans="1:12" ht="10.5" customHeight="1" x14ac:dyDescent="0.3">
      <c r="A1358" s="156" t="s">
        <v>680</v>
      </c>
      <c r="B1358" s="227" t="s">
        <v>1048</v>
      </c>
      <c r="C1358" s="226" t="s">
        <v>683</v>
      </c>
      <c r="D1358" s="701" t="s">
        <v>855</v>
      </c>
      <c r="E1358" s="701"/>
      <c r="F1358" s="701"/>
      <c r="G1358" s="226" t="s">
        <v>124</v>
      </c>
      <c r="H1358" s="226">
        <v>1</v>
      </c>
      <c r="I1358" s="232">
        <v>245.5736</v>
      </c>
      <c r="J1358" s="226">
        <v>2</v>
      </c>
      <c r="K1358" s="226">
        <v>0.15</v>
      </c>
      <c r="L1358" s="232">
        <v>73.672079999999994</v>
      </c>
    </row>
    <row r="1359" spans="1:12" ht="10.5" customHeight="1" x14ac:dyDescent="0.3">
      <c r="A1359" s="156" t="s">
        <v>716</v>
      </c>
      <c r="B1359" s="227" t="s">
        <v>848</v>
      </c>
      <c r="C1359" s="226" t="s">
        <v>683</v>
      </c>
      <c r="D1359" s="701" t="s">
        <v>855</v>
      </c>
      <c r="E1359" s="701"/>
      <c r="F1359" s="701"/>
      <c r="G1359" s="226" t="s">
        <v>124</v>
      </c>
      <c r="H1359" s="226">
        <v>1</v>
      </c>
      <c r="I1359" s="232">
        <v>127.91999999999999</v>
      </c>
      <c r="J1359" s="226">
        <v>2</v>
      </c>
      <c r="K1359" s="226">
        <v>0.15</v>
      </c>
      <c r="L1359" s="232">
        <v>38.375999999999998</v>
      </c>
    </row>
    <row r="1360" spans="1:12" ht="10.5" customHeight="1" x14ac:dyDescent="0.3">
      <c r="A1360" s="156" t="s">
        <v>717</v>
      </c>
      <c r="B1360" s="227" t="s">
        <v>1113</v>
      </c>
      <c r="C1360" s="226" t="s">
        <v>683</v>
      </c>
      <c r="D1360" s="701" t="s">
        <v>855</v>
      </c>
      <c r="E1360" s="701"/>
      <c r="F1360" s="701"/>
      <c r="G1360" s="226" t="s">
        <v>124</v>
      </c>
      <c r="H1360" s="226">
        <v>1</v>
      </c>
      <c r="I1360" s="232">
        <v>343.31760000000003</v>
      </c>
      <c r="J1360" s="226">
        <v>2</v>
      </c>
      <c r="K1360" s="226">
        <v>0.15</v>
      </c>
      <c r="L1360" s="232">
        <v>102.99528000000001</v>
      </c>
    </row>
    <row r="1361" spans="1:15" ht="10.5" customHeight="1" x14ac:dyDescent="0.3">
      <c r="A1361" s="156" t="s">
        <v>718</v>
      </c>
      <c r="B1361" s="227" t="s">
        <v>1116</v>
      </c>
      <c r="C1361" s="226" t="s">
        <v>683</v>
      </c>
      <c r="D1361" s="701" t="s">
        <v>855</v>
      </c>
      <c r="E1361" s="701"/>
      <c r="F1361" s="701"/>
      <c r="G1361" s="226" t="s">
        <v>124</v>
      </c>
      <c r="H1361" s="226">
        <v>1</v>
      </c>
      <c r="I1361" s="232">
        <v>248.36979999999997</v>
      </c>
      <c r="J1361" s="226">
        <v>2</v>
      </c>
      <c r="K1361" s="226">
        <v>0.15</v>
      </c>
      <c r="L1361" s="232">
        <v>74.510939999999991</v>
      </c>
    </row>
    <row r="1362" spans="1:15" ht="10.5" customHeight="1" x14ac:dyDescent="0.3">
      <c r="A1362" s="156" t="s">
        <v>719</v>
      </c>
      <c r="B1362" s="227" t="s">
        <v>739</v>
      </c>
      <c r="C1362" s="226" t="s">
        <v>684</v>
      </c>
      <c r="D1362" s="701" t="s">
        <v>738</v>
      </c>
      <c r="E1362" s="701"/>
      <c r="F1362" s="701"/>
      <c r="G1362" s="226" t="s">
        <v>124</v>
      </c>
      <c r="H1362" s="226">
        <v>1</v>
      </c>
      <c r="I1362" s="232">
        <v>278.04560000000004</v>
      </c>
      <c r="J1362" s="226">
        <v>2</v>
      </c>
      <c r="K1362" s="226">
        <v>0.15</v>
      </c>
      <c r="L1362" s="232">
        <v>83.413680000000014</v>
      </c>
    </row>
    <row r="1363" spans="1:15" ht="10.5" customHeight="1" x14ac:dyDescent="0.3">
      <c r="A1363" s="156" t="s">
        <v>720</v>
      </c>
      <c r="B1363" s="227" t="s">
        <v>782</v>
      </c>
      <c r="C1363" s="226" t="s">
        <v>684</v>
      </c>
      <c r="D1363" s="701" t="s">
        <v>738</v>
      </c>
      <c r="E1363" s="701"/>
      <c r="F1363" s="701"/>
      <c r="G1363" s="226" t="s">
        <v>124</v>
      </c>
      <c r="H1363" s="226">
        <v>1</v>
      </c>
      <c r="I1363" s="232">
        <v>489.41699999999997</v>
      </c>
      <c r="J1363" s="226">
        <v>2</v>
      </c>
      <c r="K1363" s="226">
        <v>0.15</v>
      </c>
      <c r="L1363" s="232">
        <v>146.82509999999999</v>
      </c>
    </row>
    <row r="1364" spans="1:15" ht="10.5" customHeight="1" x14ac:dyDescent="0.3">
      <c r="A1364" s="156" t="s">
        <v>721</v>
      </c>
      <c r="B1364" s="227" t="s">
        <v>784</v>
      </c>
      <c r="C1364" s="226" t="s">
        <v>684</v>
      </c>
      <c r="D1364" s="701" t="s">
        <v>738</v>
      </c>
      <c r="E1364" s="701"/>
      <c r="F1364" s="701"/>
      <c r="G1364" s="226" t="s">
        <v>124</v>
      </c>
      <c r="H1364" s="226">
        <v>1</v>
      </c>
      <c r="I1364" s="232">
        <v>477.60899999999992</v>
      </c>
      <c r="J1364" s="226">
        <v>2</v>
      </c>
      <c r="K1364" s="226">
        <v>0.15</v>
      </c>
      <c r="L1364" s="232">
        <v>143.28269999999998</v>
      </c>
    </row>
    <row r="1365" spans="1:15" ht="10.5" customHeight="1" x14ac:dyDescent="0.3">
      <c r="A1365" s="156" t="s">
        <v>723</v>
      </c>
      <c r="B1365" s="227" t="s">
        <v>783</v>
      </c>
      <c r="C1365" s="226" t="s">
        <v>684</v>
      </c>
      <c r="D1365" s="701" t="s">
        <v>738</v>
      </c>
      <c r="E1365" s="701"/>
      <c r="F1365" s="701"/>
      <c r="G1365" s="226" t="s">
        <v>124</v>
      </c>
      <c r="H1365" s="226">
        <v>1</v>
      </c>
      <c r="I1365" s="232">
        <v>472.45940000000002</v>
      </c>
      <c r="J1365" s="226">
        <v>2</v>
      </c>
      <c r="K1365" s="226">
        <v>0.15</v>
      </c>
      <c r="L1365" s="232">
        <v>141.73782</v>
      </c>
    </row>
    <row r="1366" spans="1:15" ht="10.5" customHeight="1" x14ac:dyDescent="0.3">
      <c r="A1366" s="156" t="s">
        <v>733</v>
      </c>
      <c r="B1366" s="227" t="s">
        <v>804</v>
      </c>
      <c r="C1366" s="226" t="s">
        <v>684</v>
      </c>
      <c r="D1366" s="701" t="s">
        <v>738</v>
      </c>
      <c r="E1366" s="701"/>
      <c r="F1366" s="701"/>
      <c r="G1366" s="226" t="s">
        <v>124</v>
      </c>
      <c r="H1366" s="226">
        <v>1</v>
      </c>
      <c r="I1366" s="232">
        <v>277.38139999999999</v>
      </c>
      <c r="J1366" s="226">
        <v>2</v>
      </c>
      <c r="K1366" s="226">
        <v>0.15</v>
      </c>
      <c r="L1366" s="232">
        <v>83.21441999999999</v>
      </c>
    </row>
    <row r="1367" spans="1:15" ht="10.5" customHeight="1" x14ac:dyDescent="0.3">
      <c r="A1367" s="156" t="s">
        <v>737</v>
      </c>
      <c r="B1367" s="227" t="s">
        <v>808</v>
      </c>
      <c r="C1367" s="226" t="s">
        <v>684</v>
      </c>
      <c r="D1367" s="701" t="s">
        <v>738</v>
      </c>
      <c r="E1367" s="701"/>
      <c r="F1367" s="701"/>
      <c r="G1367" s="226" t="s">
        <v>124</v>
      </c>
      <c r="H1367" s="226">
        <v>1</v>
      </c>
      <c r="I1367" s="232">
        <v>278.16039999999998</v>
      </c>
      <c r="J1367" s="226">
        <v>2</v>
      </c>
      <c r="K1367" s="226">
        <v>0.15</v>
      </c>
      <c r="L1367" s="232">
        <v>83.448119999999989</v>
      </c>
    </row>
    <row r="1368" spans="1:15" ht="10.5" customHeight="1" x14ac:dyDescent="0.3">
      <c r="A1368" s="156" t="s">
        <v>777</v>
      </c>
      <c r="B1368" s="227" t="s">
        <v>814</v>
      </c>
      <c r="C1368" s="226" t="s">
        <v>684</v>
      </c>
      <c r="D1368" s="701" t="s">
        <v>738</v>
      </c>
      <c r="E1368" s="701"/>
      <c r="F1368" s="701"/>
      <c r="G1368" s="226" t="s">
        <v>124</v>
      </c>
      <c r="H1368" s="226">
        <v>1</v>
      </c>
      <c r="I1368" s="232">
        <v>442.73439999999982</v>
      </c>
      <c r="J1368" s="226">
        <v>2</v>
      </c>
      <c r="K1368" s="226">
        <v>0.15</v>
      </c>
      <c r="L1368" s="232">
        <v>132.82031999999995</v>
      </c>
    </row>
    <row r="1369" spans="1:15" ht="10.5" customHeight="1" x14ac:dyDescent="0.3">
      <c r="A1369" s="156" t="s">
        <v>785</v>
      </c>
      <c r="B1369" s="227" t="s">
        <v>820</v>
      </c>
      <c r="C1369" s="226" t="s">
        <v>684</v>
      </c>
      <c r="D1369" s="701" t="s">
        <v>738</v>
      </c>
      <c r="E1369" s="701"/>
      <c r="F1369" s="701"/>
      <c r="G1369" s="226" t="s">
        <v>124</v>
      </c>
      <c r="H1369" s="226">
        <v>1</v>
      </c>
      <c r="I1369" s="232">
        <v>232.92919999999998</v>
      </c>
      <c r="J1369" s="226">
        <v>2</v>
      </c>
      <c r="K1369" s="226">
        <v>0.15</v>
      </c>
      <c r="L1369" s="232">
        <v>69.878759999999986</v>
      </c>
    </row>
    <row r="1370" spans="1:15" ht="10.5" customHeight="1" x14ac:dyDescent="0.3">
      <c r="A1370" s="156" t="s">
        <v>798</v>
      </c>
      <c r="B1370" s="227" t="s">
        <v>834</v>
      </c>
      <c r="C1370" s="226" t="s">
        <v>684</v>
      </c>
      <c r="D1370" s="701" t="s">
        <v>738</v>
      </c>
      <c r="E1370" s="701"/>
      <c r="F1370" s="701"/>
      <c r="G1370" s="226" t="s">
        <v>124</v>
      </c>
      <c r="H1370" s="226">
        <v>1</v>
      </c>
      <c r="I1370" s="232">
        <v>257.04539999999997</v>
      </c>
      <c r="J1370" s="226">
        <v>2</v>
      </c>
      <c r="K1370" s="226">
        <v>0.15</v>
      </c>
      <c r="L1370" s="232">
        <v>77.113619999999983</v>
      </c>
    </row>
    <row r="1371" spans="1:15" ht="10.5" customHeight="1" x14ac:dyDescent="0.3">
      <c r="A1371" s="156" t="s">
        <v>799</v>
      </c>
      <c r="B1371" s="227" t="s">
        <v>833</v>
      </c>
      <c r="C1371" s="226" t="s">
        <v>684</v>
      </c>
      <c r="D1371" s="701" t="s">
        <v>738</v>
      </c>
      <c r="E1371" s="701"/>
      <c r="F1371" s="701"/>
      <c r="G1371" s="226" t="s">
        <v>124</v>
      </c>
      <c r="H1371" s="226">
        <v>1</v>
      </c>
      <c r="I1371" s="232">
        <v>257.04540000000003</v>
      </c>
      <c r="J1371" s="226">
        <v>2</v>
      </c>
      <c r="K1371" s="226">
        <v>0.15</v>
      </c>
      <c r="L1371" s="232">
        <v>77.113620000000012</v>
      </c>
    </row>
    <row r="1372" spans="1:15" ht="10.5" customHeight="1" x14ac:dyDescent="0.3">
      <c r="A1372" s="156" t="s">
        <v>1194</v>
      </c>
      <c r="B1372" s="227" t="s">
        <v>1159</v>
      </c>
      <c r="C1372" s="226" t="s">
        <v>1195</v>
      </c>
      <c r="D1372" s="701" t="s">
        <v>1160</v>
      </c>
      <c r="E1372" s="701"/>
      <c r="F1372" s="701"/>
      <c r="G1372" s="226" t="s">
        <v>124</v>
      </c>
      <c r="H1372" s="226">
        <v>1</v>
      </c>
      <c r="I1372" s="232">
        <v>1152.2557999999997</v>
      </c>
      <c r="J1372" s="226">
        <v>2</v>
      </c>
      <c r="K1372" s="226">
        <v>0.15</v>
      </c>
      <c r="L1372" s="232">
        <v>345.67673999999988</v>
      </c>
    </row>
    <row r="1373" spans="1:15" ht="10.5" customHeight="1" x14ac:dyDescent="0.3">
      <c r="J1373" s="701" t="s">
        <v>203</v>
      </c>
      <c r="K1373" s="701"/>
      <c r="L1373" s="232">
        <v>2205.4994699999997</v>
      </c>
      <c r="M1373" s="227"/>
      <c r="N1373" s="227"/>
      <c r="O1373" s="227"/>
    </row>
    <row r="1374" spans="1:15" ht="10.5" customHeight="1" x14ac:dyDescent="0.3">
      <c r="M1374" s="227"/>
      <c r="N1374" s="227"/>
      <c r="O1374" s="227"/>
    </row>
    <row r="1375" spans="1:15" ht="27.75" customHeight="1" x14ac:dyDescent="0.3">
      <c r="A1375" s="226" t="s">
        <v>11</v>
      </c>
      <c r="B1375" s="226" t="s">
        <v>249</v>
      </c>
      <c r="C1375" s="701" t="s">
        <v>35</v>
      </c>
      <c r="D1375" s="701"/>
      <c r="E1375" s="702" t="s">
        <v>1397</v>
      </c>
      <c r="F1375" s="702"/>
      <c r="G1375" s="702"/>
      <c r="H1375" s="702"/>
      <c r="I1375" s="226" t="s">
        <v>105</v>
      </c>
      <c r="J1375" s="226" t="s">
        <v>26</v>
      </c>
      <c r="K1375" s="226" t="s">
        <v>13</v>
      </c>
      <c r="L1375" s="231">
        <v>14703</v>
      </c>
      <c r="M1375" s="227"/>
      <c r="N1375" s="227"/>
      <c r="O1375" s="227"/>
    </row>
    <row r="1376" spans="1:15" ht="10.5" customHeight="1" x14ac:dyDescent="0.3">
      <c r="M1376" s="227"/>
      <c r="N1376" s="227"/>
      <c r="O1376" s="227"/>
    </row>
    <row r="1377" spans="1:15" ht="10.5" customHeight="1" x14ac:dyDescent="0.3">
      <c r="A1377" s="234" t="s">
        <v>201</v>
      </c>
      <c r="B1377" s="234" t="s">
        <v>200</v>
      </c>
      <c r="C1377" s="234" t="s">
        <v>200</v>
      </c>
      <c r="D1377" s="235" t="s">
        <v>193</v>
      </c>
      <c r="E1377" s="235"/>
      <c r="F1377" s="235"/>
      <c r="G1377" s="234" t="s">
        <v>12</v>
      </c>
      <c r="H1377" s="234" t="s">
        <v>194</v>
      </c>
      <c r="I1377" s="234" t="s">
        <v>196</v>
      </c>
      <c r="J1377" s="234" t="s">
        <v>195</v>
      </c>
      <c r="K1377" s="234" t="s">
        <v>197</v>
      </c>
      <c r="L1377" s="234" t="s">
        <v>198</v>
      </c>
      <c r="M1377" s="227"/>
      <c r="N1377" s="227"/>
      <c r="O1377" s="227"/>
    </row>
    <row r="1378" spans="1:15" ht="10.5" customHeight="1" x14ac:dyDescent="0.3">
      <c r="A1378" s="156" t="s">
        <v>597</v>
      </c>
      <c r="B1378" s="227" t="s">
        <v>673</v>
      </c>
      <c r="C1378" s="226" t="s">
        <v>662</v>
      </c>
      <c r="D1378" s="701" t="s">
        <v>685</v>
      </c>
      <c r="E1378" s="701"/>
      <c r="F1378" s="701"/>
      <c r="G1378" s="226" t="s">
        <v>26</v>
      </c>
      <c r="H1378" s="226">
        <v>1</v>
      </c>
      <c r="I1378" s="233">
        <v>158.80940000000001</v>
      </c>
      <c r="J1378" s="226">
        <v>2</v>
      </c>
      <c r="L1378" s="232">
        <v>317.61880000000002</v>
      </c>
    </row>
    <row r="1379" spans="1:15" ht="10.5" customHeight="1" x14ac:dyDescent="0.3">
      <c r="A1379" s="156" t="s">
        <v>598</v>
      </c>
      <c r="B1379" s="227" t="s">
        <v>674</v>
      </c>
      <c r="C1379" s="226" t="s">
        <v>662</v>
      </c>
      <c r="D1379" s="701" t="s">
        <v>685</v>
      </c>
      <c r="E1379" s="701"/>
      <c r="F1379" s="701"/>
      <c r="G1379" s="226" t="s">
        <v>26</v>
      </c>
      <c r="H1379" s="226">
        <v>1</v>
      </c>
      <c r="I1379" s="233">
        <v>196.35719999999998</v>
      </c>
      <c r="J1379" s="226">
        <v>2</v>
      </c>
      <c r="L1379" s="232">
        <v>392.71439999999996</v>
      </c>
    </row>
    <row r="1380" spans="1:15" ht="10.5" customHeight="1" x14ac:dyDescent="0.3">
      <c r="A1380" s="156" t="s">
        <v>601</v>
      </c>
      <c r="B1380" s="227" t="s">
        <v>677</v>
      </c>
      <c r="C1380" s="226" t="s">
        <v>662</v>
      </c>
      <c r="D1380" s="701" t="s">
        <v>685</v>
      </c>
      <c r="E1380" s="701"/>
      <c r="F1380" s="701"/>
      <c r="G1380" s="226" t="s">
        <v>26</v>
      </c>
      <c r="H1380" s="226">
        <v>1</v>
      </c>
      <c r="I1380" s="233">
        <v>76.858599999999981</v>
      </c>
      <c r="J1380" s="226">
        <v>2</v>
      </c>
      <c r="L1380" s="232">
        <v>153.71719999999996</v>
      </c>
    </row>
    <row r="1381" spans="1:15" ht="10.5" customHeight="1" x14ac:dyDescent="0.3">
      <c r="A1381" s="156" t="s">
        <v>602</v>
      </c>
      <c r="B1381" s="227" t="s">
        <v>681</v>
      </c>
      <c r="C1381" s="226" t="s">
        <v>662</v>
      </c>
      <c r="D1381" s="701" t="s">
        <v>685</v>
      </c>
      <c r="E1381" s="701"/>
      <c r="F1381" s="701"/>
      <c r="G1381" s="226" t="s">
        <v>26</v>
      </c>
      <c r="H1381" s="226">
        <v>1</v>
      </c>
      <c r="I1381" s="233">
        <v>80.00739999999999</v>
      </c>
      <c r="J1381" s="226">
        <v>2</v>
      </c>
      <c r="L1381" s="232">
        <v>160.01479999999998</v>
      </c>
    </row>
    <row r="1382" spans="1:15" ht="10.5" customHeight="1" x14ac:dyDescent="0.3">
      <c r="A1382" s="156" t="s">
        <v>635</v>
      </c>
      <c r="B1382" s="227" t="s">
        <v>1111</v>
      </c>
      <c r="C1382" s="226" t="s">
        <v>662</v>
      </c>
      <c r="D1382" s="701" t="s">
        <v>685</v>
      </c>
      <c r="E1382" s="701"/>
      <c r="F1382" s="701"/>
      <c r="G1382" s="226" t="s">
        <v>26</v>
      </c>
      <c r="H1382" s="226">
        <v>1</v>
      </c>
      <c r="I1382" s="233">
        <v>89.174999999999997</v>
      </c>
      <c r="J1382" s="226">
        <v>2</v>
      </c>
      <c r="L1382" s="232">
        <v>178.35</v>
      </c>
    </row>
    <row r="1383" spans="1:15" ht="10.5" customHeight="1" x14ac:dyDescent="0.3">
      <c r="A1383" s="156" t="s">
        <v>636</v>
      </c>
      <c r="B1383" s="227" t="s">
        <v>710</v>
      </c>
      <c r="C1383" s="226" t="s">
        <v>666</v>
      </c>
      <c r="D1383" s="701" t="s">
        <v>729</v>
      </c>
      <c r="E1383" s="701"/>
      <c r="F1383" s="701"/>
      <c r="G1383" s="226" t="s">
        <v>26</v>
      </c>
      <c r="H1383" s="226">
        <v>1</v>
      </c>
      <c r="I1383" s="233">
        <v>153.2088</v>
      </c>
      <c r="J1383" s="226">
        <v>2</v>
      </c>
      <c r="L1383" s="232">
        <v>306.41759999999999</v>
      </c>
    </row>
    <row r="1384" spans="1:15" ht="10.5" customHeight="1" x14ac:dyDescent="0.3">
      <c r="A1384" s="156" t="s">
        <v>637</v>
      </c>
      <c r="B1384" s="227" t="s">
        <v>709</v>
      </c>
      <c r="C1384" s="226" t="s">
        <v>666</v>
      </c>
      <c r="D1384" s="701" t="s">
        <v>729</v>
      </c>
      <c r="E1384" s="701"/>
      <c r="F1384" s="701"/>
      <c r="G1384" s="226" t="s">
        <v>26</v>
      </c>
      <c r="H1384" s="226">
        <v>1</v>
      </c>
      <c r="I1384" s="233">
        <v>111.4708</v>
      </c>
      <c r="J1384" s="226">
        <v>2</v>
      </c>
      <c r="L1384" s="232">
        <v>222.94159999999999</v>
      </c>
    </row>
    <row r="1385" spans="1:15" ht="10.5" customHeight="1" x14ac:dyDescent="0.3">
      <c r="A1385" s="156" t="s">
        <v>663</v>
      </c>
      <c r="B1385" s="227" t="s">
        <v>711</v>
      </c>
      <c r="C1385" s="226" t="s">
        <v>666</v>
      </c>
      <c r="D1385" s="701" t="s">
        <v>729</v>
      </c>
      <c r="E1385" s="701"/>
      <c r="F1385" s="701"/>
      <c r="G1385" s="226" t="s">
        <v>26</v>
      </c>
      <c r="H1385" s="226">
        <v>1</v>
      </c>
      <c r="I1385" s="233">
        <v>202.81059999999997</v>
      </c>
      <c r="J1385" s="226">
        <v>2</v>
      </c>
      <c r="L1385" s="232">
        <v>405.62119999999993</v>
      </c>
    </row>
    <row r="1386" spans="1:15" ht="10.5" customHeight="1" x14ac:dyDescent="0.3">
      <c r="A1386" s="156" t="s">
        <v>664</v>
      </c>
      <c r="B1386" s="227" t="s">
        <v>715</v>
      </c>
      <c r="C1386" s="226" t="s">
        <v>666</v>
      </c>
      <c r="D1386" s="701" t="s">
        <v>729</v>
      </c>
      <c r="E1386" s="701"/>
      <c r="F1386" s="701"/>
      <c r="G1386" s="226" t="s">
        <v>26</v>
      </c>
      <c r="H1386" s="226">
        <v>1</v>
      </c>
      <c r="I1386" s="233">
        <v>132.79899999999998</v>
      </c>
      <c r="J1386" s="226">
        <v>2</v>
      </c>
      <c r="L1386" s="232">
        <v>265.59799999999996</v>
      </c>
    </row>
    <row r="1387" spans="1:15" ht="10.5" customHeight="1" x14ac:dyDescent="0.3">
      <c r="A1387" s="156" t="s">
        <v>665</v>
      </c>
      <c r="B1387" s="227" t="s">
        <v>1112</v>
      </c>
      <c r="C1387" s="226" t="s">
        <v>666</v>
      </c>
      <c r="D1387" s="701" t="s">
        <v>729</v>
      </c>
      <c r="E1387" s="701"/>
      <c r="F1387" s="701"/>
      <c r="G1387" s="226" t="s">
        <v>26</v>
      </c>
      <c r="H1387" s="226">
        <v>1</v>
      </c>
      <c r="I1387" s="233">
        <v>41.196799999999996</v>
      </c>
      <c r="J1387" s="226">
        <v>2</v>
      </c>
      <c r="L1387" s="232">
        <v>82.393599999999992</v>
      </c>
    </row>
    <row r="1388" spans="1:15" ht="10.5" customHeight="1" x14ac:dyDescent="0.3">
      <c r="A1388" s="156" t="s">
        <v>667</v>
      </c>
      <c r="B1388" s="227" t="s">
        <v>728</v>
      </c>
      <c r="C1388" s="226" t="s">
        <v>666</v>
      </c>
      <c r="D1388" s="701" t="s">
        <v>729</v>
      </c>
      <c r="E1388" s="701"/>
      <c r="F1388" s="701"/>
      <c r="G1388" s="226" t="s">
        <v>26</v>
      </c>
      <c r="H1388" s="226">
        <v>1</v>
      </c>
      <c r="I1388" s="233">
        <v>278.72619999999995</v>
      </c>
      <c r="J1388" s="226">
        <v>2</v>
      </c>
      <c r="L1388" s="232">
        <v>557.4523999999999</v>
      </c>
    </row>
    <row r="1389" spans="1:15" ht="10.5" customHeight="1" x14ac:dyDescent="0.3">
      <c r="A1389" s="156" t="s">
        <v>668</v>
      </c>
      <c r="B1389" s="227" t="s">
        <v>838</v>
      </c>
      <c r="C1389" s="226" t="s">
        <v>683</v>
      </c>
      <c r="D1389" s="701" t="s">
        <v>855</v>
      </c>
      <c r="E1389" s="701"/>
      <c r="F1389" s="701"/>
      <c r="G1389" s="226" t="s">
        <v>26</v>
      </c>
      <c r="H1389" s="226">
        <v>1</v>
      </c>
      <c r="I1389" s="233">
        <v>134.53739999999999</v>
      </c>
      <c r="J1389" s="226">
        <v>2</v>
      </c>
      <c r="L1389" s="232">
        <v>269.07479999999998</v>
      </c>
    </row>
    <row r="1390" spans="1:15" ht="10.5" customHeight="1" x14ac:dyDescent="0.3">
      <c r="A1390" s="156" t="s">
        <v>669</v>
      </c>
      <c r="B1390" s="227" t="s">
        <v>840</v>
      </c>
      <c r="C1390" s="226" t="s">
        <v>683</v>
      </c>
      <c r="D1390" s="701" t="s">
        <v>855</v>
      </c>
      <c r="E1390" s="701"/>
      <c r="F1390" s="701"/>
      <c r="G1390" s="226" t="s">
        <v>26</v>
      </c>
      <c r="H1390" s="226">
        <v>1</v>
      </c>
      <c r="I1390" s="233">
        <v>62.01659999999999</v>
      </c>
      <c r="J1390" s="226">
        <v>2</v>
      </c>
      <c r="L1390" s="232">
        <v>124.03319999999998</v>
      </c>
    </row>
    <row r="1391" spans="1:15" ht="10.5" customHeight="1" x14ac:dyDescent="0.3">
      <c r="A1391" s="156" t="s">
        <v>670</v>
      </c>
      <c r="B1391" s="227" t="s">
        <v>842</v>
      </c>
      <c r="C1391" s="226" t="s">
        <v>683</v>
      </c>
      <c r="D1391" s="701" t="s">
        <v>855</v>
      </c>
      <c r="E1391" s="701"/>
      <c r="F1391" s="701"/>
      <c r="G1391" s="226" t="s">
        <v>26</v>
      </c>
      <c r="H1391" s="226">
        <v>1</v>
      </c>
      <c r="I1391" s="233">
        <v>57.104799999999997</v>
      </c>
      <c r="J1391" s="226">
        <v>1</v>
      </c>
      <c r="L1391" s="232">
        <v>57.104799999999997</v>
      </c>
    </row>
    <row r="1392" spans="1:15" ht="10.5" customHeight="1" x14ac:dyDescent="0.3">
      <c r="A1392" s="156" t="s">
        <v>671</v>
      </c>
      <c r="B1392" s="227" t="s">
        <v>914</v>
      </c>
      <c r="C1392" s="226" t="s">
        <v>683</v>
      </c>
      <c r="D1392" s="701" t="s">
        <v>855</v>
      </c>
      <c r="E1392" s="701"/>
      <c r="F1392" s="701"/>
      <c r="G1392" s="226" t="s">
        <v>26</v>
      </c>
      <c r="H1392" s="226">
        <v>1</v>
      </c>
      <c r="I1392" s="233">
        <v>49.749400000000001</v>
      </c>
      <c r="J1392" s="226">
        <v>1</v>
      </c>
      <c r="L1392" s="232">
        <v>49.749400000000001</v>
      </c>
    </row>
    <row r="1393" spans="1:12" ht="10.5" customHeight="1" x14ac:dyDescent="0.3">
      <c r="A1393" s="156" t="s">
        <v>680</v>
      </c>
      <c r="B1393" s="227" t="s">
        <v>1048</v>
      </c>
      <c r="C1393" s="226" t="s">
        <v>683</v>
      </c>
      <c r="D1393" s="701" t="s">
        <v>855</v>
      </c>
      <c r="E1393" s="701"/>
      <c r="F1393" s="701"/>
      <c r="G1393" s="226" t="s">
        <v>26</v>
      </c>
      <c r="H1393" s="226">
        <v>1</v>
      </c>
      <c r="I1393" s="233">
        <v>245.5736</v>
      </c>
      <c r="J1393" s="226">
        <v>2</v>
      </c>
      <c r="L1393" s="232">
        <v>491.1472</v>
      </c>
    </row>
    <row r="1394" spans="1:12" ht="10.5" customHeight="1" x14ac:dyDescent="0.3">
      <c r="A1394" s="156" t="s">
        <v>716</v>
      </c>
      <c r="B1394" s="227" t="s">
        <v>848</v>
      </c>
      <c r="C1394" s="226" t="s">
        <v>683</v>
      </c>
      <c r="D1394" s="701" t="s">
        <v>855</v>
      </c>
      <c r="E1394" s="701"/>
      <c r="F1394" s="701"/>
      <c r="G1394" s="226" t="s">
        <v>26</v>
      </c>
      <c r="H1394" s="226">
        <v>1</v>
      </c>
      <c r="I1394" s="233">
        <v>127.91999999999999</v>
      </c>
      <c r="J1394" s="226">
        <v>2</v>
      </c>
      <c r="L1394" s="232">
        <v>255.83999999999997</v>
      </c>
    </row>
    <row r="1395" spans="1:12" ht="10.5" customHeight="1" x14ac:dyDescent="0.3">
      <c r="A1395" s="156" t="s">
        <v>717</v>
      </c>
      <c r="B1395" s="227" t="s">
        <v>1113</v>
      </c>
      <c r="C1395" s="226" t="s">
        <v>683</v>
      </c>
      <c r="D1395" s="701" t="s">
        <v>855</v>
      </c>
      <c r="E1395" s="701"/>
      <c r="F1395" s="701"/>
      <c r="G1395" s="226" t="s">
        <v>26</v>
      </c>
      <c r="H1395" s="226">
        <v>1</v>
      </c>
      <c r="I1395" s="233">
        <v>343.31760000000003</v>
      </c>
      <c r="J1395" s="226">
        <v>2</v>
      </c>
      <c r="L1395" s="232">
        <v>686.63520000000005</v>
      </c>
    </row>
    <row r="1396" spans="1:12" ht="10.5" customHeight="1" x14ac:dyDescent="0.3">
      <c r="A1396" s="156" t="s">
        <v>718</v>
      </c>
      <c r="B1396" s="227" t="s">
        <v>1116</v>
      </c>
      <c r="C1396" s="226" t="s">
        <v>683</v>
      </c>
      <c r="D1396" s="701" t="s">
        <v>855</v>
      </c>
      <c r="E1396" s="701"/>
      <c r="F1396" s="701"/>
      <c r="G1396" s="226" t="s">
        <v>26</v>
      </c>
      <c r="H1396" s="226">
        <v>1</v>
      </c>
      <c r="I1396" s="233">
        <v>248.36979999999997</v>
      </c>
      <c r="J1396" s="226">
        <v>2</v>
      </c>
      <c r="L1396" s="232">
        <v>496.73959999999994</v>
      </c>
    </row>
    <row r="1397" spans="1:12" ht="10.5" customHeight="1" x14ac:dyDescent="0.3">
      <c r="A1397" s="156" t="s">
        <v>719</v>
      </c>
      <c r="B1397" s="227" t="s">
        <v>739</v>
      </c>
      <c r="C1397" s="226" t="s">
        <v>684</v>
      </c>
      <c r="D1397" s="701" t="s">
        <v>738</v>
      </c>
      <c r="E1397" s="701"/>
      <c r="F1397" s="701"/>
      <c r="G1397" s="226" t="s">
        <v>26</v>
      </c>
      <c r="H1397" s="226">
        <v>1</v>
      </c>
      <c r="I1397" s="233">
        <v>278.04560000000004</v>
      </c>
      <c r="J1397" s="226">
        <v>2</v>
      </c>
      <c r="L1397" s="232">
        <v>556.09120000000007</v>
      </c>
    </row>
    <row r="1398" spans="1:12" ht="10.5" customHeight="1" x14ac:dyDescent="0.3">
      <c r="A1398" s="156" t="s">
        <v>720</v>
      </c>
      <c r="B1398" s="227" t="s">
        <v>782</v>
      </c>
      <c r="C1398" s="226" t="s">
        <v>684</v>
      </c>
      <c r="D1398" s="701" t="s">
        <v>738</v>
      </c>
      <c r="E1398" s="701"/>
      <c r="F1398" s="701"/>
      <c r="G1398" s="226" t="s">
        <v>26</v>
      </c>
      <c r="H1398" s="226">
        <v>1</v>
      </c>
      <c r="I1398" s="233">
        <v>489.41699999999997</v>
      </c>
      <c r="J1398" s="226">
        <v>2</v>
      </c>
      <c r="L1398" s="232">
        <v>978.83399999999995</v>
      </c>
    </row>
    <row r="1399" spans="1:12" ht="10.5" customHeight="1" x14ac:dyDescent="0.3">
      <c r="A1399" s="156" t="s">
        <v>721</v>
      </c>
      <c r="B1399" s="227" t="s">
        <v>784</v>
      </c>
      <c r="C1399" s="226" t="s">
        <v>684</v>
      </c>
      <c r="D1399" s="701" t="s">
        <v>738</v>
      </c>
      <c r="E1399" s="701"/>
      <c r="F1399" s="701"/>
      <c r="G1399" s="226" t="s">
        <v>26</v>
      </c>
      <c r="H1399" s="226">
        <v>1</v>
      </c>
      <c r="I1399" s="233">
        <v>477.60899999999992</v>
      </c>
      <c r="J1399" s="226">
        <v>2</v>
      </c>
      <c r="L1399" s="232">
        <v>955.21799999999985</v>
      </c>
    </row>
    <row r="1400" spans="1:12" ht="10.5" customHeight="1" x14ac:dyDescent="0.3">
      <c r="A1400" s="156" t="s">
        <v>723</v>
      </c>
      <c r="B1400" s="227" t="s">
        <v>783</v>
      </c>
      <c r="C1400" s="226" t="s">
        <v>684</v>
      </c>
      <c r="D1400" s="701" t="s">
        <v>738</v>
      </c>
      <c r="E1400" s="701"/>
      <c r="F1400" s="701"/>
      <c r="G1400" s="226" t="s">
        <v>26</v>
      </c>
      <c r="H1400" s="226">
        <v>1</v>
      </c>
      <c r="I1400" s="233">
        <v>472.45940000000002</v>
      </c>
      <c r="J1400" s="226">
        <v>2</v>
      </c>
      <c r="L1400" s="232">
        <v>944.91880000000003</v>
      </c>
    </row>
    <row r="1401" spans="1:12" ht="10.5" customHeight="1" x14ac:dyDescent="0.3">
      <c r="A1401" s="156" t="s">
        <v>733</v>
      </c>
      <c r="B1401" s="227" t="s">
        <v>804</v>
      </c>
      <c r="C1401" s="226" t="s">
        <v>684</v>
      </c>
      <c r="D1401" s="701" t="s">
        <v>738</v>
      </c>
      <c r="E1401" s="701"/>
      <c r="F1401" s="701"/>
      <c r="G1401" s="226" t="s">
        <v>26</v>
      </c>
      <c r="H1401" s="226">
        <v>1</v>
      </c>
      <c r="I1401" s="233">
        <v>277.38139999999999</v>
      </c>
      <c r="J1401" s="226">
        <v>2</v>
      </c>
      <c r="L1401" s="232">
        <v>554.76279999999997</v>
      </c>
    </row>
    <row r="1402" spans="1:12" ht="10.5" customHeight="1" x14ac:dyDescent="0.3">
      <c r="A1402" s="156" t="s">
        <v>737</v>
      </c>
      <c r="B1402" s="227" t="s">
        <v>808</v>
      </c>
      <c r="C1402" s="226" t="s">
        <v>684</v>
      </c>
      <c r="D1402" s="701" t="s">
        <v>738</v>
      </c>
      <c r="E1402" s="701"/>
      <c r="F1402" s="701"/>
      <c r="G1402" s="226" t="s">
        <v>26</v>
      </c>
      <c r="H1402" s="226">
        <v>1</v>
      </c>
      <c r="I1402" s="233">
        <v>278.16039999999998</v>
      </c>
      <c r="J1402" s="226">
        <v>2</v>
      </c>
      <c r="L1402" s="232">
        <v>556.32079999999996</v>
      </c>
    </row>
    <row r="1403" spans="1:12" ht="10.5" customHeight="1" x14ac:dyDescent="0.3">
      <c r="A1403" s="156" t="s">
        <v>777</v>
      </c>
      <c r="B1403" s="227" t="s">
        <v>814</v>
      </c>
      <c r="C1403" s="226" t="s">
        <v>684</v>
      </c>
      <c r="D1403" s="701" t="s">
        <v>738</v>
      </c>
      <c r="E1403" s="701"/>
      <c r="F1403" s="701"/>
      <c r="G1403" s="226" t="s">
        <v>26</v>
      </c>
      <c r="H1403" s="226">
        <v>1</v>
      </c>
      <c r="I1403" s="233">
        <v>442.73439999999982</v>
      </c>
      <c r="J1403" s="226">
        <v>2</v>
      </c>
      <c r="L1403" s="232">
        <v>885.46879999999965</v>
      </c>
    </row>
    <row r="1404" spans="1:12" ht="10.5" customHeight="1" x14ac:dyDescent="0.3">
      <c r="A1404" s="156" t="s">
        <v>785</v>
      </c>
      <c r="B1404" s="227" t="s">
        <v>820</v>
      </c>
      <c r="C1404" s="226" t="s">
        <v>684</v>
      </c>
      <c r="D1404" s="701" t="s">
        <v>738</v>
      </c>
      <c r="E1404" s="701"/>
      <c r="F1404" s="701"/>
      <c r="G1404" s="226" t="s">
        <v>26</v>
      </c>
      <c r="H1404" s="226">
        <v>1</v>
      </c>
      <c r="I1404" s="233">
        <v>232.92919999999998</v>
      </c>
      <c r="J1404" s="226">
        <v>2</v>
      </c>
      <c r="L1404" s="232">
        <v>465.85839999999996</v>
      </c>
    </row>
    <row r="1405" spans="1:12" ht="10.5" customHeight="1" x14ac:dyDescent="0.3">
      <c r="A1405" s="156" t="s">
        <v>798</v>
      </c>
      <c r="B1405" s="227" t="s">
        <v>834</v>
      </c>
      <c r="C1405" s="226" t="s">
        <v>684</v>
      </c>
      <c r="D1405" s="701" t="s">
        <v>738</v>
      </c>
      <c r="E1405" s="701"/>
      <c r="F1405" s="701"/>
      <c r="G1405" s="226" t="s">
        <v>26</v>
      </c>
      <c r="H1405" s="226">
        <v>1</v>
      </c>
      <c r="I1405" s="233">
        <v>257.04539999999997</v>
      </c>
      <c r="J1405" s="226">
        <v>2</v>
      </c>
      <c r="L1405" s="232">
        <v>514.09079999999994</v>
      </c>
    </row>
    <row r="1406" spans="1:12" ht="10.5" customHeight="1" x14ac:dyDescent="0.3">
      <c r="A1406" s="156" t="s">
        <v>799</v>
      </c>
      <c r="B1406" s="227" t="s">
        <v>833</v>
      </c>
      <c r="C1406" s="226" t="s">
        <v>684</v>
      </c>
      <c r="D1406" s="701" t="s">
        <v>738</v>
      </c>
      <c r="E1406" s="701"/>
      <c r="F1406" s="701"/>
      <c r="G1406" s="226" t="s">
        <v>26</v>
      </c>
      <c r="H1406" s="226">
        <v>1</v>
      </c>
      <c r="I1406" s="233">
        <v>257.04540000000003</v>
      </c>
      <c r="J1406" s="226">
        <v>2</v>
      </c>
      <c r="L1406" s="232">
        <v>514.09080000000006</v>
      </c>
    </row>
    <row r="1407" spans="1:12" ht="10.5" customHeight="1" x14ac:dyDescent="0.3">
      <c r="A1407" s="156" t="s">
        <v>1194</v>
      </c>
      <c r="B1407" s="227" t="s">
        <v>1159</v>
      </c>
      <c r="C1407" s="226" t="s">
        <v>1195</v>
      </c>
      <c r="D1407" s="701" t="s">
        <v>1160</v>
      </c>
      <c r="E1407" s="701"/>
      <c r="F1407" s="701"/>
      <c r="G1407" s="226" t="s">
        <v>26</v>
      </c>
      <c r="H1407" s="226">
        <v>1</v>
      </c>
      <c r="I1407" s="233">
        <v>1152.2557999999997</v>
      </c>
      <c r="J1407" s="226">
        <v>2</v>
      </c>
      <c r="L1407" s="232">
        <v>2304.5115999999994</v>
      </c>
    </row>
    <row r="1408" spans="1:12" ht="10.5" customHeight="1" x14ac:dyDescent="0.3">
      <c r="J1408" s="701" t="s">
        <v>203</v>
      </c>
      <c r="K1408" s="701"/>
      <c r="L1408" s="232">
        <v>14703.329799999996</v>
      </c>
    </row>
    <row r="1409" spans="1:15" ht="9" customHeight="1" x14ac:dyDescent="0.3"/>
    <row r="1410" spans="1:15" ht="29.4" customHeight="1" x14ac:dyDescent="0.3">
      <c r="A1410" s="226" t="s">
        <v>11</v>
      </c>
      <c r="B1410" s="226" t="s">
        <v>253</v>
      </c>
      <c r="C1410" s="701" t="s">
        <v>35</v>
      </c>
      <c r="D1410" s="701"/>
      <c r="E1410" s="702" t="s">
        <v>403</v>
      </c>
      <c r="F1410" s="702"/>
      <c r="G1410" s="702"/>
      <c r="H1410" s="702"/>
      <c r="I1410" s="226" t="s">
        <v>105</v>
      </c>
      <c r="J1410" s="226" t="s">
        <v>124</v>
      </c>
      <c r="K1410" s="226" t="s">
        <v>13</v>
      </c>
      <c r="L1410" s="231">
        <v>2205</v>
      </c>
    </row>
    <row r="1411" spans="1:15" ht="10.5" customHeight="1" x14ac:dyDescent="0.3"/>
    <row r="1412" spans="1:15" ht="10.5" customHeight="1" x14ac:dyDescent="0.3">
      <c r="A1412" s="234" t="s">
        <v>201</v>
      </c>
      <c r="B1412" s="234" t="s">
        <v>200</v>
      </c>
      <c r="C1412" s="235" t="s">
        <v>200</v>
      </c>
      <c r="D1412" s="235" t="s">
        <v>193</v>
      </c>
      <c r="E1412" s="235"/>
      <c r="F1412" s="235"/>
      <c r="G1412" s="234" t="s">
        <v>12</v>
      </c>
      <c r="H1412" s="234" t="s">
        <v>194</v>
      </c>
      <c r="I1412" s="234" t="s">
        <v>196</v>
      </c>
      <c r="J1412" s="234" t="s">
        <v>195</v>
      </c>
      <c r="K1412" s="234" t="s">
        <v>197</v>
      </c>
      <c r="L1412" s="234" t="s">
        <v>198</v>
      </c>
    </row>
    <row r="1413" spans="1:15" ht="10.5" customHeight="1" x14ac:dyDescent="0.3">
      <c r="A1413" s="156" t="s">
        <v>597</v>
      </c>
      <c r="B1413" s="227" t="s">
        <v>673</v>
      </c>
      <c r="C1413" s="226" t="s">
        <v>662</v>
      </c>
      <c r="D1413" s="701" t="s">
        <v>685</v>
      </c>
      <c r="E1413" s="701"/>
      <c r="F1413" s="701"/>
      <c r="G1413" s="226" t="s">
        <v>124</v>
      </c>
      <c r="H1413" s="226">
        <v>1</v>
      </c>
      <c r="I1413" s="233">
        <v>158.80940000000001</v>
      </c>
      <c r="J1413" s="232">
        <v>2</v>
      </c>
      <c r="K1413" s="226">
        <v>0.15</v>
      </c>
      <c r="L1413" s="226">
        <v>47.64282</v>
      </c>
    </row>
    <row r="1414" spans="1:15" ht="10.5" customHeight="1" x14ac:dyDescent="0.3">
      <c r="A1414" s="156" t="s">
        <v>598</v>
      </c>
      <c r="B1414" s="227" t="s">
        <v>674</v>
      </c>
      <c r="C1414" s="226" t="s">
        <v>662</v>
      </c>
      <c r="D1414" s="701" t="s">
        <v>685</v>
      </c>
      <c r="E1414" s="701"/>
      <c r="F1414" s="701"/>
      <c r="G1414" s="226" t="s">
        <v>124</v>
      </c>
      <c r="H1414" s="226">
        <v>1</v>
      </c>
      <c r="I1414" s="233">
        <v>196.35719999999998</v>
      </c>
      <c r="J1414" s="232">
        <v>2</v>
      </c>
      <c r="K1414" s="226">
        <v>0.15</v>
      </c>
      <c r="L1414" s="226">
        <v>58.90715999999999</v>
      </c>
    </row>
    <row r="1415" spans="1:15" ht="10.5" customHeight="1" x14ac:dyDescent="0.3">
      <c r="A1415" s="156" t="s">
        <v>601</v>
      </c>
      <c r="B1415" s="227" t="s">
        <v>677</v>
      </c>
      <c r="C1415" s="226" t="s">
        <v>662</v>
      </c>
      <c r="D1415" s="701" t="s">
        <v>685</v>
      </c>
      <c r="E1415" s="701"/>
      <c r="F1415" s="701"/>
      <c r="G1415" s="226" t="s">
        <v>124</v>
      </c>
      <c r="H1415" s="226">
        <v>1</v>
      </c>
      <c r="I1415" s="233">
        <v>76.858599999999981</v>
      </c>
      <c r="J1415" s="232">
        <v>2</v>
      </c>
      <c r="K1415" s="226">
        <v>0.15</v>
      </c>
      <c r="L1415" s="226">
        <v>23.057579999999994</v>
      </c>
    </row>
    <row r="1416" spans="1:15" ht="10.5" customHeight="1" x14ac:dyDescent="0.3">
      <c r="A1416" s="156" t="s">
        <v>602</v>
      </c>
      <c r="B1416" s="227" t="s">
        <v>681</v>
      </c>
      <c r="C1416" s="226" t="s">
        <v>662</v>
      </c>
      <c r="D1416" s="701" t="s">
        <v>685</v>
      </c>
      <c r="E1416" s="701"/>
      <c r="F1416" s="701"/>
      <c r="G1416" s="226" t="s">
        <v>124</v>
      </c>
      <c r="H1416" s="226">
        <v>1</v>
      </c>
      <c r="I1416" s="233">
        <v>80.00739999999999</v>
      </c>
      <c r="J1416" s="232">
        <v>2</v>
      </c>
      <c r="K1416" s="226">
        <v>0.15</v>
      </c>
      <c r="L1416" s="226">
        <v>24.002219999999998</v>
      </c>
    </row>
    <row r="1417" spans="1:15" ht="10.5" customHeight="1" x14ac:dyDescent="0.3">
      <c r="A1417" s="156" t="s">
        <v>635</v>
      </c>
      <c r="B1417" s="227" t="s">
        <v>1111</v>
      </c>
      <c r="C1417" s="226" t="s">
        <v>662</v>
      </c>
      <c r="D1417" s="701" t="s">
        <v>685</v>
      </c>
      <c r="E1417" s="701"/>
      <c r="F1417" s="701"/>
      <c r="G1417" s="226" t="s">
        <v>124</v>
      </c>
      <c r="H1417" s="226">
        <v>1</v>
      </c>
      <c r="I1417" s="233">
        <v>89.174999999999997</v>
      </c>
      <c r="J1417" s="232">
        <v>2</v>
      </c>
      <c r="K1417" s="226">
        <v>0.15</v>
      </c>
      <c r="L1417" s="226">
        <v>26.752499999999998</v>
      </c>
    </row>
    <row r="1418" spans="1:15" ht="10.5" customHeight="1" x14ac:dyDescent="0.3">
      <c r="A1418" s="156" t="s">
        <v>636</v>
      </c>
      <c r="B1418" s="227" t="s">
        <v>710</v>
      </c>
      <c r="C1418" s="226" t="s">
        <v>666</v>
      </c>
      <c r="D1418" s="701" t="s">
        <v>729</v>
      </c>
      <c r="E1418" s="701"/>
      <c r="F1418" s="701"/>
      <c r="G1418" s="226" t="s">
        <v>124</v>
      </c>
      <c r="H1418" s="226">
        <v>1</v>
      </c>
      <c r="I1418" s="233">
        <v>153.2088</v>
      </c>
      <c r="J1418" s="232">
        <v>2</v>
      </c>
      <c r="K1418" s="226">
        <v>0.15</v>
      </c>
      <c r="L1418" s="226">
        <v>45.96264</v>
      </c>
    </row>
    <row r="1419" spans="1:15" ht="10.5" customHeight="1" x14ac:dyDescent="0.3">
      <c r="A1419" s="156" t="s">
        <v>637</v>
      </c>
      <c r="B1419" s="227" t="s">
        <v>709</v>
      </c>
      <c r="C1419" s="226" t="s">
        <v>666</v>
      </c>
      <c r="D1419" s="701" t="s">
        <v>729</v>
      </c>
      <c r="E1419" s="701"/>
      <c r="F1419" s="701"/>
      <c r="G1419" s="226" t="s">
        <v>124</v>
      </c>
      <c r="H1419" s="226">
        <v>1</v>
      </c>
      <c r="I1419" s="233">
        <v>111.4708</v>
      </c>
      <c r="J1419" s="232">
        <v>2</v>
      </c>
      <c r="K1419" s="226">
        <v>0.15</v>
      </c>
      <c r="L1419" s="226">
        <v>33.441240000000001</v>
      </c>
    </row>
    <row r="1420" spans="1:15" ht="10.5" customHeight="1" x14ac:dyDescent="0.3">
      <c r="A1420" s="156" t="s">
        <v>663</v>
      </c>
      <c r="B1420" s="227" t="s">
        <v>711</v>
      </c>
      <c r="C1420" s="226" t="s">
        <v>666</v>
      </c>
      <c r="D1420" s="701" t="s">
        <v>729</v>
      </c>
      <c r="E1420" s="701"/>
      <c r="F1420" s="701"/>
      <c r="G1420" s="226" t="s">
        <v>124</v>
      </c>
      <c r="H1420" s="226">
        <v>1</v>
      </c>
      <c r="I1420" s="233">
        <v>202.81059999999997</v>
      </c>
      <c r="J1420" s="232">
        <v>2</v>
      </c>
      <c r="K1420" s="226">
        <v>0.15</v>
      </c>
      <c r="L1420" s="226">
        <v>60.84317999999999</v>
      </c>
    </row>
    <row r="1421" spans="1:15" ht="10.5" customHeight="1" x14ac:dyDescent="0.3">
      <c r="A1421" s="156" t="s">
        <v>664</v>
      </c>
      <c r="B1421" s="227" t="s">
        <v>715</v>
      </c>
      <c r="C1421" s="226" t="s">
        <v>666</v>
      </c>
      <c r="D1421" s="701" t="s">
        <v>729</v>
      </c>
      <c r="E1421" s="701"/>
      <c r="F1421" s="701"/>
      <c r="G1421" s="226" t="s">
        <v>124</v>
      </c>
      <c r="H1421" s="226">
        <v>1</v>
      </c>
      <c r="I1421" s="233">
        <v>132.79899999999998</v>
      </c>
      <c r="J1421" s="232">
        <v>2</v>
      </c>
      <c r="K1421" s="226">
        <v>0.15</v>
      </c>
      <c r="L1421" s="226">
        <v>39.839699999999993</v>
      </c>
      <c r="M1421" s="227"/>
      <c r="N1421" s="227"/>
      <c r="O1421" s="227"/>
    </row>
    <row r="1422" spans="1:15" ht="10.5" customHeight="1" x14ac:dyDescent="0.3">
      <c r="A1422" s="156" t="s">
        <v>665</v>
      </c>
      <c r="B1422" s="227" t="s">
        <v>1112</v>
      </c>
      <c r="C1422" s="226" t="s">
        <v>666</v>
      </c>
      <c r="D1422" s="701" t="s">
        <v>729</v>
      </c>
      <c r="E1422" s="701"/>
      <c r="F1422" s="701"/>
      <c r="G1422" s="226" t="s">
        <v>124</v>
      </c>
      <c r="H1422" s="226">
        <v>1</v>
      </c>
      <c r="I1422" s="233">
        <v>41.196799999999996</v>
      </c>
      <c r="J1422" s="232">
        <v>2</v>
      </c>
      <c r="K1422" s="226">
        <v>0.15</v>
      </c>
      <c r="L1422" s="226">
        <v>12.359039999999998</v>
      </c>
      <c r="M1422" s="227"/>
      <c r="N1422" s="227"/>
      <c r="O1422" s="227"/>
    </row>
    <row r="1423" spans="1:15" ht="10.5" customHeight="1" x14ac:dyDescent="0.3">
      <c r="A1423" s="156" t="s">
        <v>667</v>
      </c>
      <c r="B1423" s="227" t="s">
        <v>728</v>
      </c>
      <c r="C1423" s="226" t="s">
        <v>666</v>
      </c>
      <c r="D1423" s="701" t="s">
        <v>729</v>
      </c>
      <c r="E1423" s="701"/>
      <c r="F1423" s="701"/>
      <c r="G1423" s="226" t="s">
        <v>124</v>
      </c>
      <c r="H1423" s="226">
        <v>1</v>
      </c>
      <c r="I1423" s="233">
        <v>278.72619999999995</v>
      </c>
      <c r="J1423" s="232">
        <v>2</v>
      </c>
      <c r="K1423" s="226">
        <v>0.15</v>
      </c>
      <c r="L1423" s="226">
        <v>83.617859999999979</v>
      </c>
    </row>
    <row r="1424" spans="1:15" ht="10.5" customHeight="1" x14ac:dyDescent="0.3">
      <c r="A1424" s="156" t="s">
        <v>668</v>
      </c>
      <c r="B1424" s="227" t="s">
        <v>838</v>
      </c>
      <c r="C1424" s="226" t="s">
        <v>683</v>
      </c>
      <c r="D1424" s="701" t="s">
        <v>855</v>
      </c>
      <c r="E1424" s="701"/>
      <c r="F1424" s="701"/>
      <c r="G1424" s="226" t="s">
        <v>124</v>
      </c>
      <c r="H1424" s="226">
        <v>1</v>
      </c>
      <c r="I1424" s="233">
        <v>134.53739999999999</v>
      </c>
      <c r="J1424" s="232">
        <v>2</v>
      </c>
      <c r="K1424" s="226">
        <v>0.15</v>
      </c>
      <c r="L1424" s="226">
        <v>40.361219999999996</v>
      </c>
    </row>
    <row r="1425" spans="1:12" ht="10.5" customHeight="1" x14ac:dyDescent="0.3">
      <c r="A1425" s="156" t="s">
        <v>669</v>
      </c>
      <c r="B1425" s="227" t="s">
        <v>840</v>
      </c>
      <c r="C1425" s="226" t="s">
        <v>683</v>
      </c>
      <c r="D1425" s="701" t="s">
        <v>855</v>
      </c>
      <c r="E1425" s="701"/>
      <c r="F1425" s="701"/>
      <c r="G1425" s="226" t="s">
        <v>124</v>
      </c>
      <c r="H1425" s="226">
        <v>1</v>
      </c>
      <c r="I1425" s="233">
        <v>62.01659999999999</v>
      </c>
      <c r="J1425" s="232">
        <v>2</v>
      </c>
      <c r="K1425" s="226">
        <v>0.15</v>
      </c>
      <c r="L1425" s="226">
        <v>18.604979999999998</v>
      </c>
    </row>
    <row r="1426" spans="1:12" ht="10.5" customHeight="1" x14ac:dyDescent="0.3">
      <c r="A1426" s="156" t="s">
        <v>670</v>
      </c>
      <c r="B1426" s="227" t="s">
        <v>842</v>
      </c>
      <c r="C1426" s="226" t="s">
        <v>683</v>
      </c>
      <c r="D1426" s="701" t="s">
        <v>855</v>
      </c>
      <c r="E1426" s="701"/>
      <c r="F1426" s="701"/>
      <c r="G1426" s="226" t="s">
        <v>124</v>
      </c>
      <c r="H1426" s="226">
        <v>1</v>
      </c>
      <c r="I1426" s="233">
        <v>57.104799999999997</v>
      </c>
      <c r="J1426" s="232">
        <v>1</v>
      </c>
      <c r="K1426" s="226">
        <v>0.15</v>
      </c>
      <c r="L1426" s="226">
        <v>8.5657199999999989</v>
      </c>
    </row>
    <row r="1427" spans="1:12" ht="10.5" customHeight="1" x14ac:dyDescent="0.3">
      <c r="A1427" s="156" t="s">
        <v>671</v>
      </c>
      <c r="B1427" s="227" t="s">
        <v>914</v>
      </c>
      <c r="C1427" s="226" t="s">
        <v>683</v>
      </c>
      <c r="D1427" s="701" t="s">
        <v>855</v>
      </c>
      <c r="E1427" s="701"/>
      <c r="F1427" s="701"/>
      <c r="G1427" s="226" t="s">
        <v>124</v>
      </c>
      <c r="H1427" s="226">
        <v>1</v>
      </c>
      <c r="I1427" s="233">
        <v>49.749400000000001</v>
      </c>
      <c r="J1427" s="232">
        <v>1</v>
      </c>
      <c r="K1427" s="226">
        <v>0.15</v>
      </c>
      <c r="L1427" s="226">
        <v>7.4624100000000002</v>
      </c>
    </row>
    <row r="1428" spans="1:12" ht="10.5" customHeight="1" x14ac:dyDescent="0.3">
      <c r="A1428" s="156" t="s">
        <v>680</v>
      </c>
      <c r="B1428" s="227" t="s">
        <v>1048</v>
      </c>
      <c r="C1428" s="226" t="s">
        <v>683</v>
      </c>
      <c r="D1428" s="701" t="s">
        <v>855</v>
      </c>
      <c r="E1428" s="701"/>
      <c r="F1428" s="701"/>
      <c r="G1428" s="226" t="s">
        <v>124</v>
      </c>
      <c r="H1428" s="226">
        <v>1</v>
      </c>
      <c r="I1428" s="233">
        <v>245.5736</v>
      </c>
      <c r="J1428" s="232">
        <v>2</v>
      </c>
      <c r="K1428" s="226">
        <v>0.15</v>
      </c>
      <c r="L1428" s="226">
        <v>73.672079999999994</v>
      </c>
    </row>
    <row r="1429" spans="1:12" ht="10.5" customHeight="1" x14ac:dyDescent="0.3">
      <c r="A1429" s="156" t="s">
        <v>716</v>
      </c>
      <c r="B1429" s="227" t="s">
        <v>848</v>
      </c>
      <c r="C1429" s="226" t="s">
        <v>683</v>
      </c>
      <c r="D1429" s="701" t="s">
        <v>855</v>
      </c>
      <c r="E1429" s="701"/>
      <c r="F1429" s="701"/>
      <c r="G1429" s="226" t="s">
        <v>124</v>
      </c>
      <c r="H1429" s="226">
        <v>1</v>
      </c>
      <c r="I1429" s="233">
        <v>127.91999999999999</v>
      </c>
      <c r="J1429" s="232">
        <v>2</v>
      </c>
      <c r="K1429" s="226">
        <v>0.15</v>
      </c>
      <c r="L1429" s="226">
        <v>38.375999999999998</v>
      </c>
    </row>
    <row r="1430" spans="1:12" ht="10.5" customHeight="1" x14ac:dyDescent="0.3">
      <c r="A1430" s="156" t="s">
        <v>717</v>
      </c>
      <c r="B1430" s="227" t="s">
        <v>1113</v>
      </c>
      <c r="C1430" s="226" t="s">
        <v>683</v>
      </c>
      <c r="D1430" s="701" t="s">
        <v>855</v>
      </c>
      <c r="E1430" s="701"/>
      <c r="F1430" s="701"/>
      <c r="G1430" s="226" t="s">
        <v>124</v>
      </c>
      <c r="H1430" s="226">
        <v>1</v>
      </c>
      <c r="I1430" s="233">
        <v>343.31760000000003</v>
      </c>
      <c r="J1430" s="232">
        <v>2</v>
      </c>
      <c r="K1430" s="226">
        <v>0.15</v>
      </c>
      <c r="L1430" s="226">
        <v>102.99528000000001</v>
      </c>
    </row>
    <row r="1431" spans="1:12" ht="10.5" customHeight="1" x14ac:dyDescent="0.3">
      <c r="A1431" s="156" t="s">
        <v>718</v>
      </c>
      <c r="B1431" s="227" t="s">
        <v>1116</v>
      </c>
      <c r="C1431" s="226" t="s">
        <v>683</v>
      </c>
      <c r="D1431" s="701" t="s">
        <v>855</v>
      </c>
      <c r="E1431" s="701"/>
      <c r="F1431" s="701"/>
      <c r="G1431" s="226" t="s">
        <v>124</v>
      </c>
      <c r="H1431" s="226">
        <v>1</v>
      </c>
      <c r="I1431" s="233">
        <v>248.36979999999997</v>
      </c>
      <c r="J1431" s="232">
        <v>2</v>
      </c>
      <c r="K1431" s="226">
        <v>0.15</v>
      </c>
      <c r="L1431" s="226">
        <v>74.510939999999991</v>
      </c>
    </row>
    <row r="1432" spans="1:12" ht="10.5" customHeight="1" x14ac:dyDescent="0.3">
      <c r="A1432" s="156" t="s">
        <v>719</v>
      </c>
      <c r="B1432" s="227" t="s">
        <v>739</v>
      </c>
      <c r="C1432" s="226" t="s">
        <v>684</v>
      </c>
      <c r="D1432" s="701" t="s">
        <v>738</v>
      </c>
      <c r="E1432" s="701"/>
      <c r="F1432" s="701"/>
      <c r="G1432" s="226" t="s">
        <v>124</v>
      </c>
      <c r="H1432" s="226">
        <v>1</v>
      </c>
      <c r="I1432" s="233">
        <v>278.04560000000004</v>
      </c>
      <c r="J1432" s="232">
        <v>2</v>
      </c>
      <c r="K1432" s="226">
        <v>0.15</v>
      </c>
      <c r="L1432" s="226">
        <v>83.413680000000014</v>
      </c>
    </row>
    <row r="1433" spans="1:12" ht="10.5" customHeight="1" x14ac:dyDescent="0.3">
      <c r="A1433" s="156" t="s">
        <v>720</v>
      </c>
      <c r="B1433" s="227" t="s">
        <v>782</v>
      </c>
      <c r="C1433" s="226" t="s">
        <v>684</v>
      </c>
      <c r="D1433" s="701" t="s">
        <v>738</v>
      </c>
      <c r="E1433" s="701"/>
      <c r="F1433" s="701"/>
      <c r="G1433" s="226" t="s">
        <v>124</v>
      </c>
      <c r="H1433" s="226">
        <v>1</v>
      </c>
      <c r="I1433" s="233">
        <v>489.41699999999997</v>
      </c>
      <c r="J1433" s="232">
        <v>2</v>
      </c>
      <c r="K1433" s="226">
        <v>0.15</v>
      </c>
      <c r="L1433" s="226">
        <v>146.82509999999999</v>
      </c>
    </row>
    <row r="1434" spans="1:12" ht="10.5" customHeight="1" x14ac:dyDescent="0.3">
      <c r="A1434" s="156" t="s">
        <v>721</v>
      </c>
      <c r="B1434" s="227" t="s">
        <v>784</v>
      </c>
      <c r="C1434" s="226" t="s">
        <v>684</v>
      </c>
      <c r="D1434" s="701" t="s">
        <v>738</v>
      </c>
      <c r="E1434" s="701"/>
      <c r="F1434" s="701"/>
      <c r="G1434" s="226" t="s">
        <v>124</v>
      </c>
      <c r="H1434" s="226">
        <v>1</v>
      </c>
      <c r="I1434" s="233">
        <v>477.60899999999992</v>
      </c>
      <c r="J1434" s="232">
        <v>2</v>
      </c>
      <c r="K1434" s="226">
        <v>0.15</v>
      </c>
      <c r="L1434" s="226">
        <v>143.28269999999998</v>
      </c>
    </row>
    <row r="1435" spans="1:12" ht="10.5" customHeight="1" x14ac:dyDescent="0.3">
      <c r="A1435" s="156" t="s">
        <v>723</v>
      </c>
      <c r="B1435" s="227" t="s">
        <v>783</v>
      </c>
      <c r="C1435" s="226" t="s">
        <v>684</v>
      </c>
      <c r="D1435" s="701" t="s">
        <v>738</v>
      </c>
      <c r="E1435" s="701"/>
      <c r="F1435" s="701"/>
      <c r="G1435" s="226" t="s">
        <v>124</v>
      </c>
      <c r="H1435" s="226">
        <v>1</v>
      </c>
      <c r="I1435" s="233">
        <v>472.45940000000002</v>
      </c>
      <c r="J1435" s="232">
        <v>2</v>
      </c>
      <c r="K1435" s="226">
        <v>0.15</v>
      </c>
      <c r="L1435" s="226">
        <v>141.73782</v>
      </c>
    </row>
    <row r="1436" spans="1:12" ht="10.5" customHeight="1" x14ac:dyDescent="0.3">
      <c r="A1436" s="156" t="s">
        <v>733</v>
      </c>
      <c r="B1436" s="227" t="s">
        <v>804</v>
      </c>
      <c r="C1436" s="226" t="s">
        <v>684</v>
      </c>
      <c r="D1436" s="701" t="s">
        <v>738</v>
      </c>
      <c r="E1436" s="701"/>
      <c r="F1436" s="701"/>
      <c r="G1436" s="226" t="s">
        <v>124</v>
      </c>
      <c r="H1436" s="226">
        <v>1</v>
      </c>
      <c r="I1436" s="233">
        <v>277.38139999999999</v>
      </c>
      <c r="J1436" s="232">
        <v>2</v>
      </c>
      <c r="K1436" s="226">
        <v>0.15</v>
      </c>
      <c r="L1436" s="226">
        <v>83.21441999999999</v>
      </c>
    </row>
    <row r="1437" spans="1:12" ht="10.5" customHeight="1" x14ac:dyDescent="0.3">
      <c r="A1437" s="156" t="s">
        <v>737</v>
      </c>
      <c r="B1437" s="227" t="s">
        <v>808</v>
      </c>
      <c r="C1437" s="226" t="s">
        <v>684</v>
      </c>
      <c r="D1437" s="701" t="s">
        <v>738</v>
      </c>
      <c r="E1437" s="701"/>
      <c r="F1437" s="701"/>
      <c r="G1437" s="226" t="s">
        <v>124</v>
      </c>
      <c r="H1437" s="226">
        <v>1</v>
      </c>
      <c r="I1437" s="233">
        <v>278.16039999999998</v>
      </c>
      <c r="J1437" s="232">
        <v>2</v>
      </c>
      <c r="K1437" s="226">
        <v>0.15</v>
      </c>
      <c r="L1437" s="226">
        <v>83.448119999999989</v>
      </c>
    </row>
    <row r="1438" spans="1:12" ht="10.5" customHeight="1" x14ac:dyDescent="0.3">
      <c r="A1438" s="156" t="s">
        <v>777</v>
      </c>
      <c r="B1438" s="227" t="s">
        <v>814</v>
      </c>
      <c r="C1438" s="226" t="s">
        <v>684</v>
      </c>
      <c r="D1438" s="701" t="s">
        <v>738</v>
      </c>
      <c r="E1438" s="701"/>
      <c r="F1438" s="701"/>
      <c r="G1438" s="226" t="s">
        <v>124</v>
      </c>
      <c r="H1438" s="226">
        <v>1</v>
      </c>
      <c r="I1438" s="233">
        <v>442.73439999999982</v>
      </c>
      <c r="J1438" s="232">
        <v>2</v>
      </c>
      <c r="K1438" s="226">
        <v>0.15</v>
      </c>
      <c r="L1438" s="226">
        <v>132.82031999999995</v>
      </c>
    </row>
    <row r="1439" spans="1:12" ht="10.5" customHeight="1" x14ac:dyDescent="0.3">
      <c r="A1439" s="156" t="s">
        <v>785</v>
      </c>
      <c r="B1439" s="227" t="s">
        <v>820</v>
      </c>
      <c r="C1439" s="226" t="s">
        <v>684</v>
      </c>
      <c r="D1439" s="701" t="s">
        <v>738</v>
      </c>
      <c r="E1439" s="701"/>
      <c r="F1439" s="701"/>
      <c r="G1439" s="226" t="s">
        <v>124</v>
      </c>
      <c r="H1439" s="226">
        <v>1</v>
      </c>
      <c r="I1439" s="233">
        <v>232.92919999999998</v>
      </c>
      <c r="J1439" s="232">
        <v>2</v>
      </c>
      <c r="K1439" s="226">
        <v>0.15</v>
      </c>
      <c r="L1439" s="226">
        <v>69.878759999999986</v>
      </c>
    </row>
    <row r="1440" spans="1:12" ht="10.5" customHeight="1" x14ac:dyDescent="0.3">
      <c r="A1440" s="156" t="s">
        <v>798</v>
      </c>
      <c r="B1440" s="227" t="s">
        <v>834</v>
      </c>
      <c r="C1440" s="226" t="s">
        <v>684</v>
      </c>
      <c r="D1440" s="701" t="s">
        <v>738</v>
      </c>
      <c r="E1440" s="701"/>
      <c r="F1440" s="701"/>
      <c r="G1440" s="226" t="s">
        <v>124</v>
      </c>
      <c r="H1440" s="226">
        <v>1</v>
      </c>
      <c r="I1440" s="233">
        <v>257.04539999999997</v>
      </c>
      <c r="J1440" s="232">
        <v>2</v>
      </c>
      <c r="K1440" s="226">
        <v>0.15</v>
      </c>
      <c r="L1440" s="226">
        <v>77.113619999999983</v>
      </c>
    </row>
    <row r="1441" spans="1:15" ht="10.5" customHeight="1" x14ac:dyDescent="0.3">
      <c r="A1441" s="156" t="s">
        <v>799</v>
      </c>
      <c r="B1441" s="227" t="s">
        <v>833</v>
      </c>
      <c r="C1441" s="226" t="s">
        <v>684</v>
      </c>
      <c r="D1441" s="701" t="s">
        <v>738</v>
      </c>
      <c r="E1441" s="701"/>
      <c r="F1441" s="701"/>
      <c r="G1441" s="226" t="s">
        <v>124</v>
      </c>
      <c r="H1441" s="226">
        <v>1</v>
      </c>
      <c r="I1441" s="233">
        <v>257.04540000000003</v>
      </c>
      <c r="J1441" s="232">
        <v>2</v>
      </c>
      <c r="K1441" s="226">
        <v>0.15</v>
      </c>
      <c r="L1441" s="226">
        <v>77.113620000000012</v>
      </c>
    </row>
    <row r="1442" spans="1:15" ht="10.5" customHeight="1" x14ac:dyDescent="0.3">
      <c r="A1442" s="156" t="s">
        <v>1194</v>
      </c>
      <c r="B1442" s="227" t="s">
        <v>1159</v>
      </c>
      <c r="C1442" s="226" t="s">
        <v>1195</v>
      </c>
      <c r="D1442" s="701" t="s">
        <v>1160</v>
      </c>
      <c r="E1442" s="701"/>
      <c r="F1442" s="701"/>
      <c r="G1442" s="226" t="s">
        <v>124</v>
      </c>
      <c r="H1442" s="226">
        <v>1</v>
      </c>
      <c r="I1442" s="233">
        <v>1152.2557999999997</v>
      </c>
      <c r="J1442" s="232">
        <v>2</v>
      </c>
      <c r="K1442" s="226">
        <v>0.15</v>
      </c>
      <c r="L1442" s="226">
        <v>345.67673999999988</v>
      </c>
    </row>
    <row r="1443" spans="1:15" ht="10.5" customHeight="1" x14ac:dyDescent="0.3">
      <c r="J1443" s="701" t="s">
        <v>203</v>
      </c>
      <c r="K1443" s="701"/>
      <c r="L1443" s="226">
        <v>2205.4994699999997</v>
      </c>
    </row>
    <row r="1444" spans="1:15" ht="10.5" customHeight="1" x14ac:dyDescent="0.3"/>
    <row r="1445" spans="1:15" ht="10.5" customHeight="1" x14ac:dyDescent="0.3">
      <c r="A1445" s="226" t="s">
        <v>11</v>
      </c>
      <c r="B1445" s="226" t="s">
        <v>254</v>
      </c>
      <c r="C1445" s="701" t="s">
        <v>35</v>
      </c>
      <c r="D1445" s="701"/>
      <c r="E1445" s="702" t="s">
        <v>521</v>
      </c>
      <c r="F1445" s="702"/>
      <c r="G1445" s="702"/>
      <c r="H1445" s="702"/>
      <c r="I1445" s="226" t="s">
        <v>105</v>
      </c>
      <c r="J1445" s="226" t="s">
        <v>124</v>
      </c>
      <c r="K1445" s="226" t="s">
        <v>13</v>
      </c>
      <c r="L1445" s="231">
        <v>6888</v>
      </c>
    </row>
    <row r="1446" spans="1:15" ht="10.5" customHeight="1" x14ac:dyDescent="0.3"/>
    <row r="1447" spans="1:15" ht="10.5" customHeight="1" x14ac:dyDescent="0.3">
      <c r="A1447" s="234" t="s">
        <v>201</v>
      </c>
      <c r="B1447" s="234" t="s">
        <v>200</v>
      </c>
      <c r="C1447" s="235" t="s">
        <v>200</v>
      </c>
      <c r="D1447" s="235" t="s">
        <v>193</v>
      </c>
      <c r="E1447" s="235"/>
      <c r="F1447" s="235"/>
      <c r="G1447" s="234" t="s">
        <v>12</v>
      </c>
      <c r="H1447" s="234" t="s">
        <v>194</v>
      </c>
      <c r="I1447" s="234" t="s">
        <v>196</v>
      </c>
      <c r="J1447" s="234" t="s">
        <v>195</v>
      </c>
      <c r="K1447" s="234" t="s">
        <v>197</v>
      </c>
      <c r="L1447" s="234" t="s">
        <v>198</v>
      </c>
    </row>
    <row r="1448" spans="1:15" ht="10.5" customHeight="1" x14ac:dyDescent="0.3">
      <c r="A1448" s="156" t="s">
        <v>597</v>
      </c>
      <c r="B1448" s="227" t="s">
        <v>673</v>
      </c>
      <c r="C1448" s="226" t="s">
        <v>662</v>
      </c>
      <c r="D1448" s="701" t="s">
        <v>685</v>
      </c>
      <c r="E1448" s="701"/>
      <c r="F1448" s="701"/>
      <c r="G1448" s="226" t="s">
        <v>124</v>
      </c>
      <c r="H1448" s="226">
        <v>1</v>
      </c>
      <c r="I1448" s="226">
        <v>193.67000000000002</v>
      </c>
      <c r="J1448" s="226">
        <v>5.3</v>
      </c>
      <c r="K1448" s="226">
        <v>0.15</v>
      </c>
      <c r="L1448" s="226">
        <v>153.96764999999999</v>
      </c>
      <c r="M1448" s="227"/>
      <c r="N1448" s="227"/>
      <c r="O1448" s="227"/>
    </row>
    <row r="1449" spans="1:15" ht="10.5" customHeight="1" x14ac:dyDescent="0.3">
      <c r="A1449" s="156" t="s">
        <v>598</v>
      </c>
      <c r="B1449" s="227" t="s">
        <v>674</v>
      </c>
      <c r="C1449" s="226" t="s">
        <v>662</v>
      </c>
      <c r="D1449" s="701" t="s">
        <v>685</v>
      </c>
      <c r="E1449" s="701"/>
      <c r="F1449" s="701"/>
      <c r="G1449" s="226" t="s">
        <v>124</v>
      </c>
      <c r="H1449" s="226">
        <v>1</v>
      </c>
      <c r="I1449" s="226">
        <v>239.45999999999998</v>
      </c>
      <c r="J1449" s="226">
        <v>5.3</v>
      </c>
      <c r="K1449" s="226">
        <v>0.15</v>
      </c>
      <c r="L1449" s="226">
        <v>190.37069999999997</v>
      </c>
      <c r="M1449" s="227"/>
      <c r="N1449" s="227"/>
      <c r="O1449" s="227"/>
    </row>
    <row r="1450" spans="1:15" ht="10.5" customHeight="1" x14ac:dyDescent="0.3">
      <c r="A1450" s="156" t="s">
        <v>601</v>
      </c>
      <c r="B1450" s="227" t="s">
        <v>677</v>
      </c>
      <c r="C1450" s="226" t="s">
        <v>662</v>
      </c>
      <c r="D1450" s="701" t="s">
        <v>685</v>
      </c>
      <c r="E1450" s="701"/>
      <c r="F1450" s="701"/>
      <c r="G1450" s="226" t="s">
        <v>124</v>
      </c>
      <c r="H1450" s="226">
        <v>1</v>
      </c>
      <c r="I1450" s="226">
        <v>93.72999999999999</v>
      </c>
      <c r="J1450" s="226">
        <v>5.3</v>
      </c>
      <c r="K1450" s="226">
        <v>0.15</v>
      </c>
      <c r="L1450" s="226">
        <v>74.515349999999984</v>
      </c>
      <c r="M1450" s="227"/>
      <c r="N1450" s="227"/>
      <c r="O1450" s="227"/>
    </row>
    <row r="1451" spans="1:15" ht="10.5" customHeight="1" x14ac:dyDescent="0.3">
      <c r="A1451" s="156" t="s">
        <v>602</v>
      </c>
      <c r="B1451" s="227" t="s">
        <v>681</v>
      </c>
      <c r="C1451" s="226" t="s">
        <v>662</v>
      </c>
      <c r="D1451" s="701" t="s">
        <v>685</v>
      </c>
      <c r="E1451" s="701"/>
      <c r="F1451" s="701"/>
      <c r="G1451" s="226" t="s">
        <v>124</v>
      </c>
      <c r="H1451" s="226">
        <v>1</v>
      </c>
      <c r="I1451" s="226">
        <v>97.57</v>
      </c>
      <c r="J1451" s="226">
        <v>5.3</v>
      </c>
      <c r="K1451" s="226">
        <v>0.15</v>
      </c>
      <c r="L1451" s="226">
        <v>77.568149999999989</v>
      </c>
      <c r="M1451" s="227"/>
      <c r="N1451" s="227"/>
      <c r="O1451" s="227"/>
    </row>
    <row r="1452" spans="1:15" ht="10.5" customHeight="1" x14ac:dyDescent="0.3">
      <c r="A1452" s="156" t="s">
        <v>635</v>
      </c>
      <c r="B1452" s="227" t="s">
        <v>1111</v>
      </c>
      <c r="C1452" s="226" t="s">
        <v>662</v>
      </c>
      <c r="D1452" s="701" t="s">
        <v>685</v>
      </c>
      <c r="E1452" s="701"/>
      <c r="F1452" s="701"/>
      <c r="G1452" s="226" t="s">
        <v>124</v>
      </c>
      <c r="H1452" s="226">
        <v>1</v>
      </c>
      <c r="I1452" s="226">
        <v>108.75</v>
      </c>
      <c r="J1452" s="226">
        <v>5.3</v>
      </c>
      <c r="K1452" s="226">
        <v>0.15</v>
      </c>
      <c r="L1452" s="226">
        <v>86.456249999999997</v>
      </c>
    </row>
    <row r="1453" spans="1:15" ht="10.5" customHeight="1" x14ac:dyDescent="0.3">
      <c r="A1453" s="156" t="s">
        <v>636</v>
      </c>
      <c r="B1453" s="227" t="s">
        <v>710</v>
      </c>
      <c r="C1453" s="226" t="s">
        <v>666</v>
      </c>
      <c r="D1453" s="701" t="s">
        <v>729</v>
      </c>
      <c r="E1453" s="701"/>
      <c r="F1453" s="701"/>
      <c r="G1453" s="226" t="s">
        <v>124</v>
      </c>
      <c r="H1453" s="226">
        <v>1</v>
      </c>
      <c r="I1453" s="226">
        <v>186.84</v>
      </c>
      <c r="J1453" s="226">
        <v>6.3</v>
      </c>
      <c r="K1453" s="226">
        <v>0.15</v>
      </c>
      <c r="L1453" s="226">
        <v>176.56380000000001</v>
      </c>
    </row>
    <row r="1454" spans="1:15" ht="10.5" customHeight="1" x14ac:dyDescent="0.3">
      <c r="A1454" s="156" t="s">
        <v>637</v>
      </c>
      <c r="B1454" s="227" t="s">
        <v>709</v>
      </c>
      <c r="C1454" s="226" t="s">
        <v>666</v>
      </c>
      <c r="D1454" s="701" t="s">
        <v>729</v>
      </c>
      <c r="E1454" s="701"/>
      <c r="F1454" s="701"/>
      <c r="G1454" s="226" t="s">
        <v>124</v>
      </c>
      <c r="H1454" s="226">
        <v>1</v>
      </c>
      <c r="I1454" s="226">
        <v>135.94</v>
      </c>
      <c r="J1454" s="226">
        <v>6.3</v>
      </c>
      <c r="K1454" s="226">
        <v>0.15</v>
      </c>
      <c r="L1454" s="226">
        <v>128.46329999999998</v>
      </c>
    </row>
    <row r="1455" spans="1:15" ht="10.5" customHeight="1" x14ac:dyDescent="0.3">
      <c r="A1455" s="156" t="s">
        <v>663</v>
      </c>
      <c r="B1455" s="227" t="s">
        <v>711</v>
      </c>
      <c r="C1455" s="226" t="s">
        <v>666</v>
      </c>
      <c r="D1455" s="701" t="s">
        <v>729</v>
      </c>
      <c r="E1455" s="701"/>
      <c r="F1455" s="701"/>
      <c r="G1455" s="226" t="s">
        <v>124</v>
      </c>
      <c r="H1455" s="226">
        <v>1</v>
      </c>
      <c r="I1455" s="226">
        <v>247.32999999999998</v>
      </c>
      <c r="J1455" s="226">
        <v>6.3</v>
      </c>
      <c r="K1455" s="226">
        <v>0.15</v>
      </c>
      <c r="L1455" s="226">
        <v>233.72684999999996</v>
      </c>
    </row>
    <row r="1456" spans="1:15" ht="10.5" customHeight="1" x14ac:dyDescent="0.3">
      <c r="A1456" s="156" t="s">
        <v>664</v>
      </c>
      <c r="B1456" s="227" t="s">
        <v>715</v>
      </c>
      <c r="C1456" s="226" t="s">
        <v>666</v>
      </c>
      <c r="D1456" s="701" t="s">
        <v>729</v>
      </c>
      <c r="E1456" s="701"/>
      <c r="F1456" s="701"/>
      <c r="G1456" s="226" t="s">
        <v>124</v>
      </c>
      <c r="H1456" s="226">
        <v>1</v>
      </c>
      <c r="I1456" s="226">
        <v>161.94999999999999</v>
      </c>
      <c r="J1456" s="226">
        <v>6.3</v>
      </c>
      <c r="K1456" s="226">
        <v>0.15</v>
      </c>
      <c r="L1456" s="226">
        <v>153.04274999999998</v>
      </c>
    </row>
    <row r="1457" spans="1:12" ht="10.5" customHeight="1" x14ac:dyDescent="0.3">
      <c r="A1457" s="156" t="s">
        <v>665</v>
      </c>
      <c r="B1457" s="227" t="s">
        <v>1112</v>
      </c>
      <c r="C1457" s="226" t="s">
        <v>666</v>
      </c>
      <c r="D1457" s="701" t="s">
        <v>729</v>
      </c>
      <c r="E1457" s="701"/>
      <c r="F1457" s="701"/>
      <c r="G1457" s="226" t="s">
        <v>124</v>
      </c>
      <c r="H1457" s="226">
        <v>1</v>
      </c>
      <c r="I1457" s="226">
        <v>50.239999999999995</v>
      </c>
      <c r="J1457" s="226">
        <v>5.3</v>
      </c>
      <c r="K1457" s="226">
        <v>0.15</v>
      </c>
      <c r="L1457" s="226">
        <v>39.940799999999996</v>
      </c>
    </row>
    <row r="1458" spans="1:12" ht="10.5" customHeight="1" x14ac:dyDescent="0.3">
      <c r="A1458" s="156" t="s">
        <v>667</v>
      </c>
      <c r="B1458" s="227" t="s">
        <v>728</v>
      </c>
      <c r="C1458" s="226" t="s">
        <v>666</v>
      </c>
      <c r="D1458" s="701" t="s">
        <v>729</v>
      </c>
      <c r="E1458" s="701"/>
      <c r="F1458" s="701"/>
      <c r="G1458" s="226" t="s">
        <v>124</v>
      </c>
      <c r="H1458" s="226">
        <v>1</v>
      </c>
      <c r="I1458" s="226">
        <v>339.90999999999997</v>
      </c>
      <c r="J1458" s="226">
        <v>6.3</v>
      </c>
      <c r="K1458" s="226">
        <v>0.15</v>
      </c>
      <c r="L1458" s="226">
        <v>321.21494999999993</v>
      </c>
    </row>
    <row r="1459" spans="1:12" ht="10.5" customHeight="1" x14ac:dyDescent="0.3">
      <c r="A1459" s="156" t="s">
        <v>668</v>
      </c>
      <c r="B1459" s="227" t="s">
        <v>838</v>
      </c>
      <c r="C1459" s="226" t="s">
        <v>683</v>
      </c>
      <c r="D1459" s="701" t="s">
        <v>855</v>
      </c>
      <c r="E1459" s="701"/>
      <c r="F1459" s="701"/>
      <c r="G1459" s="226" t="s">
        <v>124</v>
      </c>
      <c r="H1459" s="226">
        <v>1</v>
      </c>
      <c r="I1459" s="226">
        <v>164.07</v>
      </c>
      <c r="J1459" s="226">
        <v>5.3</v>
      </c>
      <c r="K1459" s="226">
        <v>0.15</v>
      </c>
      <c r="L1459" s="226">
        <v>130.43564999999998</v>
      </c>
    </row>
    <row r="1460" spans="1:12" ht="10.5" customHeight="1" x14ac:dyDescent="0.3">
      <c r="A1460" s="156" t="s">
        <v>669</v>
      </c>
      <c r="B1460" s="227" t="s">
        <v>840</v>
      </c>
      <c r="C1460" s="226" t="s">
        <v>683</v>
      </c>
      <c r="D1460" s="701" t="s">
        <v>855</v>
      </c>
      <c r="E1460" s="701"/>
      <c r="F1460" s="701"/>
      <c r="G1460" s="226" t="s">
        <v>124</v>
      </c>
      <c r="H1460" s="226">
        <v>1</v>
      </c>
      <c r="I1460" s="226">
        <v>75.63</v>
      </c>
      <c r="J1460" s="226">
        <v>5.3</v>
      </c>
      <c r="K1460" s="226">
        <v>0.15</v>
      </c>
      <c r="L1460" s="226">
        <v>60.125849999999986</v>
      </c>
    </row>
    <row r="1461" spans="1:12" ht="10.5" customHeight="1" x14ac:dyDescent="0.3">
      <c r="A1461" s="156" t="s">
        <v>670</v>
      </c>
      <c r="B1461" s="227" t="s">
        <v>842</v>
      </c>
      <c r="C1461" s="226" t="s">
        <v>683</v>
      </c>
      <c r="D1461" s="701" t="s">
        <v>855</v>
      </c>
      <c r="E1461" s="701"/>
      <c r="F1461" s="701"/>
      <c r="G1461" s="226" t="s">
        <v>124</v>
      </c>
      <c r="H1461" s="226">
        <v>1</v>
      </c>
      <c r="I1461" s="226">
        <v>69.64</v>
      </c>
      <c r="J1461" s="226">
        <v>3.8</v>
      </c>
      <c r="K1461" s="226">
        <v>0.15</v>
      </c>
      <c r="L1461" s="226">
        <v>39.694800000000001</v>
      </c>
    </row>
    <row r="1462" spans="1:12" ht="10.5" customHeight="1" x14ac:dyDescent="0.3">
      <c r="A1462" s="156" t="s">
        <v>671</v>
      </c>
      <c r="B1462" s="227" t="s">
        <v>914</v>
      </c>
      <c r="C1462" s="226" t="s">
        <v>683</v>
      </c>
      <c r="D1462" s="701" t="s">
        <v>855</v>
      </c>
      <c r="E1462" s="701"/>
      <c r="F1462" s="701"/>
      <c r="G1462" s="226" t="s">
        <v>124</v>
      </c>
      <c r="H1462" s="226">
        <v>1</v>
      </c>
      <c r="I1462" s="226">
        <v>60.67</v>
      </c>
      <c r="J1462" s="226">
        <v>3.8</v>
      </c>
      <c r="K1462" s="226">
        <v>0.15</v>
      </c>
      <c r="L1462" s="226">
        <v>34.581899999999997</v>
      </c>
    </row>
    <row r="1463" spans="1:12" ht="10.5" customHeight="1" x14ac:dyDescent="0.3">
      <c r="A1463" s="156" t="s">
        <v>680</v>
      </c>
      <c r="B1463" s="227" t="s">
        <v>1048</v>
      </c>
      <c r="C1463" s="226" t="s">
        <v>683</v>
      </c>
      <c r="D1463" s="701" t="s">
        <v>855</v>
      </c>
      <c r="E1463" s="701"/>
      <c r="F1463" s="701"/>
      <c r="G1463" s="226" t="s">
        <v>124</v>
      </c>
      <c r="H1463" s="226">
        <v>1</v>
      </c>
      <c r="I1463" s="226">
        <v>299.48</v>
      </c>
      <c r="J1463" s="226">
        <v>6.3</v>
      </c>
      <c r="K1463" s="226">
        <v>0.15</v>
      </c>
      <c r="L1463" s="226">
        <v>283.0086</v>
      </c>
    </row>
    <row r="1464" spans="1:12" ht="10.5" customHeight="1" x14ac:dyDescent="0.3">
      <c r="A1464" s="156" t="s">
        <v>716</v>
      </c>
      <c r="B1464" s="227" t="s">
        <v>848</v>
      </c>
      <c r="C1464" s="226" t="s">
        <v>683</v>
      </c>
      <c r="D1464" s="701" t="s">
        <v>855</v>
      </c>
      <c r="E1464" s="701"/>
      <c r="F1464" s="701"/>
      <c r="G1464" s="226" t="s">
        <v>124</v>
      </c>
      <c r="H1464" s="226">
        <v>1</v>
      </c>
      <c r="I1464" s="226">
        <v>156</v>
      </c>
      <c r="J1464" s="226">
        <v>5.3</v>
      </c>
      <c r="K1464" s="226">
        <v>0.15</v>
      </c>
      <c r="L1464" s="226">
        <v>124.01999999999998</v>
      </c>
    </row>
    <row r="1465" spans="1:12" ht="10.5" customHeight="1" x14ac:dyDescent="0.3">
      <c r="A1465" s="156" t="s">
        <v>717</v>
      </c>
      <c r="B1465" s="227" t="s">
        <v>1113</v>
      </c>
      <c r="C1465" s="226" t="s">
        <v>683</v>
      </c>
      <c r="D1465" s="701" t="s">
        <v>855</v>
      </c>
      <c r="E1465" s="701"/>
      <c r="F1465" s="701"/>
      <c r="G1465" s="226" t="s">
        <v>124</v>
      </c>
      <c r="H1465" s="226">
        <v>1</v>
      </c>
      <c r="I1465" s="226">
        <v>418.68000000000006</v>
      </c>
      <c r="J1465" s="226">
        <v>6.3</v>
      </c>
      <c r="K1465" s="226">
        <v>0.15</v>
      </c>
      <c r="L1465" s="226">
        <v>395.65260000000001</v>
      </c>
    </row>
    <row r="1466" spans="1:12" ht="10.5" customHeight="1" x14ac:dyDescent="0.3">
      <c r="A1466" s="156" t="s">
        <v>718</v>
      </c>
      <c r="B1466" s="227" t="s">
        <v>1116</v>
      </c>
      <c r="C1466" s="226" t="s">
        <v>683</v>
      </c>
      <c r="D1466" s="701" t="s">
        <v>855</v>
      </c>
      <c r="E1466" s="701"/>
      <c r="F1466" s="701"/>
      <c r="G1466" s="226" t="s">
        <v>124</v>
      </c>
      <c r="H1466" s="226">
        <v>1</v>
      </c>
      <c r="I1466" s="226">
        <v>302.89</v>
      </c>
      <c r="J1466" s="226">
        <v>5.3</v>
      </c>
      <c r="K1466" s="226">
        <v>0.15</v>
      </c>
      <c r="L1466" s="226">
        <v>240.79754999999994</v>
      </c>
    </row>
    <row r="1467" spans="1:12" ht="10.5" customHeight="1" x14ac:dyDescent="0.3">
      <c r="A1467" s="156" t="s">
        <v>719</v>
      </c>
      <c r="B1467" s="227" t="s">
        <v>739</v>
      </c>
      <c r="C1467" s="226" t="s">
        <v>684</v>
      </c>
      <c r="D1467" s="701" t="s">
        <v>738</v>
      </c>
      <c r="E1467" s="701"/>
      <c r="F1467" s="701"/>
      <c r="G1467" s="226" t="s">
        <v>124</v>
      </c>
      <c r="H1467" s="226">
        <v>1</v>
      </c>
      <c r="I1467" s="226">
        <v>339.08000000000004</v>
      </c>
      <c r="J1467" s="226">
        <v>6.3</v>
      </c>
      <c r="K1467" s="226">
        <v>0.15</v>
      </c>
      <c r="L1467" s="226">
        <v>320.43060000000003</v>
      </c>
    </row>
    <row r="1468" spans="1:12" ht="10.5" customHeight="1" x14ac:dyDescent="0.3">
      <c r="A1468" s="156" t="s">
        <v>720</v>
      </c>
      <c r="B1468" s="227" t="s">
        <v>782</v>
      </c>
      <c r="C1468" s="226" t="s">
        <v>684</v>
      </c>
      <c r="D1468" s="701" t="s">
        <v>738</v>
      </c>
      <c r="E1468" s="701"/>
      <c r="F1468" s="701"/>
      <c r="G1468" s="226" t="s">
        <v>124</v>
      </c>
      <c r="H1468" s="226">
        <v>1</v>
      </c>
      <c r="I1468" s="226">
        <v>596.85</v>
      </c>
      <c r="J1468" s="226">
        <v>6.3</v>
      </c>
      <c r="K1468" s="226">
        <v>0.15</v>
      </c>
      <c r="L1468" s="226">
        <v>564.02324999999996</v>
      </c>
    </row>
    <row r="1469" spans="1:12" ht="10.5" customHeight="1" x14ac:dyDescent="0.3">
      <c r="A1469" s="156" t="s">
        <v>721</v>
      </c>
      <c r="B1469" s="227" t="s">
        <v>784</v>
      </c>
      <c r="C1469" s="226" t="s">
        <v>684</v>
      </c>
      <c r="D1469" s="701" t="s">
        <v>738</v>
      </c>
      <c r="E1469" s="701"/>
      <c r="F1469" s="701"/>
      <c r="G1469" s="226" t="s">
        <v>124</v>
      </c>
      <c r="H1469" s="226">
        <v>1</v>
      </c>
      <c r="I1469" s="226">
        <v>582.44999999999993</v>
      </c>
      <c r="J1469" s="226">
        <v>6.3</v>
      </c>
      <c r="K1469" s="226">
        <v>0.15</v>
      </c>
      <c r="L1469" s="226">
        <v>550.4152499999999</v>
      </c>
    </row>
    <row r="1470" spans="1:12" ht="10.5" customHeight="1" x14ac:dyDescent="0.3">
      <c r="A1470" s="156" t="s">
        <v>723</v>
      </c>
      <c r="B1470" s="227" t="s">
        <v>783</v>
      </c>
      <c r="C1470" s="226" t="s">
        <v>684</v>
      </c>
      <c r="D1470" s="701" t="s">
        <v>738</v>
      </c>
      <c r="E1470" s="701"/>
      <c r="F1470" s="701"/>
      <c r="G1470" s="226" t="s">
        <v>124</v>
      </c>
      <c r="H1470" s="226">
        <v>1</v>
      </c>
      <c r="I1470" s="226">
        <v>576.17000000000007</v>
      </c>
      <c r="J1470" s="226">
        <v>6.3</v>
      </c>
      <c r="K1470" s="226">
        <v>0.15</v>
      </c>
      <c r="L1470" s="226">
        <v>544.48065000000008</v>
      </c>
    </row>
    <row r="1471" spans="1:12" ht="10.5" customHeight="1" x14ac:dyDescent="0.3">
      <c r="A1471" s="156" t="s">
        <v>733</v>
      </c>
      <c r="B1471" s="227" t="s">
        <v>804</v>
      </c>
      <c r="C1471" s="226" t="s">
        <v>684</v>
      </c>
      <c r="D1471" s="701" t="s">
        <v>738</v>
      </c>
      <c r="E1471" s="701"/>
      <c r="F1471" s="701"/>
      <c r="G1471" s="226" t="s">
        <v>124</v>
      </c>
      <c r="H1471" s="226">
        <v>1</v>
      </c>
      <c r="I1471" s="226">
        <v>338.27</v>
      </c>
      <c r="J1471" s="226">
        <v>6.3</v>
      </c>
      <c r="K1471" s="226">
        <v>0.15</v>
      </c>
      <c r="L1471" s="226">
        <v>319.66514999999993</v>
      </c>
    </row>
    <row r="1472" spans="1:12" ht="10.5" customHeight="1" x14ac:dyDescent="0.3">
      <c r="A1472" s="156" t="s">
        <v>737</v>
      </c>
      <c r="B1472" s="227" t="s">
        <v>808</v>
      </c>
      <c r="C1472" s="226" t="s">
        <v>684</v>
      </c>
      <c r="D1472" s="701" t="s">
        <v>738</v>
      </c>
      <c r="E1472" s="701"/>
      <c r="F1472" s="701"/>
      <c r="G1472" s="226" t="s">
        <v>124</v>
      </c>
      <c r="H1472" s="226">
        <v>1</v>
      </c>
      <c r="I1472" s="226">
        <v>339.22</v>
      </c>
      <c r="J1472" s="226">
        <v>6.3</v>
      </c>
      <c r="K1472" s="226">
        <v>0.15</v>
      </c>
      <c r="L1472" s="226">
        <v>320.56290000000001</v>
      </c>
    </row>
    <row r="1473" spans="1:15" ht="10.5" customHeight="1" x14ac:dyDescent="0.3">
      <c r="A1473" s="156" t="s">
        <v>777</v>
      </c>
      <c r="B1473" s="227" t="s">
        <v>814</v>
      </c>
      <c r="C1473" s="226" t="s">
        <v>684</v>
      </c>
      <c r="D1473" s="701" t="s">
        <v>738</v>
      </c>
      <c r="E1473" s="701"/>
      <c r="F1473" s="701"/>
      <c r="G1473" s="226" t="s">
        <v>124</v>
      </c>
      <c r="H1473" s="226">
        <v>1</v>
      </c>
      <c r="I1473" s="226">
        <v>539.91999999999985</v>
      </c>
      <c r="J1473" s="226">
        <v>6.3</v>
      </c>
      <c r="K1473" s="226">
        <v>0.15</v>
      </c>
      <c r="L1473" s="226">
        <v>510.22439999999978</v>
      </c>
    </row>
    <row r="1474" spans="1:15" ht="10.5" customHeight="1" x14ac:dyDescent="0.3">
      <c r="A1474" s="156" t="s">
        <v>785</v>
      </c>
      <c r="B1474" s="227" t="s">
        <v>820</v>
      </c>
      <c r="C1474" s="226" t="s">
        <v>684</v>
      </c>
      <c r="D1474" s="701" t="s">
        <v>738</v>
      </c>
      <c r="E1474" s="701"/>
      <c r="F1474" s="701"/>
      <c r="G1474" s="226" t="s">
        <v>124</v>
      </c>
      <c r="H1474" s="226">
        <v>1</v>
      </c>
      <c r="I1474" s="226">
        <v>284.06</v>
      </c>
      <c r="J1474" s="226">
        <v>6.3</v>
      </c>
      <c r="K1474" s="226">
        <v>0.15</v>
      </c>
      <c r="L1474" s="226">
        <v>268.43669999999997</v>
      </c>
    </row>
    <row r="1475" spans="1:15" ht="10.5" customHeight="1" x14ac:dyDescent="0.3">
      <c r="A1475" s="156" t="s">
        <v>798</v>
      </c>
      <c r="B1475" s="227" t="s">
        <v>834</v>
      </c>
      <c r="C1475" s="226" t="s">
        <v>684</v>
      </c>
      <c r="D1475" s="701" t="s">
        <v>738</v>
      </c>
      <c r="E1475" s="701"/>
      <c r="F1475" s="701"/>
      <c r="G1475" s="226" t="s">
        <v>124</v>
      </c>
      <c r="H1475" s="226">
        <v>1</v>
      </c>
      <c r="I1475" s="226">
        <v>313.46999999999997</v>
      </c>
      <c r="J1475" s="226">
        <v>6.3</v>
      </c>
      <c r="K1475" s="226">
        <v>0.15</v>
      </c>
      <c r="L1475" s="226">
        <v>296.22914999999995</v>
      </c>
    </row>
    <row r="1476" spans="1:15" ht="10.5" customHeight="1" x14ac:dyDescent="0.3">
      <c r="A1476" s="156" t="s">
        <v>799</v>
      </c>
      <c r="B1476" s="227" t="s">
        <v>833</v>
      </c>
      <c r="C1476" s="226" t="s">
        <v>684</v>
      </c>
      <c r="D1476" s="701" t="s">
        <v>738</v>
      </c>
      <c r="E1476" s="701"/>
      <c r="F1476" s="701"/>
      <c r="G1476" s="226" t="s">
        <v>124</v>
      </c>
      <c r="H1476" s="226">
        <v>1</v>
      </c>
      <c r="I1476" s="226">
        <v>313.47000000000003</v>
      </c>
      <c r="J1476" s="226">
        <v>5.3</v>
      </c>
      <c r="K1476" s="226">
        <v>0.15</v>
      </c>
      <c r="L1476" s="226">
        <v>249.20865000000001</v>
      </c>
    </row>
    <row r="1477" spans="1:15" ht="10.5" customHeight="1" x14ac:dyDescent="0.3">
      <c r="A1477" s="156" t="s">
        <v>1194</v>
      </c>
      <c r="B1477" s="227" t="s">
        <v>1159</v>
      </c>
      <c r="C1477" s="226" t="s">
        <v>684</v>
      </c>
      <c r="D1477" s="701" t="s">
        <v>738</v>
      </c>
      <c r="E1477" s="701"/>
      <c r="F1477" s="701"/>
      <c r="G1477" s="226" t="s">
        <v>124</v>
      </c>
      <c r="H1477" s="226">
        <v>1</v>
      </c>
      <c r="I1477" s="226">
        <v>1405.1899999999996</v>
      </c>
      <c r="J1477" s="226">
        <v>6.3</v>
      </c>
      <c r="K1477" s="226">
        <v>0.15</v>
      </c>
      <c r="L1477" s="226">
        <v>1327.9045499999995</v>
      </c>
    </row>
    <row r="1478" spans="1:15" ht="10.5" customHeight="1" x14ac:dyDescent="0.3">
      <c r="J1478" s="701" t="s">
        <v>203</v>
      </c>
      <c r="K1478" s="701"/>
      <c r="L1478" s="226">
        <v>6887.8242</v>
      </c>
    </row>
    <row r="1479" spans="1:15" ht="10.5" customHeight="1" x14ac:dyDescent="0.3"/>
    <row r="1480" spans="1:15" ht="10.5" customHeight="1" x14ac:dyDescent="0.3">
      <c r="A1480" s="226" t="s">
        <v>11</v>
      </c>
      <c r="B1480" s="226" t="s">
        <v>255</v>
      </c>
      <c r="C1480" s="701" t="s">
        <v>35</v>
      </c>
      <c r="D1480" s="701"/>
      <c r="E1480" s="702" t="s">
        <v>600</v>
      </c>
      <c r="F1480" s="702"/>
      <c r="G1480" s="702"/>
      <c r="H1480" s="702"/>
      <c r="I1480" s="226" t="s">
        <v>105</v>
      </c>
      <c r="J1480" s="226" t="s">
        <v>124</v>
      </c>
      <c r="K1480" s="226" t="s">
        <v>13</v>
      </c>
      <c r="L1480" s="231">
        <v>9134</v>
      </c>
    </row>
    <row r="1481" spans="1:15" ht="10.5" customHeight="1" x14ac:dyDescent="0.3"/>
    <row r="1482" spans="1:15" ht="10.5" customHeight="1" x14ac:dyDescent="0.3">
      <c r="A1482" s="234" t="s">
        <v>201</v>
      </c>
      <c r="B1482" s="234" t="s">
        <v>200</v>
      </c>
      <c r="C1482" s="235" t="s">
        <v>200</v>
      </c>
      <c r="D1482" s="235" t="s">
        <v>193</v>
      </c>
      <c r="E1482" s="235"/>
      <c r="F1482" s="235"/>
      <c r="G1482" s="234" t="s">
        <v>12</v>
      </c>
      <c r="H1482" s="234" t="s">
        <v>194</v>
      </c>
      <c r="I1482" s="234" t="s">
        <v>196</v>
      </c>
      <c r="J1482" s="234" t="s">
        <v>195</v>
      </c>
      <c r="K1482" s="234" t="s">
        <v>197</v>
      </c>
      <c r="L1482" s="234" t="s">
        <v>198</v>
      </c>
    </row>
    <row r="1483" spans="1:15" ht="10.5" customHeight="1" x14ac:dyDescent="0.3">
      <c r="A1483" s="156" t="s">
        <v>597</v>
      </c>
      <c r="B1483" s="227" t="s">
        <v>673</v>
      </c>
      <c r="C1483" s="226" t="s">
        <v>662</v>
      </c>
      <c r="D1483" s="701" t="s">
        <v>685</v>
      </c>
      <c r="E1483" s="701"/>
      <c r="F1483" s="701"/>
      <c r="G1483" s="226" t="s">
        <v>124</v>
      </c>
      <c r="H1483" s="226">
        <v>1</v>
      </c>
      <c r="I1483" s="226">
        <v>193.67000000000002</v>
      </c>
      <c r="J1483" s="226">
        <v>5</v>
      </c>
      <c r="K1483" s="226">
        <v>0.17</v>
      </c>
      <c r="L1483" s="226">
        <v>164.61950000000004</v>
      </c>
    </row>
    <row r="1484" spans="1:15" ht="10.5" customHeight="1" x14ac:dyDescent="0.3">
      <c r="A1484" s="156" t="s">
        <v>598</v>
      </c>
      <c r="B1484" s="227" t="s">
        <v>674</v>
      </c>
      <c r="C1484" s="226" t="s">
        <v>662</v>
      </c>
      <c r="D1484" s="701" t="s">
        <v>685</v>
      </c>
      <c r="E1484" s="701"/>
      <c r="F1484" s="701"/>
      <c r="G1484" s="226" t="s">
        <v>124</v>
      </c>
      <c r="H1484" s="226">
        <v>1</v>
      </c>
      <c r="I1484" s="226">
        <v>239.45999999999998</v>
      </c>
      <c r="J1484" s="226">
        <v>5</v>
      </c>
      <c r="K1484" s="226">
        <v>0.17</v>
      </c>
      <c r="L1484" s="226">
        <v>203.541</v>
      </c>
      <c r="M1484" s="227"/>
      <c r="N1484" s="227"/>
      <c r="O1484" s="227"/>
    </row>
    <row r="1485" spans="1:15" ht="10.5" customHeight="1" x14ac:dyDescent="0.3">
      <c r="A1485" s="156" t="s">
        <v>601</v>
      </c>
      <c r="B1485" s="227" t="s">
        <v>677</v>
      </c>
      <c r="C1485" s="226" t="s">
        <v>662</v>
      </c>
      <c r="D1485" s="701" t="s">
        <v>685</v>
      </c>
      <c r="E1485" s="701"/>
      <c r="F1485" s="701"/>
      <c r="G1485" s="226" t="s">
        <v>124</v>
      </c>
      <c r="H1485" s="226">
        <v>1</v>
      </c>
      <c r="I1485" s="226">
        <v>93.72999999999999</v>
      </c>
      <c r="J1485" s="226">
        <v>5</v>
      </c>
      <c r="K1485" s="226">
        <v>0.17</v>
      </c>
      <c r="L1485" s="226">
        <v>79.670500000000004</v>
      </c>
      <c r="M1485" s="227"/>
      <c r="N1485" s="227"/>
      <c r="O1485" s="227"/>
    </row>
    <row r="1486" spans="1:15" ht="10.199999999999999" customHeight="1" x14ac:dyDescent="0.3">
      <c r="A1486" s="156" t="s">
        <v>602</v>
      </c>
      <c r="B1486" s="227" t="s">
        <v>681</v>
      </c>
      <c r="C1486" s="226" t="s">
        <v>662</v>
      </c>
      <c r="D1486" s="701" t="s">
        <v>685</v>
      </c>
      <c r="E1486" s="701"/>
      <c r="F1486" s="701"/>
      <c r="G1486" s="226" t="s">
        <v>124</v>
      </c>
      <c r="H1486" s="226">
        <v>1</v>
      </c>
      <c r="I1486" s="226">
        <v>97.57</v>
      </c>
      <c r="J1486" s="226">
        <v>5</v>
      </c>
      <c r="K1486" s="226">
        <v>0.17</v>
      </c>
      <c r="L1486" s="226">
        <v>82.9345</v>
      </c>
      <c r="M1486" s="227"/>
      <c r="N1486" s="227"/>
      <c r="O1486" s="227"/>
    </row>
    <row r="1487" spans="1:15" ht="10.5" customHeight="1" x14ac:dyDescent="0.3">
      <c r="A1487" s="156" t="s">
        <v>635</v>
      </c>
      <c r="B1487" s="227" t="s">
        <v>1111</v>
      </c>
      <c r="C1487" s="226" t="s">
        <v>662</v>
      </c>
      <c r="D1487" s="701" t="s">
        <v>685</v>
      </c>
      <c r="E1487" s="701"/>
      <c r="F1487" s="701"/>
      <c r="G1487" s="226" t="s">
        <v>124</v>
      </c>
      <c r="H1487" s="226">
        <v>1</v>
      </c>
      <c r="I1487" s="226">
        <v>108.75</v>
      </c>
      <c r="J1487" s="226">
        <v>5</v>
      </c>
      <c r="K1487" s="226">
        <v>0.17</v>
      </c>
      <c r="L1487" s="226">
        <v>92.4375</v>
      </c>
      <c r="M1487" s="227"/>
      <c r="N1487" s="227"/>
      <c r="O1487" s="227"/>
    </row>
    <row r="1488" spans="1:15" ht="10.5" customHeight="1" x14ac:dyDescent="0.3">
      <c r="A1488" s="156" t="s">
        <v>636</v>
      </c>
      <c r="B1488" s="227" t="s">
        <v>710</v>
      </c>
      <c r="C1488" s="226" t="s">
        <v>666</v>
      </c>
      <c r="D1488" s="701" t="s">
        <v>729</v>
      </c>
      <c r="E1488" s="701"/>
      <c r="F1488" s="701"/>
      <c r="G1488" s="226" t="s">
        <v>124</v>
      </c>
      <c r="H1488" s="226">
        <v>1</v>
      </c>
      <c r="I1488" s="226">
        <v>186.84</v>
      </c>
      <c r="J1488" s="226">
        <v>6</v>
      </c>
      <c r="K1488" s="226">
        <v>0.17</v>
      </c>
      <c r="L1488" s="226">
        <v>190.57680000000002</v>
      </c>
    </row>
    <row r="1489" spans="1:12" ht="10.5" customHeight="1" x14ac:dyDescent="0.3">
      <c r="A1489" s="156" t="s">
        <v>637</v>
      </c>
      <c r="B1489" s="227" t="s">
        <v>709</v>
      </c>
      <c r="C1489" s="226" t="s">
        <v>666</v>
      </c>
      <c r="D1489" s="701" t="s">
        <v>729</v>
      </c>
      <c r="E1489" s="701"/>
      <c r="F1489" s="701"/>
      <c r="G1489" s="226" t="s">
        <v>124</v>
      </c>
      <c r="H1489" s="226">
        <v>1</v>
      </c>
      <c r="I1489" s="226">
        <v>135.94</v>
      </c>
      <c r="J1489" s="226">
        <v>6</v>
      </c>
      <c r="K1489" s="226">
        <v>0.17</v>
      </c>
      <c r="L1489" s="226">
        <v>138.65880000000001</v>
      </c>
    </row>
    <row r="1490" spans="1:12" ht="10.5" customHeight="1" x14ac:dyDescent="0.3">
      <c r="A1490" s="156" t="s">
        <v>663</v>
      </c>
      <c r="B1490" s="227" t="s">
        <v>711</v>
      </c>
      <c r="C1490" s="226" t="s">
        <v>666</v>
      </c>
      <c r="D1490" s="701" t="s">
        <v>729</v>
      </c>
      <c r="E1490" s="701"/>
      <c r="F1490" s="701"/>
      <c r="G1490" s="226" t="s">
        <v>124</v>
      </c>
      <c r="H1490" s="226">
        <v>1</v>
      </c>
      <c r="I1490" s="226">
        <v>247.32999999999998</v>
      </c>
      <c r="J1490" s="226">
        <v>6</v>
      </c>
      <c r="K1490" s="226">
        <v>0.17</v>
      </c>
      <c r="L1490" s="226">
        <v>252.27660000000003</v>
      </c>
    </row>
    <row r="1491" spans="1:12" ht="10.5" customHeight="1" x14ac:dyDescent="0.3">
      <c r="A1491" s="156" t="s">
        <v>664</v>
      </c>
      <c r="B1491" s="227" t="s">
        <v>715</v>
      </c>
      <c r="C1491" s="226" t="s">
        <v>666</v>
      </c>
      <c r="D1491" s="701" t="s">
        <v>729</v>
      </c>
      <c r="E1491" s="701"/>
      <c r="F1491" s="701"/>
      <c r="G1491" s="226" t="s">
        <v>124</v>
      </c>
      <c r="H1491" s="226">
        <v>1</v>
      </c>
      <c r="I1491" s="226">
        <v>161.94999999999999</v>
      </c>
      <c r="J1491" s="226">
        <v>6</v>
      </c>
      <c r="K1491" s="226">
        <v>0.17</v>
      </c>
      <c r="L1491" s="226">
        <v>165.18899999999999</v>
      </c>
    </row>
    <row r="1492" spans="1:12" ht="10.5" customHeight="1" x14ac:dyDescent="0.3">
      <c r="A1492" s="156" t="s">
        <v>665</v>
      </c>
      <c r="B1492" s="227" t="s">
        <v>1112</v>
      </c>
      <c r="C1492" s="226" t="s">
        <v>666</v>
      </c>
      <c r="D1492" s="701" t="s">
        <v>729</v>
      </c>
      <c r="E1492" s="701"/>
      <c r="F1492" s="701"/>
      <c r="G1492" s="226" t="s">
        <v>124</v>
      </c>
      <c r="H1492" s="226">
        <v>1</v>
      </c>
      <c r="I1492" s="226">
        <v>50.239999999999995</v>
      </c>
      <c r="J1492" s="226">
        <v>5</v>
      </c>
      <c r="K1492" s="226">
        <v>0.17</v>
      </c>
      <c r="L1492" s="226">
        <v>42.704000000000001</v>
      </c>
    </row>
    <row r="1493" spans="1:12" ht="10.5" customHeight="1" x14ac:dyDescent="0.3">
      <c r="A1493" s="156" t="s">
        <v>667</v>
      </c>
      <c r="B1493" s="227" t="s">
        <v>728</v>
      </c>
      <c r="C1493" s="226" t="s">
        <v>666</v>
      </c>
      <c r="D1493" s="701" t="s">
        <v>729</v>
      </c>
      <c r="E1493" s="701"/>
      <c r="F1493" s="701"/>
      <c r="G1493" s="226" t="s">
        <v>124</v>
      </c>
      <c r="H1493" s="226">
        <v>1</v>
      </c>
      <c r="I1493" s="226">
        <v>339.90999999999997</v>
      </c>
      <c r="J1493" s="226">
        <v>6</v>
      </c>
      <c r="K1493" s="226">
        <v>0.17</v>
      </c>
      <c r="L1493" s="226">
        <v>346.70819999999998</v>
      </c>
    </row>
    <row r="1494" spans="1:12" ht="10.5" customHeight="1" x14ac:dyDescent="0.3">
      <c r="A1494" s="156" t="s">
        <v>668</v>
      </c>
      <c r="B1494" s="227" t="s">
        <v>838</v>
      </c>
      <c r="C1494" s="226" t="s">
        <v>683</v>
      </c>
      <c r="D1494" s="701" t="s">
        <v>855</v>
      </c>
      <c r="E1494" s="701"/>
      <c r="F1494" s="701"/>
      <c r="G1494" s="226" t="s">
        <v>124</v>
      </c>
      <c r="H1494" s="226">
        <v>1</v>
      </c>
      <c r="I1494" s="226">
        <v>164.07</v>
      </c>
      <c r="J1494" s="226">
        <v>5</v>
      </c>
      <c r="K1494" s="226">
        <v>0.17</v>
      </c>
      <c r="L1494" s="226">
        <v>139.45949999999999</v>
      </c>
    </row>
    <row r="1495" spans="1:12" ht="10.5" customHeight="1" x14ac:dyDescent="0.3">
      <c r="A1495" s="156" t="s">
        <v>669</v>
      </c>
      <c r="B1495" s="227" t="s">
        <v>840</v>
      </c>
      <c r="C1495" s="226" t="s">
        <v>683</v>
      </c>
      <c r="D1495" s="701" t="s">
        <v>855</v>
      </c>
      <c r="E1495" s="701"/>
      <c r="F1495" s="701"/>
      <c r="G1495" s="226" t="s">
        <v>124</v>
      </c>
      <c r="H1495" s="226">
        <v>1</v>
      </c>
      <c r="I1495" s="226">
        <v>75.63</v>
      </c>
      <c r="J1495" s="226">
        <v>5</v>
      </c>
      <c r="K1495" s="226">
        <v>0.17</v>
      </c>
      <c r="L1495" s="226">
        <v>64.285499999999999</v>
      </c>
    </row>
    <row r="1496" spans="1:12" ht="10.5" customHeight="1" x14ac:dyDescent="0.3">
      <c r="A1496" s="156" t="s">
        <v>670</v>
      </c>
      <c r="B1496" s="227" t="s">
        <v>842</v>
      </c>
      <c r="C1496" s="226" t="s">
        <v>683</v>
      </c>
      <c r="D1496" s="701" t="s">
        <v>855</v>
      </c>
      <c r="E1496" s="701"/>
      <c r="F1496" s="701"/>
      <c r="G1496" s="226" t="s">
        <v>124</v>
      </c>
      <c r="H1496" s="226">
        <v>1</v>
      </c>
      <c r="I1496" s="226">
        <v>69.64</v>
      </c>
      <c r="J1496" s="226">
        <v>3.5</v>
      </c>
      <c r="K1496" s="226">
        <v>0.17</v>
      </c>
      <c r="L1496" s="226">
        <v>41.435800000000008</v>
      </c>
    </row>
    <row r="1497" spans="1:12" ht="10.5" customHeight="1" x14ac:dyDescent="0.3">
      <c r="A1497" s="156" t="s">
        <v>671</v>
      </c>
      <c r="B1497" s="227" t="s">
        <v>914</v>
      </c>
      <c r="C1497" s="226" t="s">
        <v>683</v>
      </c>
      <c r="D1497" s="701" t="s">
        <v>855</v>
      </c>
      <c r="E1497" s="701"/>
      <c r="F1497" s="701"/>
      <c r="G1497" s="226" t="s">
        <v>124</v>
      </c>
      <c r="H1497" s="226">
        <v>1</v>
      </c>
      <c r="I1497" s="226">
        <v>60.67</v>
      </c>
      <c r="J1497" s="226">
        <v>3.5</v>
      </c>
      <c r="K1497" s="226">
        <v>0.17</v>
      </c>
      <c r="L1497" s="226">
        <v>36.098649999999999</v>
      </c>
    </row>
    <row r="1498" spans="1:12" ht="10.5" customHeight="1" x14ac:dyDescent="0.3">
      <c r="A1498" s="156" t="s">
        <v>680</v>
      </c>
      <c r="B1498" s="227" t="s">
        <v>1048</v>
      </c>
      <c r="C1498" s="226" t="s">
        <v>683</v>
      </c>
      <c r="D1498" s="701" t="s">
        <v>855</v>
      </c>
      <c r="E1498" s="701"/>
      <c r="F1498" s="701"/>
      <c r="G1498" s="226" t="s">
        <v>124</v>
      </c>
      <c r="H1498" s="226">
        <v>1</v>
      </c>
      <c r="I1498" s="226">
        <v>299.48</v>
      </c>
      <c r="J1498" s="226">
        <v>6</v>
      </c>
      <c r="K1498" s="226">
        <v>0.17</v>
      </c>
      <c r="L1498" s="226">
        <v>305.46960000000001</v>
      </c>
    </row>
    <row r="1499" spans="1:12" ht="10.5" customHeight="1" x14ac:dyDescent="0.3">
      <c r="A1499" s="156" t="s">
        <v>716</v>
      </c>
      <c r="B1499" s="227" t="s">
        <v>848</v>
      </c>
      <c r="C1499" s="226" t="s">
        <v>683</v>
      </c>
      <c r="D1499" s="701" t="s">
        <v>855</v>
      </c>
      <c r="E1499" s="701"/>
      <c r="F1499" s="701"/>
      <c r="G1499" s="226" t="s">
        <v>124</v>
      </c>
      <c r="H1499" s="226">
        <v>1</v>
      </c>
      <c r="I1499" s="226">
        <v>156</v>
      </c>
      <c r="J1499" s="226">
        <v>5</v>
      </c>
      <c r="K1499" s="226">
        <v>0.17</v>
      </c>
      <c r="L1499" s="226">
        <v>132.60000000000002</v>
      </c>
    </row>
    <row r="1500" spans="1:12" ht="10.5" customHeight="1" x14ac:dyDescent="0.3">
      <c r="A1500" s="156" t="s">
        <v>717</v>
      </c>
      <c r="B1500" s="227" t="s">
        <v>1113</v>
      </c>
      <c r="C1500" s="226" t="s">
        <v>683</v>
      </c>
      <c r="D1500" s="701" t="s">
        <v>855</v>
      </c>
      <c r="E1500" s="701"/>
      <c r="F1500" s="701"/>
      <c r="G1500" s="226" t="s">
        <v>124</v>
      </c>
      <c r="H1500" s="226">
        <v>1</v>
      </c>
      <c r="I1500" s="226">
        <v>418.68000000000006</v>
      </c>
      <c r="J1500" s="226">
        <v>6</v>
      </c>
      <c r="K1500" s="226">
        <v>0.17</v>
      </c>
      <c r="L1500" s="226">
        <v>427.05360000000007</v>
      </c>
    </row>
    <row r="1501" spans="1:12" ht="10.5" customHeight="1" x14ac:dyDescent="0.3">
      <c r="A1501" s="156" t="s">
        <v>718</v>
      </c>
      <c r="B1501" s="227" t="s">
        <v>1116</v>
      </c>
      <c r="C1501" s="226" t="s">
        <v>683</v>
      </c>
      <c r="D1501" s="701" t="s">
        <v>855</v>
      </c>
      <c r="E1501" s="701"/>
      <c r="F1501" s="701"/>
      <c r="G1501" s="226" t="s">
        <v>124</v>
      </c>
      <c r="H1501" s="226">
        <v>1</v>
      </c>
      <c r="I1501" s="226">
        <v>302.89</v>
      </c>
      <c r="J1501" s="226">
        <v>5</v>
      </c>
      <c r="K1501" s="226">
        <v>0.17</v>
      </c>
      <c r="L1501" s="226">
        <v>257.45650000000001</v>
      </c>
    </row>
    <row r="1502" spans="1:12" ht="10.5" customHeight="1" x14ac:dyDescent="0.3">
      <c r="A1502" s="156" t="s">
        <v>719</v>
      </c>
      <c r="B1502" s="227" t="s">
        <v>739</v>
      </c>
      <c r="C1502" s="226" t="s">
        <v>684</v>
      </c>
      <c r="D1502" s="701" t="s">
        <v>738</v>
      </c>
      <c r="E1502" s="701"/>
      <c r="F1502" s="701"/>
      <c r="G1502" s="226" t="s">
        <v>124</v>
      </c>
      <c r="H1502" s="226">
        <v>1</v>
      </c>
      <c r="I1502" s="226">
        <v>339.08000000000004</v>
      </c>
      <c r="J1502" s="226">
        <v>6</v>
      </c>
      <c r="K1502" s="226">
        <v>0.17</v>
      </c>
      <c r="L1502" s="226">
        <v>345.86160000000007</v>
      </c>
    </row>
    <row r="1503" spans="1:12" ht="10.5" customHeight="1" x14ac:dyDescent="0.3">
      <c r="A1503" s="156" t="s">
        <v>720</v>
      </c>
      <c r="B1503" s="227" t="s">
        <v>782</v>
      </c>
      <c r="C1503" s="226" t="s">
        <v>684</v>
      </c>
      <c r="D1503" s="701" t="s">
        <v>738</v>
      </c>
      <c r="E1503" s="701"/>
      <c r="F1503" s="701"/>
      <c r="G1503" s="226" t="s">
        <v>124</v>
      </c>
      <c r="H1503" s="226">
        <v>1</v>
      </c>
      <c r="I1503" s="226">
        <v>596.85</v>
      </c>
      <c r="J1503" s="226">
        <v>6</v>
      </c>
      <c r="K1503" s="226">
        <v>0.17</v>
      </c>
      <c r="L1503" s="226">
        <v>608.78700000000015</v>
      </c>
    </row>
    <row r="1504" spans="1:12" ht="10.5" customHeight="1" x14ac:dyDescent="0.3">
      <c r="A1504" s="156" t="s">
        <v>721</v>
      </c>
      <c r="B1504" s="227" t="s">
        <v>784</v>
      </c>
      <c r="C1504" s="226" t="s">
        <v>684</v>
      </c>
      <c r="D1504" s="701" t="s">
        <v>738</v>
      </c>
      <c r="E1504" s="701"/>
      <c r="F1504" s="701"/>
      <c r="G1504" s="226" t="s">
        <v>124</v>
      </c>
      <c r="H1504" s="226">
        <v>1</v>
      </c>
      <c r="I1504" s="226">
        <v>582.44999999999993</v>
      </c>
      <c r="J1504" s="226">
        <v>6</v>
      </c>
      <c r="K1504" s="226">
        <v>0.17</v>
      </c>
      <c r="L1504" s="226">
        <v>594.09900000000005</v>
      </c>
    </row>
    <row r="1505" spans="1:12" ht="10.5" customHeight="1" x14ac:dyDescent="0.3">
      <c r="A1505" s="156" t="s">
        <v>723</v>
      </c>
      <c r="B1505" s="227" t="s">
        <v>783</v>
      </c>
      <c r="C1505" s="226" t="s">
        <v>684</v>
      </c>
      <c r="D1505" s="701" t="s">
        <v>738</v>
      </c>
      <c r="E1505" s="701"/>
      <c r="F1505" s="701"/>
      <c r="G1505" s="226" t="s">
        <v>124</v>
      </c>
      <c r="H1505" s="226">
        <v>1</v>
      </c>
      <c r="I1505" s="226">
        <v>576.17000000000007</v>
      </c>
      <c r="J1505" s="226">
        <v>6</v>
      </c>
      <c r="K1505" s="226">
        <v>0.17</v>
      </c>
      <c r="L1505" s="226">
        <v>587.69340000000011</v>
      </c>
    </row>
    <row r="1506" spans="1:12" ht="10.5" customHeight="1" x14ac:dyDescent="0.3">
      <c r="A1506" s="156" t="s">
        <v>733</v>
      </c>
      <c r="B1506" s="227" t="s">
        <v>804</v>
      </c>
      <c r="C1506" s="226" t="s">
        <v>684</v>
      </c>
      <c r="D1506" s="701" t="s">
        <v>738</v>
      </c>
      <c r="E1506" s="701"/>
      <c r="F1506" s="701"/>
      <c r="G1506" s="226" t="s">
        <v>124</v>
      </c>
      <c r="H1506" s="226">
        <v>1</v>
      </c>
      <c r="I1506" s="226">
        <v>338.27</v>
      </c>
      <c r="J1506" s="226">
        <v>6</v>
      </c>
      <c r="K1506" s="226">
        <v>0.17</v>
      </c>
      <c r="L1506" s="226">
        <v>345.03539999999998</v>
      </c>
    </row>
    <row r="1507" spans="1:12" ht="10.5" customHeight="1" x14ac:dyDescent="0.3">
      <c r="A1507" s="156" t="s">
        <v>737</v>
      </c>
      <c r="B1507" s="227" t="s">
        <v>808</v>
      </c>
      <c r="C1507" s="226" t="s">
        <v>684</v>
      </c>
      <c r="D1507" s="701" t="s">
        <v>738</v>
      </c>
      <c r="E1507" s="701"/>
      <c r="F1507" s="701"/>
      <c r="G1507" s="226" t="s">
        <v>124</v>
      </c>
      <c r="H1507" s="226">
        <v>1</v>
      </c>
      <c r="I1507" s="226">
        <v>339.22</v>
      </c>
      <c r="J1507" s="226">
        <v>6</v>
      </c>
      <c r="K1507" s="226">
        <v>0.17</v>
      </c>
      <c r="L1507" s="226">
        <v>346.00440000000003</v>
      </c>
    </row>
    <row r="1508" spans="1:12" ht="10.5" customHeight="1" x14ac:dyDescent="0.3">
      <c r="A1508" s="156" t="s">
        <v>777</v>
      </c>
      <c r="B1508" s="227" t="s">
        <v>814</v>
      </c>
      <c r="C1508" s="226" t="s">
        <v>684</v>
      </c>
      <c r="D1508" s="701" t="s">
        <v>738</v>
      </c>
      <c r="E1508" s="701"/>
      <c r="F1508" s="701"/>
      <c r="G1508" s="226" t="s">
        <v>124</v>
      </c>
      <c r="H1508" s="226">
        <v>1</v>
      </c>
      <c r="I1508" s="226">
        <v>539.91999999999985</v>
      </c>
      <c r="J1508" s="226">
        <v>6</v>
      </c>
      <c r="K1508" s="226">
        <v>0.17</v>
      </c>
      <c r="L1508" s="226">
        <v>550.71839999999986</v>
      </c>
    </row>
    <row r="1509" spans="1:12" ht="10.5" customHeight="1" x14ac:dyDescent="0.3">
      <c r="A1509" s="156" t="s">
        <v>785</v>
      </c>
      <c r="B1509" s="227" t="s">
        <v>820</v>
      </c>
      <c r="C1509" s="226" t="s">
        <v>684</v>
      </c>
      <c r="D1509" s="701" t="s">
        <v>738</v>
      </c>
      <c r="E1509" s="701"/>
      <c r="F1509" s="701"/>
      <c r="G1509" s="226" t="s">
        <v>124</v>
      </c>
      <c r="H1509" s="226">
        <v>1</v>
      </c>
      <c r="I1509" s="226">
        <v>284.06</v>
      </c>
      <c r="J1509" s="226">
        <v>6</v>
      </c>
      <c r="K1509" s="226">
        <v>0.17</v>
      </c>
      <c r="L1509" s="226">
        <v>289.74120000000005</v>
      </c>
    </row>
    <row r="1510" spans="1:12" ht="10.5" customHeight="1" x14ac:dyDescent="0.3">
      <c r="A1510" s="156" t="s">
        <v>798</v>
      </c>
      <c r="B1510" s="227" t="s">
        <v>834</v>
      </c>
      <c r="C1510" s="226" t="s">
        <v>684</v>
      </c>
      <c r="D1510" s="701" t="s">
        <v>738</v>
      </c>
      <c r="E1510" s="701"/>
      <c r="F1510" s="701"/>
      <c r="G1510" s="226" t="s">
        <v>124</v>
      </c>
      <c r="H1510" s="226">
        <v>1</v>
      </c>
      <c r="I1510" s="226">
        <v>313.46999999999997</v>
      </c>
      <c r="J1510" s="226">
        <v>6</v>
      </c>
      <c r="K1510" s="226">
        <v>0.17</v>
      </c>
      <c r="L1510" s="226">
        <v>319.73939999999999</v>
      </c>
    </row>
    <row r="1511" spans="1:12" ht="10.5" customHeight="1" x14ac:dyDescent="0.3">
      <c r="A1511" s="156" t="s">
        <v>799</v>
      </c>
      <c r="B1511" s="227" t="s">
        <v>833</v>
      </c>
      <c r="C1511" s="226" t="s">
        <v>684</v>
      </c>
      <c r="D1511" s="701" t="s">
        <v>738</v>
      </c>
      <c r="E1511" s="701"/>
      <c r="F1511" s="701"/>
      <c r="G1511" s="226" t="s">
        <v>124</v>
      </c>
      <c r="H1511" s="226">
        <v>1</v>
      </c>
      <c r="I1511" s="226">
        <v>313.47000000000003</v>
      </c>
      <c r="J1511" s="226">
        <v>5</v>
      </c>
      <c r="K1511" s="226">
        <v>0.17</v>
      </c>
      <c r="L1511" s="226">
        <v>266.44950000000006</v>
      </c>
    </row>
    <row r="1512" spans="1:12" ht="10.5" customHeight="1" x14ac:dyDescent="0.3">
      <c r="A1512" s="156" t="s">
        <v>1194</v>
      </c>
      <c r="B1512" s="227" t="s">
        <v>1159</v>
      </c>
      <c r="C1512" s="226" t="s">
        <v>1195</v>
      </c>
      <c r="D1512" s="701" t="s">
        <v>1160</v>
      </c>
      <c r="E1512" s="701"/>
      <c r="F1512" s="701"/>
      <c r="G1512" s="226" t="s">
        <v>124</v>
      </c>
      <c r="H1512" s="226">
        <v>1</v>
      </c>
      <c r="I1512" s="226">
        <v>1405.1899999999996</v>
      </c>
      <c r="J1512" s="226">
        <v>6</v>
      </c>
      <c r="K1512" s="226">
        <v>0.18</v>
      </c>
      <c r="L1512" s="226">
        <v>1517.6051999999995</v>
      </c>
    </row>
    <row r="1513" spans="1:12" ht="10.5" customHeight="1" x14ac:dyDescent="0.3">
      <c r="A1513" s="156" t="s">
        <v>199</v>
      </c>
      <c r="B1513" s="226" t="s">
        <v>438</v>
      </c>
      <c r="C1513" s="226" t="s">
        <v>483</v>
      </c>
      <c r="D1513" s="701" t="s">
        <v>599</v>
      </c>
      <c r="E1513" s="701"/>
      <c r="F1513" s="701"/>
      <c r="G1513" s="226" t="s">
        <v>124</v>
      </c>
      <c r="H1513" s="226">
        <v>520</v>
      </c>
      <c r="I1513" s="226">
        <v>1.5</v>
      </c>
      <c r="J1513" s="226">
        <v>1.5</v>
      </c>
      <c r="K1513" s="226">
        <v>0.17</v>
      </c>
      <c r="L1513" s="226">
        <v>198.9</v>
      </c>
    </row>
    <row r="1514" spans="1:12" ht="10.5" customHeight="1" x14ac:dyDescent="0.3">
      <c r="J1514" s="701" t="s">
        <v>203</v>
      </c>
      <c r="K1514" s="701"/>
      <c r="L1514" s="226">
        <v>9133.81005</v>
      </c>
    </row>
    <row r="1515" spans="1:12" ht="10.5" customHeight="1" x14ac:dyDescent="0.3"/>
    <row r="1516" spans="1:12" ht="10.5" customHeight="1" x14ac:dyDescent="0.3">
      <c r="A1516" s="226" t="s">
        <v>11</v>
      </c>
      <c r="B1516" s="226" t="s">
        <v>256</v>
      </c>
      <c r="C1516" s="701" t="s">
        <v>35</v>
      </c>
      <c r="D1516" s="701"/>
      <c r="E1516" s="702" t="s">
        <v>257</v>
      </c>
      <c r="F1516" s="702"/>
      <c r="G1516" s="702"/>
      <c r="H1516" s="702"/>
      <c r="I1516" s="226" t="s">
        <v>105</v>
      </c>
      <c r="J1516" s="226" t="s">
        <v>123</v>
      </c>
      <c r="K1516" s="226" t="s">
        <v>13</v>
      </c>
      <c r="L1516" s="231">
        <v>13466</v>
      </c>
    </row>
    <row r="1517" spans="1:12" ht="10.5" customHeight="1" x14ac:dyDescent="0.3"/>
    <row r="1518" spans="1:12" ht="10.5" customHeight="1" x14ac:dyDescent="0.3">
      <c r="A1518" s="234" t="s">
        <v>201</v>
      </c>
      <c r="B1518" s="234" t="s">
        <v>35</v>
      </c>
      <c r="C1518" s="703" t="s">
        <v>193</v>
      </c>
      <c r="D1518" s="703"/>
      <c r="E1518" s="234" t="s">
        <v>12</v>
      </c>
      <c r="F1518" s="234" t="s">
        <v>856</v>
      </c>
      <c r="G1518" s="234" t="s">
        <v>857</v>
      </c>
      <c r="H1518" s="234" t="s">
        <v>859</v>
      </c>
      <c r="I1518" s="234" t="s">
        <v>860</v>
      </c>
      <c r="J1518" s="234" t="s">
        <v>195</v>
      </c>
      <c r="K1518" s="234" t="s">
        <v>197</v>
      </c>
      <c r="L1518" s="234" t="s">
        <v>198</v>
      </c>
    </row>
    <row r="1519" spans="1:12" ht="10.5" customHeight="1" x14ac:dyDescent="0.3">
      <c r="A1519" s="156" t="s">
        <v>186</v>
      </c>
      <c r="B1519" s="227" t="s">
        <v>858</v>
      </c>
      <c r="C1519" s="701" t="s">
        <v>672</v>
      </c>
      <c r="D1519" s="701"/>
      <c r="E1519" s="226" t="s">
        <v>123</v>
      </c>
      <c r="F1519" s="233">
        <v>17</v>
      </c>
      <c r="G1519" s="226">
        <v>9</v>
      </c>
      <c r="H1519" s="226">
        <v>0.99</v>
      </c>
      <c r="I1519" s="226">
        <v>1</v>
      </c>
      <c r="J1519" s="226">
        <v>5</v>
      </c>
      <c r="K1519" s="226">
        <v>2.5</v>
      </c>
      <c r="L1519" s="226">
        <v>103.851</v>
      </c>
    </row>
    <row r="1520" spans="1:12" ht="10.5" customHeight="1" x14ac:dyDescent="0.3">
      <c r="A1520" s="156" t="s">
        <v>188</v>
      </c>
      <c r="B1520" s="227" t="s">
        <v>858</v>
      </c>
      <c r="C1520" s="701" t="s">
        <v>1109</v>
      </c>
      <c r="D1520" s="701"/>
      <c r="E1520" s="226" t="s">
        <v>123</v>
      </c>
      <c r="F1520" s="233">
        <v>17</v>
      </c>
      <c r="G1520" s="226">
        <v>9</v>
      </c>
      <c r="H1520" s="226">
        <v>0.99</v>
      </c>
      <c r="I1520" s="226">
        <v>1</v>
      </c>
      <c r="J1520" s="226">
        <v>5</v>
      </c>
      <c r="K1520" s="226">
        <v>2.5</v>
      </c>
      <c r="L1520" s="226">
        <v>103.851</v>
      </c>
    </row>
    <row r="1521" spans="1:12" ht="10.5" customHeight="1" x14ac:dyDescent="0.3">
      <c r="A1521" s="156" t="s">
        <v>484</v>
      </c>
      <c r="B1521" s="227" t="s">
        <v>858</v>
      </c>
      <c r="C1521" s="701" t="s">
        <v>675</v>
      </c>
      <c r="D1521" s="701"/>
      <c r="E1521" s="226" t="s">
        <v>123</v>
      </c>
      <c r="F1521" s="233">
        <v>17</v>
      </c>
      <c r="G1521" s="226">
        <v>9</v>
      </c>
      <c r="H1521" s="226">
        <v>0.99</v>
      </c>
      <c r="I1521" s="226">
        <v>1</v>
      </c>
      <c r="J1521" s="226">
        <v>5</v>
      </c>
      <c r="K1521" s="226">
        <v>2.5</v>
      </c>
      <c r="L1521" s="226">
        <v>103.851</v>
      </c>
    </row>
    <row r="1522" spans="1:12" ht="10.5" customHeight="1" x14ac:dyDescent="0.3">
      <c r="A1522" s="156" t="s">
        <v>485</v>
      </c>
      <c r="B1522" s="227" t="s">
        <v>858</v>
      </c>
      <c r="C1522" s="701" t="s">
        <v>676</v>
      </c>
      <c r="D1522" s="701"/>
      <c r="E1522" s="226" t="s">
        <v>123</v>
      </c>
      <c r="F1522" s="233">
        <v>17</v>
      </c>
      <c r="G1522" s="226">
        <v>9</v>
      </c>
      <c r="H1522" s="226">
        <v>0.99</v>
      </c>
      <c r="I1522" s="226">
        <v>1</v>
      </c>
      <c r="J1522" s="226">
        <v>5</v>
      </c>
      <c r="K1522" s="226">
        <v>2.5</v>
      </c>
      <c r="L1522" s="226">
        <v>103.851</v>
      </c>
    </row>
    <row r="1523" spans="1:12" ht="10.5" customHeight="1" x14ac:dyDescent="0.3">
      <c r="A1523" s="156" t="s">
        <v>486</v>
      </c>
      <c r="B1523" s="227" t="s">
        <v>858</v>
      </c>
      <c r="C1523" s="701" t="s">
        <v>698</v>
      </c>
      <c r="D1523" s="701"/>
      <c r="E1523" s="226" t="s">
        <v>123</v>
      </c>
      <c r="F1523" s="233">
        <v>17</v>
      </c>
      <c r="G1523" s="226">
        <v>9</v>
      </c>
      <c r="H1523" s="226">
        <v>0.99</v>
      </c>
      <c r="I1523" s="226">
        <v>1</v>
      </c>
      <c r="J1523" s="226">
        <v>5</v>
      </c>
      <c r="K1523" s="226">
        <v>2.5</v>
      </c>
      <c r="L1523" s="226">
        <v>103.851</v>
      </c>
    </row>
    <row r="1524" spans="1:12" ht="10.5" customHeight="1" x14ac:dyDescent="0.3">
      <c r="A1524" s="156" t="s">
        <v>398</v>
      </c>
      <c r="B1524" s="227" t="s">
        <v>858</v>
      </c>
      <c r="C1524" s="701" t="s">
        <v>678</v>
      </c>
      <c r="D1524" s="701"/>
      <c r="E1524" s="226" t="s">
        <v>123</v>
      </c>
      <c r="F1524" s="233">
        <v>17</v>
      </c>
      <c r="G1524" s="226">
        <v>9</v>
      </c>
      <c r="H1524" s="226">
        <v>0.99</v>
      </c>
      <c r="I1524" s="226">
        <v>1</v>
      </c>
      <c r="J1524" s="226">
        <v>5</v>
      </c>
      <c r="K1524" s="226">
        <v>2.5</v>
      </c>
      <c r="L1524" s="226">
        <v>103.851</v>
      </c>
    </row>
    <row r="1525" spans="1:12" ht="10.5" customHeight="1" x14ac:dyDescent="0.3">
      <c r="A1525" s="156" t="s">
        <v>529</v>
      </c>
      <c r="B1525" s="227" t="s">
        <v>858</v>
      </c>
      <c r="C1525" s="701" t="s">
        <v>679</v>
      </c>
      <c r="D1525" s="701"/>
      <c r="E1525" s="226" t="s">
        <v>123</v>
      </c>
      <c r="F1525" s="233">
        <v>17</v>
      </c>
      <c r="G1525" s="226">
        <v>9</v>
      </c>
      <c r="H1525" s="226">
        <v>0.99</v>
      </c>
      <c r="I1525" s="226">
        <v>1</v>
      </c>
      <c r="J1525" s="226">
        <v>5</v>
      </c>
      <c r="K1525" s="226">
        <v>2.5</v>
      </c>
      <c r="L1525" s="226">
        <v>103.851</v>
      </c>
    </row>
    <row r="1526" spans="1:12" ht="10.5" customHeight="1" x14ac:dyDescent="0.3">
      <c r="A1526" s="156" t="s">
        <v>532</v>
      </c>
      <c r="B1526" s="227" t="s">
        <v>858</v>
      </c>
      <c r="C1526" s="701" t="s">
        <v>885</v>
      </c>
      <c r="D1526" s="701"/>
      <c r="E1526" s="226" t="s">
        <v>123</v>
      </c>
      <c r="F1526" s="233">
        <v>17</v>
      </c>
      <c r="G1526" s="226">
        <v>9</v>
      </c>
      <c r="H1526" s="226">
        <v>0.99</v>
      </c>
      <c r="I1526" s="226">
        <v>1</v>
      </c>
      <c r="J1526" s="226">
        <v>5</v>
      </c>
      <c r="K1526" s="226">
        <v>2.5</v>
      </c>
      <c r="L1526" s="226">
        <v>103.851</v>
      </c>
    </row>
    <row r="1527" spans="1:12" ht="10.5" customHeight="1" x14ac:dyDescent="0.3">
      <c r="A1527" s="156" t="s">
        <v>534</v>
      </c>
      <c r="B1527" s="227" t="s">
        <v>858</v>
      </c>
      <c r="C1527" s="701" t="s">
        <v>682</v>
      </c>
      <c r="D1527" s="701"/>
      <c r="E1527" s="226" t="s">
        <v>123</v>
      </c>
      <c r="F1527" s="233">
        <v>17</v>
      </c>
      <c r="G1527" s="226">
        <v>9</v>
      </c>
      <c r="H1527" s="226">
        <v>0.99</v>
      </c>
      <c r="I1527" s="226">
        <v>1</v>
      </c>
      <c r="J1527" s="226">
        <v>5</v>
      </c>
      <c r="K1527" s="226">
        <v>2.5</v>
      </c>
      <c r="L1527" s="226">
        <v>103.851</v>
      </c>
    </row>
    <row r="1528" spans="1:12" ht="10.5" customHeight="1" x14ac:dyDescent="0.3">
      <c r="A1528" s="156" t="s">
        <v>537</v>
      </c>
      <c r="B1528" s="227" t="s">
        <v>858</v>
      </c>
      <c r="C1528" s="701" t="s">
        <v>1110</v>
      </c>
      <c r="D1528" s="701"/>
      <c r="E1528" s="226" t="s">
        <v>123</v>
      </c>
      <c r="F1528" s="233">
        <v>17</v>
      </c>
      <c r="G1528" s="226">
        <v>9</v>
      </c>
      <c r="H1528" s="226">
        <v>0.99</v>
      </c>
      <c r="I1528" s="226">
        <v>1</v>
      </c>
      <c r="J1528" s="226">
        <v>5</v>
      </c>
      <c r="K1528" s="226">
        <v>2.5</v>
      </c>
      <c r="L1528" s="226">
        <v>103.851</v>
      </c>
    </row>
    <row r="1529" spans="1:12" ht="10.5" customHeight="1" x14ac:dyDescent="0.3">
      <c r="A1529" s="156" t="s">
        <v>540</v>
      </c>
      <c r="B1529" s="227" t="s">
        <v>858</v>
      </c>
      <c r="C1529" s="701" t="s">
        <v>708</v>
      </c>
      <c r="D1529" s="701"/>
      <c r="E1529" s="226" t="s">
        <v>123</v>
      </c>
      <c r="F1529" s="233">
        <v>20</v>
      </c>
      <c r="G1529" s="226">
        <v>10</v>
      </c>
      <c r="H1529" s="226">
        <v>0.99</v>
      </c>
      <c r="I1529" s="226">
        <v>1</v>
      </c>
      <c r="J1529" s="226">
        <v>6</v>
      </c>
      <c r="K1529" s="226">
        <v>3</v>
      </c>
      <c r="L1529" s="226">
        <v>145.53</v>
      </c>
    </row>
    <row r="1530" spans="1:12" ht="10.5" customHeight="1" x14ac:dyDescent="0.3">
      <c r="A1530" s="156" t="s">
        <v>543</v>
      </c>
      <c r="B1530" s="227" t="s">
        <v>858</v>
      </c>
      <c r="C1530" s="701" t="s">
        <v>707</v>
      </c>
      <c r="D1530" s="701"/>
      <c r="E1530" s="226" t="s">
        <v>123</v>
      </c>
      <c r="F1530" s="233">
        <v>20</v>
      </c>
      <c r="G1530" s="226">
        <v>10</v>
      </c>
      <c r="H1530" s="226">
        <v>0.99</v>
      </c>
      <c r="I1530" s="226">
        <v>1</v>
      </c>
      <c r="J1530" s="226">
        <v>6</v>
      </c>
      <c r="K1530" s="226">
        <v>3</v>
      </c>
      <c r="L1530" s="226">
        <v>145.53</v>
      </c>
    </row>
    <row r="1531" spans="1:12" ht="10.5" customHeight="1" x14ac:dyDescent="0.3">
      <c r="A1531" s="156" t="s">
        <v>546</v>
      </c>
      <c r="B1531" s="227" t="s">
        <v>858</v>
      </c>
      <c r="C1531" s="701" t="s">
        <v>712</v>
      </c>
      <c r="D1531" s="701"/>
      <c r="E1531" s="226" t="s">
        <v>123</v>
      </c>
      <c r="F1531" s="233">
        <v>20</v>
      </c>
      <c r="G1531" s="226">
        <v>10</v>
      </c>
      <c r="H1531" s="226">
        <v>0.99</v>
      </c>
      <c r="I1531" s="226">
        <v>1</v>
      </c>
      <c r="J1531" s="226">
        <v>6</v>
      </c>
      <c r="K1531" s="226">
        <v>3</v>
      </c>
      <c r="L1531" s="226">
        <v>145.53</v>
      </c>
    </row>
    <row r="1532" spans="1:12" ht="10.5" customHeight="1" x14ac:dyDescent="0.3">
      <c r="A1532" s="156" t="s">
        <v>548</v>
      </c>
      <c r="B1532" s="227" t="s">
        <v>858</v>
      </c>
      <c r="C1532" s="701" t="s">
        <v>713</v>
      </c>
      <c r="D1532" s="701"/>
      <c r="E1532" s="226" t="s">
        <v>123</v>
      </c>
      <c r="F1532" s="233">
        <v>20</v>
      </c>
      <c r="G1532" s="226">
        <v>10</v>
      </c>
      <c r="H1532" s="226">
        <v>0.99</v>
      </c>
      <c r="I1532" s="226">
        <v>1</v>
      </c>
      <c r="J1532" s="226">
        <v>6</v>
      </c>
      <c r="K1532" s="226">
        <v>3</v>
      </c>
      <c r="L1532" s="226">
        <v>145.53</v>
      </c>
    </row>
    <row r="1533" spans="1:12" ht="10.5" customHeight="1" x14ac:dyDescent="0.3">
      <c r="A1533" s="156" t="s">
        <v>551</v>
      </c>
      <c r="B1533" s="227" t="s">
        <v>858</v>
      </c>
      <c r="C1533" s="701" t="s">
        <v>714</v>
      </c>
      <c r="D1533" s="701"/>
      <c r="E1533" s="226" t="s">
        <v>123</v>
      </c>
      <c r="F1533" s="233">
        <v>20</v>
      </c>
      <c r="G1533" s="226">
        <v>10</v>
      </c>
      <c r="H1533" s="226">
        <v>0.99</v>
      </c>
      <c r="I1533" s="226">
        <v>1</v>
      </c>
      <c r="J1533" s="226">
        <v>6</v>
      </c>
      <c r="K1533" s="226">
        <v>3</v>
      </c>
      <c r="L1533" s="226">
        <v>145.53</v>
      </c>
    </row>
    <row r="1534" spans="1:12" ht="10.5" customHeight="1" x14ac:dyDescent="0.3">
      <c r="A1534" s="156" t="s">
        <v>554</v>
      </c>
      <c r="B1534" s="227" t="s">
        <v>858</v>
      </c>
      <c r="C1534" s="701" t="s">
        <v>722</v>
      </c>
      <c r="D1534" s="701"/>
      <c r="E1534" s="226" t="s">
        <v>123</v>
      </c>
      <c r="F1534" s="233">
        <v>17</v>
      </c>
      <c r="G1534" s="226">
        <v>9</v>
      </c>
      <c r="H1534" s="226">
        <v>0.99</v>
      </c>
      <c r="I1534" s="226">
        <v>1</v>
      </c>
      <c r="J1534" s="226">
        <v>5</v>
      </c>
      <c r="K1534" s="226">
        <v>2.5</v>
      </c>
      <c r="L1534" s="226">
        <v>103.851</v>
      </c>
    </row>
    <row r="1535" spans="1:12" ht="10.5" customHeight="1" x14ac:dyDescent="0.3">
      <c r="A1535" s="156" t="s">
        <v>557</v>
      </c>
      <c r="B1535" s="227" t="s">
        <v>858</v>
      </c>
      <c r="C1535" s="701" t="s">
        <v>724</v>
      </c>
      <c r="D1535" s="701"/>
      <c r="E1535" s="226" t="s">
        <v>123</v>
      </c>
      <c r="F1535" s="233">
        <v>17</v>
      </c>
      <c r="G1535" s="226">
        <v>9</v>
      </c>
      <c r="H1535" s="226">
        <v>0.99</v>
      </c>
      <c r="I1535" s="226">
        <v>1</v>
      </c>
      <c r="J1535" s="226">
        <v>5</v>
      </c>
      <c r="K1535" s="226">
        <v>2.5</v>
      </c>
      <c r="L1535" s="226">
        <v>103.851</v>
      </c>
    </row>
    <row r="1536" spans="1:12" ht="10.5" customHeight="1" x14ac:dyDescent="0.3">
      <c r="A1536" s="156" t="s">
        <v>559</v>
      </c>
      <c r="B1536" s="227" t="s">
        <v>858</v>
      </c>
      <c r="C1536" s="701" t="s">
        <v>725</v>
      </c>
      <c r="D1536" s="701"/>
      <c r="E1536" s="226" t="s">
        <v>123</v>
      </c>
      <c r="F1536" s="233">
        <v>20</v>
      </c>
      <c r="G1536" s="226">
        <v>10</v>
      </c>
      <c r="H1536" s="226">
        <v>0.99</v>
      </c>
      <c r="I1536" s="226">
        <v>1</v>
      </c>
      <c r="J1536" s="226">
        <v>6</v>
      </c>
      <c r="K1536" s="226">
        <v>3</v>
      </c>
      <c r="L1536" s="226">
        <v>145.53</v>
      </c>
    </row>
    <row r="1537" spans="1:12" ht="10.5" customHeight="1" x14ac:dyDescent="0.3">
      <c r="A1537" s="156" t="s">
        <v>561</v>
      </c>
      <c r="B1537" s="227" t="s">
        <v>858</v>
      </c>
      <c r="C1537" s="701" t="s">
        <v>726</v>
      </c>
      <c r="D1537" s="701"/>
      <c r="E1537" s="226" t="s">
        <v>123</v>
      </c>
      <c r="F1537" s="233">
        <v>20</v>
      </c>
      <c r="G1537" s="226">
        <v>10</v>
      </c>
      <c r="H1537" s="226">
        <v>0.99</v>
      </c>
      <c r="I1537" s="226">
        <v>1</v>
      </c>
      <c r="J1537" s="226">
        <v>6</v>
      </c>
      <c r="K1537" s="226">
        <v>3</v>
      </c>
      <c r="L1537" s="226">
        <v>145.53</v>
      </c>
    </row>
    <row r="1538" spans="1:12" ht="10.5" customHeight="1" x14ac:dyDescent="0.3">
      <c r="A1538" s="156" t="s">
        <v>563</v>
      </c>
      <c r="B1538" s="227" t="s">
        <v>858</v>
      </c>
      <c r="C1538" s="701" t="s">
        <v>727</v>
      </c>
      <c r="D1538" s="701"/>
      <c r="E1538" s="226" t="s">
        <v>123</v>
      </c>
      <c r="F1538" s="233">
        <v>20</v>
      </c>
      <c r="G1538" s="226">
        <v>10</v>
      </c>
      <c r="H1538" s="226">
        <v>0.99</v>
      </c>
      <c r="I1538" s="226">
        <v>1</v>
      </c>
      <c r="J1538" s="226">
        <v>6</v>
      </c>
      <c r="K1538" s="226">
        <v>3</v>
      </c>
      <c r="L1538" s="226">
        <v>145.53</v>
      </c>
    </row>
    <row r="1539" spans="1:12" ht="10.5" customHeight="1" x14ac:dyDescent="0.3">
      <c r="A1539" s="156" t="s">
        <v>566</v>
      </c>
      <c r="B1539" s="227" t="s">
        <v>858</v>
      </c>
      <c r="C1539" s="701" t="s">
        <v>835</v>
      </c>
      <c r="D1539" s="701"/>
      <c r="E1539" s="226" t="s">
        <v>123</v>
      </c>
      <c r="F1539" s="233">
        <v>17</v>
      </c>
      <c r="G1539" s="226">
        <v>9</v>
      </c>
      <c r="H1539" s="226">
        <v>0.99</v>
      </c>
      <c r="I1539" s="226">
        <v>1</v>
      </c>
      <c r="J1539" s="226">
        <v>5</v>
      </c>
      <c r="K1539" s="226">
        <v>2.5</v>
      </c>
      <c r="L1539" s="226">
        <v>103.851</v>
      </c>
    </row>
    <row r="1540" spans="1:12" ht="10.5" customHeight="1" x14ac:dyDescent="0.3">
      <c r="A1540" s="156" t="s">
        <v>568</v>
      </c>
      <c r="B1540" s="227" t="s">
        <v>858</v>
      </c>
      <c r="C1540" s="701" t="s">
        <v>836</v>
      </c>
      <c r="D1540" s="701"/>
      <c r="E1540" s="226" t="s">
        <v>123</v>
      </c>
      <c r="F1540" s="233">
        <v>17</v>
      </c>
      <c r="G1540" s="226">
        <v>9</v>
      </c>
      <c r="H1540" s="226">
        <v>0.99</v>
      </c>
      <c r="I1540" s="226">
        <v>1</v>
      </c>
      <c r="J1540" s="226">
        <v>5</v>
      </c>
      <c r="K1540" s="226">
        <v>2.5</v>
      </c>
      <c r="L1540" s="226">
        <v>103.851</v>
      </c>
    </row>
    <row r="1541" spans="1:12" ht="10.5" customHeight="1" x14ac:dyDescent="0.3">
      <c r="A1541" s="156" t="s">
        <v>571</v>
      </c>
      <c r="B1541" s="227" t="s">
        <v>858</v>
      </c>
      <c r="C1541" s="701" t="s">
        <v>839</v>
      </c>
      <c r="D1541" s="701"/>
      <c r="E1541" s="226" t="s">
        <v>123</v>
      </c>
      <c r="F1541" s="233">
        <v>17</v>
      </c>
      <c r="G1541" s="226">
        <v>9</v>
      </c>
      <c r="H1541" s="226">
        <v>0.99</v>
      </c>
      <c r="I1541" s="226">
        <v>1</v>
      </c>
      <c r="J1541" s="226">
        <v>5</v>
      </c>
      <c r="K1541" s="226">
        <v>2.5</v>
      </c>
      <c r="L1541" s="226">
        <v>103.851</v>
      </c>
    </row>
    <row r="1542" spans="1:12" ht="10.5" customHeight="1" x14ac:dyDescent="0.3">
      <c r="A1542" s="156" t="s">
        <v>574</v>
      </c>
      <c r="B1542" s="227" t="s">
        <v>858</v>
      </c>
      <c r="C1542" s="701" t="s">
        <v>841</v>
      </c>
      <c r="D1542" s="701"/>
      <c r="E1542" s="226" t="s">
        <v>123</v>
      </c>
      <c r="F1542" s="233">
        <v>12</v>
      </c>
      <c r="G1542" s="226">
        <v>6</v>
      </c>
      <c r="H1542" s="226">
        <v>0.99</v>
      </c>
      <c r="I1542" s="226">
        <v>1</v>
      </c>
      <c r="J1542" s="226">
        <v>3.5</v>
      </c>
      <c r="K1542" s="226">
        <v>1.75</v>
      </c>
      <c r="L1542" s="226">
        <v>50.192999999999998</v>
      </c>
    </row>
    <row r="1543" spans="1:12" ht="10.5" customHeight="1" x14ac:dyDescent="0.3">
      <c r="A1543" s="156" t="s">
        <v>577</v>
      </c>
      <c r="B1543" s="227" t="s">
        <v>858</v>
      </c>
      <c r="C1543" s="701" t="s">
        <v>843</v>
      </c>
      <c r="D1543" s="701"/>
      <c r="E1543" s="226" t="s">
        <v>123</v>
      </c>
      <c r="F1543" s="233">
        <v>12</v>
      </c>
      <c r="G1543" s="226">
        <v>6</v>
      </c>
      <c r="H1543" s="226">
        <v>0.99</v>
      </c>
      <c r="I1543" s="226">
        <v>1</v>
      </c>
      <c r="J1543" s="226">
        <v>3.5</v>
      </c>
      <c r="K1543" s="226">
        <v>1.75</v>
      </c>
      <c r="L1543" s="226">
        <v>50.192999999999998</v>
      </c>
    </row>
    <row r="1544" spans="1:12" ht="10.5" customHeight="1" x14ac:dyDescent="0.3">
      <c r="A1544" s="156" t="s">
        <v>580</v>
      </c>
      <c r="B1544" s="227" t="s">
        <v>858</v>
      </c>
      <c r="C1544" s="701" t="s">
        <v>845</v>
      </c>
      <c r="D1544" s="701"/>
      <c r="E1544" s="226" t="s">
        <v>123</v>
      </c>
      <c r="F1544" s="233">
        <v>20</v>
      </c>
      <c r="G1544" s="226">
        <v>10</v>
      </c>
      <c r="H1544" s="226">
        <v>0.99</v>
      </c>
      <c r="I1544" s="226">
        <v>1</v>
      </c>
      <c r="J1544" s="226">
        <v>6</v>
      </c>
      <c r="K1544" s="226">
        <v>3</v>
      </c>
      <c r="L1544" s="226">
        <v>145.53</v>
      </c>
    </row>
    <row r="1545" spans="1:12" ht="10.5" customHeight="1" x14ac:dyDescent="0.3">
      <c r="A1545" s="156" t="s">
        <v>582</v>
      </c>
      <c r="B1545" s="227" t="s">
        <v>858</v>
      </c>
      <c r="C1545" s="701" t="s">
        <v>844</v>
      </c>
      <c r="D1545" s="701"/>
      <c r="E1545" s="226" t="s">
        <v>123</v>
      </c>
      <c r="F1545" s="233">
        <v>20</v>
      </c>
      <c r="G1545" s="226">
        <v>10</v>
      </c>
      <c r="H1545" s="226">
        <v>0.99</v>
      </c>
      <c r="I1545" s="226">
        <v>1</v>
      </c>
      <c r="J1545" s="226">
        <v>6</v>
      </c>
      <c r="K1545" s="226">
        <v>3</v>
      </c>
      <c r="L1545" s="226">
        <v>145.53</v>
      </c>
    </row>
    <row r="1546" spans="1:12" ht="10.5" customHeight="1" x14ac:dyDescent="0.3">
      <c r="A1546" s="156" t="s">
        <v>584</v>
      </c>
      <c r="B1546" s="227" t="s">
        <v>858</v>
      </c>
      <c r="C1546" s="701" t="s">
        <v>846</v>
      </c>
      <c r="D1546" s="701"/>
      <c r="E1546" s="226" t="s">
        <v>123</v>
      </c>
      <c r="F1546" s="233">
        <v>20</v>
      </c>
      <c r="G1546" s="226">
        <v>10</v>
      </c>
      <c r="H1546" s="226">
        <v>0.99</v>
      </c>
      <c r="I1546" s="226">
        <v>1</v>
      </c>
      <c r="J1546" s="226">
        <v>6</v>
      </c>
      <c r="K1546" s="226">
        <v>3</v>
      </c>
      <c r="L1546" s="226">
        <v>145.53</v>
      </c>
    </row>
    <row r="1547" spans="1:12" ht="10.5" customHeight="1" x14ac:dyDescent="0.3">
      <c r="A1547" s="156" t="s">
        <v>587</v>
      </c>
      <c r="B1547" s="227" t="s">
        <v>858</v>
      </c>
      <c r="C1547" s="701" t="s">
        <v>847</v>
      </c>
      <c r="D1547" s="701"/>
      <c r="E1547" s="226" t="s">
        <v>123</v>
      </c>
      <c r="F1547" s="233">
        <v>17</v>
      </c>
      <c r="G1547" s="226">
        <v>9</v>
      </c>
      <c r="H1547" s="226">
        <v>0.99</v>
      </c>
      <c r="I1547" s="226">
        <v>1</v>
      </c>
      <c r="J1547" s="226">
        <v>5</v>
      </c>
      <c r="K1547" s="226">
        <v>2.5</v>
      </c>
      <c r="L1547" s="226">
        <v>103.851</v>
      </c>
    </row>
    <row r="1548" spans="1:12" ht="10.5" customHeight="1" x14ac:dyDescent="0.3">
      <c r="A1548" s="156" t="s">
        <v>590</v>
      </c>
      <c r="B1548" s="227" t="s">
        <v>858</v>
      </c>
      <c r="C1548" s="701" t="s">
        <v>849</v>
      </c>
      <c r="D1548" s="701"/>
      <c r="E1548" s="226" t="s">
        <v>123</v>
      </c>
      <c r="F1548" s="233">
        <v>20</v>
      </c>
      <c r="G1548" s="226">
        <v>10</v>
      </c>
      <c r="H1548" s="226">
        <v>0.99</v>
      </c>
      <c r="I1548" s="226">
        <v>1</v>
      </c>
      <c r="J1548" s="226">
        <v>6</v>
      </c>
      <c r="K1548" s="226">
        <v>3</v>
      </c>
      <c r="L1548" s="226">
        <v>145.53</v>
      </c>
    </row>
    <row r="1549" spans="1:12" ht="10.5" customHeight="1" x14ac:dyDescent="0.3">
      <c r="A1549" s="156" t="s">
        <v>592</v>
      </c>
      <c r="B1549" s="227" t="s">
        <v>858</v>
      </c>
      <c r="C1549" s="701" t="s">
        <v>850</v>
      </c>
      <c r="D1549" s="701"/>
      <c r="E1549" s="226" t="s">
        <v>123</v>
      </c>
      <c r="F1549" s="233">
        <v>20</v>
      </c>
      <c r="G1549" s="226">
        <v>10</v>
      </c>
      <c r="H1549" s="226">
        <v>0.99</v>
      </c>
      <c r="I1549" s="226">
        <v>1</v>
      </c>
      <c r="J1549" s="226">
        <v>6</v>
      </c>
      <c r="K1549" s="226">
        <v>3</v>
      </c>
      <c r="L1549" s="226">
        <v>145.53</v>
      </c>
    </row>
    <row r="1550" spans="1:12" ht="10.5" customHeight="1" x14ac:dyDescent="0.3">
      <c r="A1550" s="156" t="s">
        <v>594</v>
      </c>
      <c r="B1550" s="227" t="s">
        <v>858</v>
      </c>
      <c r="C1550" s="701" t="s">
        <v>851</v>
      </c>
      <c r="D1550" s="701"/>
      <c r="E1550" s="226" t="s">
        <v>123</v>
      </c>
      <c r="F1550" s="233">
        <v>20</v>
      </c>
      <c r="G1550" s="226">
        <v>10</v>
      </c>
      <c r="H1550" s="226">
        <v>0.99</v>
      </c>
      <c r="I1550" s="226">
        <v>1</v>
      </c>
      <c r="J1550" s="226">
        <v>6</v>
      </c>
      <c r="K1550" s="226">
        <v>3</v>
      </c>
      <c r="L1550" s="226">
        <v>145.53</v>
      </c>
    </row>
    <row r="1551" spans="1:12" ht="10.5" customHeight="1" x14ac:dyDescent="0.3">
      <c r="A1551" s="156" t="s">
        <v>596</v>
      </c>
      <c r="B1551" s="227" t="s">
        <v>858</v>
      </c>
      <c r="C1551" s="701" t="s">
        <v>852</v>
      </c>
      <c r="D1551" s="701"/>
      <c r="E1551" s="226" t="s">
        <v>123</v>
      </c>
      <c r="F1551" s="233">
        <v>20</v>
      </c>
      <c r="G1551" s="226">
        <v>10</v>
      </c>
      <c r="H1551" s="226">
        <v>0.99</v>
      </c>
      <c r="I1551" s="226">
        <v>1</v>
      </c>
      <c r="J1551" s="226">
        <v>6</v>
      </c>
      <c r="K1551" s="226">
        <v>3</v>
      </c>
      <c r="L1551" s="226">
        <v>145.53</v>
      </c>
    </row>
    <row r="1552" spans="1:12" ht="10.5" customHeight="1" x14ac:dyDescent="0.3">
      <c r="A1552" s="156" t="s">
        <v>604</v>
      </c>
      <c r="B1552" s="227" t="s">
        <v>858</v>
      </c>
      <c r="C1552" s="701" t="s">
        <v>853</v>
      </c>
      <c r="D1552" s="701"/>
      <c r="E1552" s="226" t="s">
        <v>123</v>
      </c>
      <c r="F1552" s="233">
        <v>20</v>
      </c>
      <c r="G1552" s="226">
        <v>10</v>
      </c>
      <c r="H1552" s="226">
        <v>0.99</v>
      </c>
      <c r="I1552" s="226">
        <v>1</v>
      </c>
      <c r="J1552" s="226">
        <v>6</v>
      </c>
      <c r="K1552" s="226">
        <v>3</v>
      </c>
      <c r="L1552" s="226">
        <v>145.53</v>
      </c>
    </row>
    <row r="1553" spans="1:12" ht="10.5" customHeight="1" x14ac:dyDescent="0.3">
      <c r="A1553" s="156" t="s">
        <v>606</v>
      </c>
      <c r="B1553" s="227" t="s">
        <v>858</v>
      </c>
      <c r="C1553" s="701" t="s">
        <v>854</v>
      </c>
      <c r="D1553" s="701"/>
      <c r="E1553" s="226" t="s">
        <v>123</v>
      </c>
      <c r="F1553" s="233">
        <v>20</v>
      </c>
      <c r="G1553" s="226">
        <v>10</v>
      </c>
      <c r="H1553" s="226">
        <v>0.99</v>
      </c>
      <c r="I1553" s="226">
        <v>1</v>
      </c>
      <c r="J1553" s="226">
        <v>6</v>
      </c>
      <c r="K1553" s="226">
        <v>3</v>
      </c>
      <c r="L1553" s="226">
        <v>145.53</v>
      </c>
    </row>
    <row r="1554" spans="1:12" ht="10.5" customHeight="1" x14ac:dyDescent="0.3">
      <c r="A1554" s="156" t="s">
        <v>609</v>
      </c>
      <c r="B1554" s="227" t="s">
        <v>858</v>
      </c>
      <c r="C1554" s="701" t="s">
        <v>1114</v>
      </c>
      <c r="D1554" s="701"/>
      <c r="E1554" s="226" t="s">
        <v>123</v>
      </c>
      <c r="F1554" s="233">
        <v>17</v>
      </c>
      <c r="G1554" s="226">
        <v>9</v>
      </c>
      <c r="H1554" s="226">
        <v>0.99</v>
      </c>
      <c r="I1554" s="226">
        <v>1</v>
      </c>
      <c r="J1554" s="226">
        <v>5</v>
      </c>
      <c r="K1554" s="226">
        <v>2.5</v>
      </c>
      <c r="L1554" s="226">
        <v>103.851</v>
      </c>
    </row>
    <row r="1555" spans="1:12" ht="10.5" customHeight="1" x14ac:dyDescent="0.3">
      <c r="A1555" s="156" t="s">
        <v>611</v>
      </c>
      <c r="B1555" s="227" t="s">
        <v>858</v>
      </c>
      <c r="C1555" s="701" t="s">
        <v>1115</v>
      </c>
      <c r="D1555" s="701"/>
      <c r="E1555" s="226" t="s">
        <v>123</v>
      </c>
      <c r="F1555" s="233">
        <v>17</v>
      </c>
      <c r="G1555" s="226">
        <v>9</v>
      </c>
      <c r="H1555" s="226">
        <v>0.99</v>
      </c>
      <c r="I1555" s="226">
        <v>1</v>
      </c>
      <c r="J1555" s="226">
        <v>5</v>
      </c>
      <c r="K1555" s="226">
        <v>2.5</v>
      </c>
      <c r="L1555" s="226">
        <v>103.851</v>
      </c>
    </row>
    <row r="1556" spans="1:12" ht="10.5" customHeight="1" x14ac:dyDescent="0.3">
      <c r="A1556" s="156" t="s">
        <v>613</v>
      </c>
      <c r="B1556" s="227" t="s">
        <v>858</v>
      </c>
      <c r="C1556" s="701" t="s">
        <v>851</v>
      </c>
      <c r="D1556" s="701"/>
      <c r="E1556" s="226" t="s">
        <v>123</v>
      </c>
      <c r="F1556" s="233">
        <v>17</v>
      </c>
      <c r="G1556" s="226">
        <v>9</v>
      </c>
      <c r="H1556" s="226">
        <v>0.99</v>
      </c>
      <c r="I1556" s="226">
        <v>1</v>
      </c>
      <c r="J1556" s="226">
        <v>5</v>
      </c>
      <c r="K1556" s="226">
        <v>2.5</v>
      </c>
      <c r="L1556" s="226">
        <v>103.851</v>
      </c>
    </row>
    <row r="1557" spans="1:12" ht="10.5" customHeight="1" x14ac:dyDescent="0.3">
      <c r="A1557" s="156" t="s">
        <v>616</v>
      </c>
      <c r="B1557" s="227" t="s">
        <v>858</v>
      </c>
      <c r="C1557" s="701" t="s">
        <v>734</v>
      </c>
      <c r="D1557" s="701"/>
      <c r="E1557" s="226" t="s">
        <v>123</v>
      </c>
      <c r="F1557" s="233">
        <v>20</v>
      </c>
      <c r="G1557" s="226">
        <v>10</v>
      </c>
      <c r="H1557" s="226">
        <v>0.99</v>
      </c>
      <c r="I1557" s="226">
        <v>1</v>
      </c>
      <c r="J1557" s="226">
        <v>6</v>
      </c>
      <c r="K1557" s="226">
        <v>3</v>
      </c>
      <c r="L1557" s="226">
        <v>145.53</v>
      </c>
    </row>
    <row r="1558" spans="1:12" ht="10.5" customHeight="1" x14ac:dyDescent="0.3">
      <c r="A1558" s="156" t="s">
        <v>618</v>
      </c>
      <c r="B1558" s="227" t="s">
        <v>858</v>
      </c>
      <c r="C1558" s="701" t="s">
        <v>735</v>
      </c>
      <c r="D1558" s="701"/>
      <c r="E1558" s="226" t="s">
        <v>123</v>
      </c>
      <c r="F1558" s="233">
        <v>20</v>
      </c>
      <c r="G1558" s="226">
        <v>10</v>
      </c>
      <c r="H1558" s="226">
        <v>0.99</v>
      </c>
      <c r="I1558" s="226">
        <v>1</v>
      </c>
      <c r="J1558" s="226">
        <v>6</v>
      </c>
      <c r="K1558" s="226">
        <v>3</v>
      </c>
      <c r="L1558" s="226">
        <v>145.53</v>
      </c>
    </row>
    <row r="1559" spans="1:12" ht="10.5" customHeight="1" x14ac:dyDescent="0.3">
      <c r="A1559" s="156" t="s">
        <v>620</v>
      </c>
      <c r="B1559" s="227" t="s">
        <v>858</v>
      </c>
      <c r="C1559" s="701" t="s">
        <v>736</v>
      </c>
      <c r="D1559" s="701"/>
      <c r="E1559" s="226" t="s">
        <v>123</v>
      </c>
      <c r="F1559" s="233">
        <v>20</v>
      </c>
      <c r="G1559" s="226">
        <v>10</v>
      </c>
      <c r="H1559" s="226">
        <v>0.99</v>
      </c>
      <c r="I1559" s="226">
        <v>1</v>
      </c>
      <c r="J1559" s="226">
        <v>6</v>
      </c>
      <c r="K1559" s="226">
        <v>3</v>
      </c>
      <c r="L1559" s="226">
        <v>145.53</v>
      </c>
    </row>
    <row r="1560" spans="1:12" ht="10.5" customHeight="1" x14ac:dyDescent="0.3">
      <c r="A1560" s="156" t="s">
        <v>623</v>
      </c>
      <c r="B1560" s="227" t="s">
        <v>858</v>
      </c>
      <c r="C1560" s="701" t="s">
        <v>755</v>
      </c>
      <c r="D1560" s="701"/>
      <c r="E1560" s="226" t="s">
        <v>123</v>
      </c>
      <c r="F1560" s="233">
        <v>20</v>
      </c>
      <c r="G1560" s="226">
        <v>10</v>
      </c>
      <c r="H1560" s="226">
        <v>0.99</v>
      </c>
      <c r="I1560" s="226">
        <v>1</v>
      </c>
      <c r="J1560" s="226">
        <v>6</v>
      </c>
      <c r="K1560" s="226">
        <v>3</v>
      </c>
      <c r="L1560" s="226">
        <v>145.53</v>
      </c>
    </row>
    <row r="1561" spans="1:12" ht="10.5" customHeight="1" x14ac:dyDescent="0.3">
      <c r="A1561" s="156" t="s">
        <v>625</v>
      </c>
      <c r="B1561" s="227" t="s">
        <v>858</v>
      </c>
      <c r="C1561" s="701" t="s">
        <v>758</v>
      </c>
      <c r="D1561" s="701"/>
      <c r="E1561" s="226" t="s">
        <v>123</v>
      </c>
      <c r="F1561" s="233">
        <v>20</v>
      </c>
      <c r="G1561" s="226">
        <v>10</v>
      </c>
      <c r="H1561" s="226">
        <v>0.99</v>
      </c>
      <c r="I1561" s="226">
        <v>1</v>
      </c>
      <c r="J1561" s="226">
        <v>6</v>
      </c>
      <c r="K1561" s="226">
        <v>3</v>
      </c>
      <c r="L1561" s="226">
        <v>145.53</v>
      </c>
    </row>
    <row r="1562" spans="1:12" ht="10.5" customHeight="1" x14ac:dyDescent="0.3">
      <c r="A1562" s="156" t="s">
        <v>627</v>
      </c>
      <c r="B1562" s="227" t="s">
        <v>858</v>
      </c>
      <c r="C1562" s="701" t="s">
        <v>761</v>
      </c>
      <c r="D1562" s="701"/>
      <c r="E1562" s="226" t="s">
        <v>123</v>
      </c>
      <c r="F1562" s="233">
        <v>20</v>
      </c>
      <c r="G1562" s="226">
        <v>10</v>
      </c>
      <c r="H1562" s="226">
        <v>0.99</v>
      </c>
      <c r="I1562" s="226">
        <v>1</v>
      </c>
      <c r="J1562" s="226">
        <v>6</v>
      </c>
      <c r="K1562" s="226">
        <v>3</v>
      </c>
      <c r="L1562" s="226">
        <v>145.53</v>
      </c>
    </row>
    <row r="1563" spans="1:12" ht="10.5" customHeight="1" x14ac:dyDescent="0.3">
      <c r="A1563" s="156" t="s">
        <v>629</v>
      </c>
      <c r="B1563" s="227" t="s">
        <v>858</v>
      </c>
      <c r="C1563" s="701" t="s">
        <v>752</v>
      </c>
      <c r="D1563" s="701"/>
      <c r="E1563" s="226" t="s">
        <v>123</v>
      </c>
      <c r="F1563" s="233">
        <v>20</v>
      </c>
      <c r="G1563" s="226">
        <v>10</v>
      </c>
      <c r="H1563" s="226">
        <v>0.99</v>
      </c>
      <c r="I1563" s="226">
        <v>1</v>
      </c>
      <c r="J1563" s="226">
        <v>6</v>
      </c>
      <c r="K1563" s="226">
        <v>3</v>
      </c>
      <c r="L1563" s="226">
        <v>145.53</v>
      </c>
    </row>
    <row r="1564" spans="1:12" ht="10.5" customHeight="1" x14ac:dyDescent="0.3">
      <c r="A1564" s="156" t="s">
        <v>631</v>
      </c>
      <c r="B1564" s="227" t="s">
        <v>858</v>
      </c>
      <c r="C1564" s="701" t="s">
        <v>759</v>
      </c>
      <c r="D1564" s="701"/>
      <c r="E1564" s="226" t="s">
        <v>123</v>
      </c>
      <c r="F1564" s="233">
        <v>20</v>
      </c>
      <c r="G1564" s="226">
        <v>10</v>
      </c>
      <c r="H1564" s="226">
        <v>0.99</v>
      </c>
      <c r="I1564" s="226">
        <v>1</v>
      </c>
      <c r="J1564" s="226">
        <v>6</v>
      </c>
      <c r="K1564" s="226">
        <v>3</v>
      </c>
      <c r="L1564" s="226">
        <v>145.53</v>
      </c>
    </row>
    <row r="1565" spans="1:12" ht="10.5" customHeight="1" x14ac:dyDescent="0.3">
      <c r="A1565" s="156" t="s">
        <v>633</v>
      </c>
      <c r="B1565" s="227" t="s">
        <v>858</v>
      </c>
      <c r="C1565" s="701" t="s">
        <v>760</v>
      </c>
      <c r="D1565" s="701"/>
      <c r="E1565" s="226" t="s">
        <v>123</v>
      </c>
      <c r="F1565" s="233">
        <v>20</v>
      </c>
      <c r="G1565" s="226">
        <v>10</v>
      </c>
      <c r="H1565" s="226">
        <v>0.99</v>
      </c>
      <c r="I1565" s="226">
        <v>1</v>
      </c>
      <c r="J1565" s="226">
        <v>6</v>
      </c>
      <c r="K1565" s="226">
        <v>3</v>
      </c>
      <c r="L1565" s="226">
        <v>145.53</v>
      </c>
    </row>
    <row r="1566" spans="1:12" ht="10.5" customHeight="1" x14ac:dyDescent="0.3">
      <c r="A1566" s="156" t="s">
        <v>639</v>
      </c>
      <c r="B1566" s="227" t="s">
        <v>858</v>
      </c>
      <c r="C1566" s="701" t="s">
        <v>792</v>
      </c>
      <c r="D1566" s="701"/>
      <c r="E1566" s="226" t="s">
        <v>123</v>
      </c>
      <c r="F1566" s="233">
        <v>20</v>
      </c>
      <c r="G1566" s="226">
        <v>10</v>
      </c>
      <c r="H1566" s="226">
        <v>0.99</v>
      </c>
      <c r="I1566" s="226">
        <v>1</v>
      </c>
      <c r="J1566" s="226">
        <v>6</v>
      </c>
      <c r="K1566" s="226">
        <v>3</v>
      </c>
      <c r="L1566" s="226">
        <v>145.53</v>
      </c>
    </row>
    <row r="1567" spans="1:12" ht="10.5" customHeight="1" x14ac:dyDescent="0.3">
      <c r="A1567" s="156" t="s">
        <v>641</v>
      </c>
      <c r="B1567" s="227" t="s">
        <v>858</v>
      </c>
      <c r="C1567" s="701" t="s">
        <v>778</v>
      </c>
      <c r="D1567" s="701"/>
      <c r="E1567" s="226" t="s">
        <v>123</v>
      </c>
      <c r="F1567" s="233">
        <v>20</v>
      </c>
      <c r="G1567" s="226">
        <v>10</v>
      </c>
      <c r="H1567" s="226">
        <v>0.99</v>
      </c>
      <c r="I1567" s="226">
        <v>1</v>
      </c>
      <c r="J1567" s="226">
        <v>6</v>
      </c>
      <c r="K1567" s="226">
        <v>3</v>
      </c>
      <c r="L1567" s="226">
        <v>145.53</v>
      </c>
    </row>
    <row r="1568" spans="1:12" ht="10.5" customHeight="1" x14ac:dyDescent="0.3">
      <c r="A1568" s="156" t="s">
        <v>643</v>
      </c>
      <c r="B1568" s="227" t="s">
        <v>858</v>
      </c>
      <c r="C1568" s="701" t="s">
        <v>779</v>
      </c>
      <c r="D1568" s="701"/>
      <c r="E1568" s="226" t="s">
        <v>123</v>
      </c>
      <c r="F1568" s="233">
        <v>20</v>
      </c>
      <c r="G1568" s="226">
        <v>10</v>
      </c>
      <c r="H1568" s="226">
        <v>0.99</v>
      </c>
      <c r="I1568" s="226">
        <v>1</v>
      </c>
      <c r="J1568" s="226">
        <v>6</v>
      </c>
      <c r="K1568" s="226">
        <v>3</v>
      </c>
      <c r="L1568" s="226">
        <v>145.53</v>
      </c>
    </row>
    <row r="1569" spans="1:12" ht="10.5" customHeight="1" x14ac:dyDescent="0.3">
      <c r="A1569" s="156" t="s">
        <v>645</v>
      </c>
      <c r="B1569" s="227" t="s">
        <v>858</v>
      </c>
      <c r="C1569" s="701" t="s">
        <v>780</v>
      </c>
      <c r="D1569" s="701"/>
      <c r="E1569" s="226" t="s">
        <v>123</v>
      </c>
      <c r="F1569" s="233">
        <v>20</v>
      </c>
      <c r="G1569" s="226">
        <v>10</v>
      </c>
      <c r="H1569" s="226">
        <v>0.99</v>
      </c>
      <c r="I1569" s="226">
        <v>1</v>
      </c>
      <c r="J1569" s="226">
        <v>6</v>
      </c>
      <c r="K1569" s="226">
        <v>3</v>
      </c>
      <c r="L1569" s="226">
        <v>145.53</v>
      </c>
    </row>
    <row r="1570" spans="1:12" ht="10.5" customHeight="1" x14ac:dyDescent="0.3">
      <c r="A1570" s="156" t="s">
        <v>647</v>
      </c>
      <c r="B1570" s="227" t="s">
        <v>858</v>
      </c>
      <c r="C1570" s="701" t="s">
        <v>781</v>
      </c>
      <c r="D1570" s="701"/>
      <c r="E1570" s="226" t="s">
        <v>123</v>
      </c>
      <c r="F1570" s="233">
        <v>20</v>
      </c>
      <c r="G1570" s="226">
        <v>10</v>
      </c>
      <c r="H1570" s="226">
        <v>0.99</v>
      </c>
      <c r="I1570" s="226">
        <v>1</v>
      </c>
      <c r="J1570" s="226">
        <v>6</v>
      </c>
      <c r="K1570" s="226">
        <v>3</v>
      </c>
      <c r="L1570" s="226">
        <v>145.53</v>
      </c>
    </row>
    <row r="1571" spans="1:12" ht="10.5" customHeight="1" x14ac:dyDescent="0.3">
      <c r="A1571" s="156" t="s">
        <v>650</v>
      </c>
      <c r="B1571" s="227" t="s">
        <v>858</v>
      </c>
      <c r="C1571" s="701" t="s">
        <v>793</v>
      </c>
      <c r="D1571" s="701"/>
      <c r="E1571" s="226" t="s">
        <v>123</v>
      </c>
      <c r="F1571" s="233">
        <v>20</v>
      </c>
      <c r="G1571" s="226">
        <v>10</v>
      </c>
      <c r="H1571" s="226">
        <v>0.99</v>
      </c>
      <c r="I1571" s="226">
        <v>1</v>
      </c>
      <c r="J1571" s="226">
        <v>6</v>
      </c>
      <c r="K1571" s="226">
        <v>3</v>
      </c>
      <c r="L1571" s="226">
        <v>145.53</v>
      </c>
    </row>
    <row r="1572" spans="1:12" ht="10.5" customHeight="1" x14ac:dyDescent="0.3">
      <c r="A1572" s="156" t="s">
        <v>652</v>
      </c>
      <c r="B1572" s="227" t="s">
        <v>858</v>
      </c>
      <c r="C1572" s="701" t="s">
        <v>794</v>
      </c>
      <c r="D1572" s="701"/>
      <c r="E1572" s="226" t="s">
        <v>123</v>
      </c>
      <c r="F1572" s="233">
        <v>20</v>
      </c>
      <c r="G1572" s="226">
        <v>10</v>
      </c>
      <c r="H1572" s="226">
        <v>0.99</v>
      </c>
      <c r="I1572" s="226">
        <v>1</v>
      </c>
      <c r="J1572" s="226">
        <v>6</v>
      </c>
      <c r="K1572" s="226">
        <v>3</v>
      </c>
      <c r="L1572" s="226">
        <v>145.53</v>
      </c>
    </row>
    <row r="1573" spans="1:12" ht="10.5" customHeight="1" x14ac:dyDescent="0.3">
      <c r="A1573" s="156" t="s">
        <v>654</v>
      </c>
      <c r="B1573" s="227" t="s">
        <v>858</v>
      </c>
      <c r="C1573" s="701" t="s">
        <v>795</v>
      </c>
      <c r="D1573" s="701"/>
      <c r="E1573" s="226" t="s">
        <v>123</v>
      </c>
      <c r="F1573" s="233">
        <v>20</v>
      </c>
      <c r="G1573" s="226">
        <v>10</v>
      </c>
      <c r="H1573" s="226">
        <v>0.99</v>
      </c>
      <c r="I1573" s="226">
        <v>1</v>
      </c>
      <c r="J1573" s="226">
        <v>6</v>
      </c>
      <c r="K1573" s="226">
        <v>3</v>
      </c>
      <c r="L1573" s="226">
        <v>145.53</v>
      </c>
    </row>
    <row r="1574" spans="1:12" ht="10.5" customHeight="1" x14ac:dyDescent="0.3">
      <c r="A1574" s="156" t="s">
        <v>656</v>
      </c>
      <c r="B1574" s="227" t="s">
        <v>858</v>
      </c>
      <c r="C1574" s="701" t="s">
        <v>796</v>
      </c>
      <c r="D1574" s="701"/>
      <c r="E1574" s="226" t="s">
        <v>123</v>
      </c>
      <c r="F1574" s="233">
        <v>20</v>
      </c>
      <c r="G1574" s="226">
        <v>10</v>
      </c>
      <c r="H1574" s="226">
        <v>0.99</v>
      </c>
      <c r="I1574" s="226">
        <v>1</v>
      </c>
      <c r="J1574" s="226">
        <v>6</v>
      </c>
      <c r="K1574" s="226">
        <v>3</v>
      </c>
      <c r="L1574" s="226">
        <v>145.53</v>
      </c>
    </row>
    <row r="1575" spans="1:12" ht="10.5" customHeight="1" x14ac:dyDescent="0.3">
      <c r="A1575" s="156" t="s">
        <v>658</v>
      </c>
      <c r="B1575" s="227" t="s">
        <v>858</v>
      </c>
      <c r="C1575" s="701" t="s">
        <v>797</v>
      </c>
      <c r="D1575" s="701"/>
      <c r="E1575" s="226" t="s">
        <v>123</v>
      </c>
      <c r="F1575" s="233">
        <v>20</v>
      </c>
      <c r="G1575" s="226">
        <v>10</v>
      </c>
      <c r="H1575" s="226">
        <v>0.99</v>
      </c>
      <c r="I1575" s="226">
        <v>1</v>
      </c>
      <c r="J1575" s="226">
        <v>6</v>
      </c>
      <c r="K1575" s="226">
        <v>3</v>
      </c>
      <c r="L1575" s="226">
        <v>145.53</v>
      </c>
    </row>
    <row r="1576" spans="1:12" ht="10.5" customHeight="1" x14ac:dyDescent="0.3">
      <c r="A1576" s="156" t="s">
        <v>661</v>
      </c>
      <c r="B1576" s="227" t="s">
        <v>858</v>
      </c>
      <c r="C1576" s="701" t="s">
        <v>800</v>
      </c>
      <c r="D1576" s="701"/>
      <c r="E1576" s="226" t="s">
        <v>123</v>
      </c>
      <c r="F1576" s="233">
        <v>20</v>
      </c>
      <c r="G1576" s="226">
        <v>10</v>
      </c>
      <c r="H1576" s="226">
        <v>0.99</v>
      </c>
      <c r="I1576" s="226">
        <v>1</v>
      </c>
      <c r="J1576" s="226">
        <v>6</v>
      </c>
      <c r="K1576" s="226">
        <v>3</v>
      </c>
      <c r="L1576" s="226">
        <v>145.53</v>
      </c>
    </row>
    <row r="1577" spans="1:12" ht="10.5" customHeight="1" x14ac:dyDescent="0.3">
      <c r="A1577" s="156" t="s">
        <v>687</v>
      </c>
      <c r="B1577" s="227" t="s">
        <v>858</v>
      </c>
      <c r="C1577" s="701" t="s">
        <v>801</v>
      </c>
      <c r="D1577" s="701"/>
      <c r="E1577" s="226" t="s">
        <v>123</v>
      </c>
      <c r="F1577" s="233">
        <v>20</v>
      </c>
      <c r="G1577" s="226">
        <v>10</v>
      </c>
      <c r="H1577" s="226">
        <v>0.99</v>
      </c>
      <c r="I1577" s="226">
        <v>1</v>
      </c>
      <c r="J1577" s="226">
        <v>6</v>
      </c>
      <c r="K1577" s="226">
        <v>3</v>
      </c>
      <c r="L1577" s="226">
        <v>145.53</v>
      </c>
    </row>
    <row r="1578" spans="1:12" ht="10.5" customHeight="1" x14ac:dyDescent="0.3">
      <c r="A1578" s="156" t="s">
        <v>689</v>
      </c>
      <c r="B1578" s="227" t="s">
        <v>858</v>
      </c>
      <c r="C1578" s="701" t="s">
        <v>802</v>
      </c>
      <c r="D1578" s="701"/>
      <c r="E1578" s="226" t="s">
        <v>123</v>
      </c>
      <c r="F1578" s="233">
        <v>20</v>
      </c>
      <c r="G1578" s="226">
        <v>10</v>
      </c>
      <c r="H1578" s="226">
        <v>0.99</v>
      </c>
      <c r="I1578" s="226">
        <v>1</v>
      </c>
      <c r="J1578" s="226">
        <v>6</v>
      </c>
      <c r="K1578" s="226">
        <v>3</v>
      </c>
      <c r="L1578" s="226">
        <v>145.53</v>
      </c>
    </row>
    <row r="1579" spans="1:12" ht="10.5" customHeight="1" x14ac:dyDescent="0.3">
      <c r="A1579" s="156" t="s">
        <v>692</v>
      </c>
      <c r="B1579" s="227" t="s">
        <v>858</v>
      </c>
      <c r="C1579" s="701" t="s">
        <v>805</v>
      </c>
      <c r="D1579" s="701"/>
      <c r="E1579" s="226" t="s">
        <v>123</v>
      </c>
      <c r="F1579" s="233">
        <v>20</v>
      </c>
      <c r="G1579" s="226">
        <v>10</v>
      </c>
      <c r="H1579" s="226">
        <v>0.99</v>
      </c>
      <c r="I1579" s="226">
        <v>1</v>
      </c>
      <c r="J1579" s="226">
        <v>6</v>
      </c>
      <c r="K1579" s="226">
        <v>3</v>
      </c>
      <c r="L1579" s="226">
        <v>145.53</v>
      </c>
    </row>
    <row r="1580" spans="1:12" ht="10.5" customHeight="1" x14ac:dyDescent="0.3">
      <c r="A1580" s="156" t="s">
        <v>694</v>
      </c>
      <c r="B1580" s="227" t="s">
        <v>858</v>
      </c>
      <c r="C1580" s="701" t="s">
        <v>806</v>
      </c>
      <c r="D1580" s="701"/>
      <c r="E1580" s="226" t="s">
        <v>123</v>
      </c>
      <c r="F1580" s="233">
        <v>20</v>
      </c>
      <c r="G1580" s="226">
        <v>10</v>
      </c>
      <c r="H1580" s="226">
        <v>0.99</v>
      </c>
      <c r="I1580" s="226">
        <v>1</v>
      </c>
      <c r="J1580" s="226">
        <v>6</v>
      </c>
      <c r="K1580" s="226">
        <v>3</v>
      </c>
      <c r="L1580" s="226">
        <v>145.53</v>
      </c>
    </row>
    <row r="1581" spans="1:12" ht="10.5" customHeight="1" x14ac:dyDescent="0.3">
      <c r="A1581" s="156" t="s">
        <v>696</v>
      </c>
      <c r="B1581" s="227" t="s">
        <v>858</v>
      </c>
      <c r="C1581" s="701" t="s">
        <v>807</v>
      </c>
      <c r="D1581" s="701"/>
      <c r="E1581" s="226" t="s">
        <v>123</v>
      </c>
      <c r="F1581" s="233">
        <v>20</v>
      </c>
      <c r="G1581" s="226">
        <v>10</v>
      </c>
      <c r="H1581" s="226">
        <v>0.99</v>
      </c>
      <c r="I1581" s="226">
        <v>1</v>
      </c>
      <c r="J1581" s="226">
        <v>6</v>
      </c>
      <c r="K1581" s="226">
        <v>3</v>
      </c>
      <c r="L1581" s="226">
        <v>145.53</v>
      </c>
    </row>
    <row r="1582" spans="1:12" ht="10.5" customHeight="1" x14ac:dyDescent="0.3">
      <c r="A1582" s="156" t="s">
        <v>700</v>
      </c>
      <c r="B1582" s="227" t="s">
        <v>858</v>
      </c>
      <c r="C1582" s="701" t="s">
        <v>809</v>
      </c>
      <c r="D1582" s="701"/>
      <c r="E1582" s="226" t="s">
        <v>123</v>
      </c>
      <c r="F1582" s="233">
        <v>20</v>
      </c>
      <c r="G1582" s="226">
        <v>10</v>
      </c>
      <c r="H1582" s="226">
        <v>0.99</v>
      </c>
      <c r="I1582" s="226">
        <v>1</v>
      </c>
      <c r="J1582" s="226">
        <v>6</v>
      </c>
      <c r="K1582" s="226">
        <v>3</v>
      </c>
      <c r="L1582" s="226">
        <v>145.53</v>
      </c>
    </row>
    <row r="1583" spans="1:12" ht="10.5" customHeight="1" x14ac:dyDescent="0.3">
      <c r="A1583" s="156" t="s">
        <v>702</v>
      </c>
      <c r="B1583" s="227" t="s">
        <v>858</v>
      </c>
      <c r="C1583" s="701" t="s">
        <v>810</v>
      </c>
      <c r="D1583" s="701"/>
      <c r="E1583" s="226" t="s">
        <v>123</v>
      </c>
      <c r="F1583" s="233">
        <v>20</v>
      </c>
      <c r="G1583" s="226">
        <v>10</v>
      </c>
      <c r="H1583" s="226">
        <v>0.99</v>
      </c>
      <c r="I1583" s="226">
        <v>1</v>
      </c>
      <c r="J1583" s="226">
        <v>6</v>
      </c>
      <c r="K1583" s="226">
        <v>3</v>
      </c>
      <c r="L1583" s="226">
        <v>145.53</v>
      </c>
    </row>
    <row r="1584" spans="1:12" ht="10.5" customHeight="1" x14ac:dyDescent="0.3">
      <c r="A1584" s="156" t="s">
        <v>704</v>
      </c>
      <c r="B1584" s="227" t="s">
        <v>858</v>
      </c>
      <c r="C1584" s="701" t="s">
        <v>811</v>
      </c>
      <c r="D1584" s="701"/>
      <c r="E1584" s="226" t="s">
        <v>123</v>
      </c>
      <c r="F1584" s="233">
        <v>20</v>
      </c>
      <c r="G1584" s="226">
        <v>10</v>
      </c>
      <c r="H1584" s="226">
        <v>0.99</v>
      </c>
      <c r="I1584" s="226">
        <v>1</v>
      </c>
      <c r="J1584" s="226">
        <v>6</v>
      </c>
      <c r="K1584" s="226">
        <v>3</v>
      </c>
      <c r="L1584" s="226">
        <v>145.53</v>
      </c>
    </row>
    <row r="1585" spans="1:12" ht="10.5" customHeight="1" x14ac:dyDescent="0.3">
      <c r="A1585" s="156" t="s">
        <v>706</v>
      </c>
      <c r="B1585" s="227" t="s">
        <v>858</v>
      </c>
      <c r="C1585" s="701" t="s">
        <v>812</v>
      </c>
      <c r="D1585" s="701"/>
      <c r="E1585" s="226" t="s">
        <v>123</v>
      </c>
      <c r="F1585" s="233">
        <v>20</v>
      </c>
      <c r="G1585" s="226">
        <v>10</v>
      </c>
      <c r="H1585" s="226">
        <v>0.99</v>
      </c>
      <c r="I1585" s="226">
        <v>1</v>
      </c>
      <c r="J1585" s="226">
        <v>6</v>
      </c>
      <c r="K1585" s="226">
        <v>3</v>
      </c>
      <c r="L1585" s="226">
        <v>145.53</v>
      </c>
    </row>
    <row r="1586" spans="1:12" ht="10.5" customHeight="1" x14ac:dyDescent="0.3">
      <c r="A1586" s="156" t="s">
        <v>731</v>
      </c>
      <c r="B1586" s="227" t="s">
        <v>858</v>
      </c>
      <c r="C1586" s="701" t="s">
        <v>813</v>
      </c>
      <c r="D1586" s="701"/>
      <c r="E1586" s="226" t="s">
        <v>123</v>
      </c>
      <c r="F1586" s="233">
        <v>20</v>
      </c>
      <c r="G1586" s="226">
        <v>10</v>
      </c>
      <c r="H1586" s="226">
        <v>0.99</v>
      </c>
      <c r="I1586" s="226">
        <v>1</v>
      </c>
      <c r="J1586" s="226">
        <v>6</v>
      </c>
      <c r="K1586" s="226">
        <v>3</v>
      </c>
      <c r="L1586" s="226">
        <v>145.53</v>
      </c>
    </row>
    <row r="1587" spans="1:12" ht="10.5" customHeight="1" x14ac:dyDescent="0.3">
      <c r="A1587" s="156" t="s">
        <v>741</v>
      </c>
      <c r="B1587" s="227" t="s">
        <v>858</v>
      </c>
      <c r="C1587" s="701" t="s">
        <v>815</v>
      </c>
      <c r="D1587" s="701"/>
      <c r="E1587" s="226" t="s">
        <v>123</v>
      </c>
      <c r="F1587" s="233">
        <v>20</v>
      </c>
      <c r="G1587" s="226">
        <v>10</v>
      </c>
      <c r="H1587" s="226">
        <v>0.99</v>
      </c>
      <c r="I1587" s="226">
        <v>1</v>
      </c>
      <c r="J1587" s="226">
        <v>6</v>
      </c>
      <c r="K1587" s="226">
        <v>3</v>
      </c>
      <c r="L1587" s="226">
        <v>145.53</v>
      </c>
    </row>
    <row r="1588" spans="1:12" ht="10.5" customHeight="1" x14ac:dyDescent="0.3">
      <c r="A1588" s="156" t="s">
        <v>743</v>
      </c>
      <c r="B1588" s="227" t="s">
        <v>858</v>
      </c>
      <c r="C1588" s="701" t="s">
        <v>816</v>
      </c>
      <c r="D1588" s="701"/>
      <c r="E1588" s="226" t="s">
        <v>123</v>
      </c>
      <c r="F1588" s="233">
        <v>20</v>
      </c>
      <c r="G1588" s="226">
        <v>10</v>
      </c>
      <c r="H1588" s="226">
        <v>0.99</v>
      </c>
      <c r="I1588" s="226">
        <v>1</v>
      </c>
      <c r="J1588" s="226">
        <v>6</v>
      </c>
      <c r="K1588" s="226">
        <v>3</v>
      </c>
      <c r="L1588" s="226">
        <v>145.53</v>
      </c>
    </row>
    <row r="1589" spans="1:12" ht="10.5" customHeight="1" x14ac:dyDescent="0.3">
      <c r="A1589" s="156" t="s">
        <v>745</v>
      </c>
      <c r="B1589" s="227" t="s">
        <v>858</v>
      </c>
      <c r="C1589" s="701" t="s">
        <v>817</v>
      </c>
      <c r="D1589" s="701"/>
      <c r="E1589" s="226" t="s">
        <v>123</v>
      </c>
      <c r="F1589" s="233">
        <v>20</v>
      </c>
      <c r="G1589" s="226">
        <v>10</v>
      </c>
      <c r="H1589" s="226">
        <v>0.99</v>
      </c>
      <c r="I1589" s="226">
        <v>1</v>
      </c>
      <c r="J1589" s="226">
        <v>6</v>
      </c>
      <c r="K1589" s="226">
        <v>3</v>
      </c>
      <c r="L1589" s="226">
        <v>145.53</v>
      </c>
    </row>
    <row r="1590" spans="1:12" ht="10.5" customHeight="1" x14ac:dyDescent="0.3">
      <c r="A1590" s="156" t="s">
        <v>747</v>
      </c>
      <c r="B1590" s="227" t="s">
        <v>858</v>
      </c>
      <c r="C1590" s="701" t="s">
        <v>818</v>
      </c>
      <c r="D1590" s="701"/>
      <c r="E1590" s="226" t="s">
        <v>123</v>
      </c>
      <c r="F1590" s="233">
        <v>20</v>
      </c>
      <c r="G1590" s="226">
        <v>10</v>
      </c>
      <c r="H1590" s="226">
        <v>0.99</v>
      </c>
      <c r="I1590" s="226">
        <v>1</v>
      </c>
      <c r="J1590" s="226">
        <v>6</v>
      </c>
      <c r="K1590" s="226">
        <v>3</v>
      </c>
      <c r="L1590" s="226">
        <v>145.53</v>
      </c>
    </row>
    <row r="1591" spans="1:12" ht="10.5" customHeight="1" x14ac:dyDescent="0.3">
      <c r="A1591" s="156" t="s">
        <v>749</v>
      </c>
      <c r="B1591" s="227" t="s">
        <v>858</v>
      </c>
      <c r="C1591" s="701" t="s">
        <v>819</v>
      </c>
      <c r="D1591" s="701"/>
      <c r="E1591" s="226" t="s">
        <v>123</v>
      </c>
      <c r="F1591" s="233">
        <v>20</v>
      </c>
      <c r="G1591" s="226">
        <v>10</v>
      </c>
      <c r="H1591" s="226">
        <v>0.99</v>
      </c>
      <c r="I1591" s="226">
        <v>1</v>
      </c>
      <c r="J1591" s="226">
        <v>6</v>
      </c>
      <c r="K1591" s="226">
        <v>3</v>
      </c>
      <c r="L1591" s="226">
        <v>145.53</v>
      </c>
    </row>
    <row r="1592" spans="1:12" ht="10.5" customHeight="1" x14ac:dyDescent="0.3">
      <c r="A1592" s="156" t="s">
        <v>753</v>
      </c>
      <c r="B1592" s="227" t="s">
        <v>858</v>
      </c>
      <c r="C1592" s="701" t="s">
        <v>821</v>
      </c>
      <c r="D1592" s="701"/>
      <c r="E1592" s="226" t="s">
        <v>123</v>
      </c>
      <c r="F1592" s="233">
        <v>20</v>
      </c>
      <c r="G1592" s="226">
        <v>10</v>
      </c>
      <c r="H1592" s="226">
        <v>0.99</v>
      </c>
      <c r="I1592" s="226">
        <v>1</v>
      </c>
      <c r="J1592" s="226">
        <v>6</v>
      </c>
      <c r="K1592" s="226">
        <v>3</v>
      </c>
      <c r="L1592" s="226">
        <v>145.53</v>
      </c>
    </row>
    <row r="1593" spans="1:12" ht="10.5" customHeight="1" x14ac:dyDescent="0.3">
      <c r="A1593" s="156" t="s">
        <v>756</v>
      </c>
      <c r="B1593" s="227" t="s">
        <v>858</v>
      </c>
      <c r="C1593" s="701" t="s">
        <v>822</v>
      </c>
      <c r="D1593" s="701"/>
      <c r="E1593" s="226" t="s">
        <v>123</v>
      </c>
      <c r="F1593" s="233">
        <v>20</v>
      </c>
      <c r="G1593" s="226">
        <v>10</v>
      </c>
      <c r="H1593" s="226">
        <v>0.99</v>
      </c>
      <c r="I1593" s="226">
        <v>1</v>
      </c>
      <c r="J1593" s="226">
        <v>6</v>
      </c>
      <c r="K1593" s="226">
        <v>3</v>
      </c>
      <c r="L1593" s="226">
        <v>145.53</v>
      </c>
    </row>
    <row r="1594" spans="1:12" ht="10.5" customHeight="1" x14ac:dyDescent="0.3">
      <c r="A1594" s="156" t="s">
        <v>762</v>
      </c>
      <c r="B1594" s="227" t="s">
        <v>858</v>
      </c>
      <c r="C1594" s="701" t="s">
        <v>823</v>
      </c>
      <c r="D1594" s="701"/>
      <c r="E1594" s="226" t="s">
        <v>123</v>
      </c>
      <c r="F1594" s="233">
        <v>20</v>
      </c>
      <c r="G1594" s="226">
        <v>10</v>
      </c>
      <c r="H1594" s="226">
        <v>0.99</v>
      </c>
      <c r="I1594" s="226">
        <v>1</v>
      </c>
      <c r="J1594" s="226">
        <v>6</v>
      </c>
      <c r="K1594" s="226">
        <v>3</v>
      </c>
      <c r="L1594" s="226">
        <v>145.53</v>
      </c>
    </row>
    <row r="1595" spans="1:12" ht="10.5" customHeight="1" x14ac:dyDescent="0.3">
      <c r="A1595" s="156" t="s">
        <v>764</v>
      </c>
      <c r="B1595" s="227" t="s">
        <v>858</v>
      </c>
      <c r="C1595" s="701" t="s">
        <v>824</v>
      </c>
      <c r="D1595" s="701"/>
      <c r="E1595" s="226" t="s">
        <v>123</v>
      </c>
      <c r="F1595" s="233">
        <v>20</v>
      </c>
      <c r="G1595" s="226">
        <v>10</v>
      </c>
      <c r="H1595" s="226">
        <v>0.99</v>
      </c>
      <c r="I1595" s="226">
        <v>1</v>
      </c>
      <c r="J1595" s="226">
        <v>6</v>
      </c>
      <c r="K1595" s="226">
        <v>3</v>
      </c>
      <c r="L1595" s="226">
        <v>145.53</v>
      </c>
    </row>
    <row r="1596" spans="1:12" ht="10.5" customHeight="1" x14ac:dyDescent="0.3">
      <c r="A1596" s="156" t="s">
        <v>766</v>
      </c>
      <c r="B1596" s="227" t="s">
        <v>858</v>
      </c>
      <c r="C1596" s="701" t="s">
        <v>825</v>
      </c>
      <c r="D1596" s="701"/>
      <c r="E1596" s="226" t="s">
        <v>123</v>
      </c>
      <c r="F1596" s="233">
        <v>20</v>
      </c>
      <c r="G1596" s="226">
        <v>10</v>
      </c>
      <c r="H1596" s="226">
        <v>0.99</v>
      </c>
      <c r="I1596" s="226">
        <v>1</v>
      </c>
      <c r="J1596" s="226">
        <v>6</v>
      </c>
      <c r="K1596" s="226">
        <v>3</v>
      </c>
      <c r="L1596" s="226">
        <v>145.53</v>
      </c>
    </row>
    <row r="1597" spans="1:12" ht="10.5" customHeight="1" x14ac:dyDescent="0.3">
      <c r="A1597" s="156" t="s">
        <v>768</v>
      </c>
      <c r="B1597" s="227" t="s">
        <v>858</v>
      </c>
      <c r="C1597" s="701" t="s">
        <v>826</v>
      </c>
      <c r="D1597" s="701"/>
      <c r="E1597" s="226" t="s">
        <v>123</v>
      </c>
      <c r="F1597" s="233">
        <v>20</v>
      </c>
      <c r="G1597" s="226">
        <v>10</v>
      </c>
      <c r="H1597" s="226">
        <v>0.99</v>
      </c>
      <c r="I1597" s="226">
        <v>1</v>
      </c>
      <c r="J1597" s="226">
        <v>6</v>
      </c>
      <c r="K1597" s="226">
        <v>3</v>
      </c>
      <c r="L1597" s="226">
        <v>145.53</v>
      </c>
    </row>
    <row r="1598" spans="1:12" ht="10.5" customHeight="1" x14ac:dyDescent="0.3">
      <c r="A1598" s="156" t="s">
        <v>771</v>
      </c>
      <c r="B1598" s="227" t="s">
        <v>858</v>
      </c>
      <c r="C1598" s="701" t="s">
        <v>827</v>
      </c>
      <c r="D1598" s="701"/>
      <c r="E1598" s="226" t="s">
        <v>123</v>
      </c>
      <c r="F1598" s="233">
        <v>17</v>
      </c>
      <c r="G1598" s="226">
        <v>9</v>
      </c>
      <c r="H1598" s="226">
        <v>0.99</v>
      </c>
      <c r="I1598" s="226">
        <v>1</v>
      </c>
      <c r="J1598" s="226">
        <v>5</v>
      </c>
      <c r="K1598" s="226">
        <v>2.5</v>
      </c>
      <c r="L1598" s="226">
        <v>103.851</v>
      </c>
    </row>
    <row r="1599" spans="1:12" ht="10.5" customHeight="1" x14ac:dyDescent="0.3">
      <c r="A1599" s="156" t="s">
        <v>773</v>
      </c>
      <c r="B1599" s="227" t="s">
        <v>858</v>
      </c>
      <c r="C1599" s="701" t="s">
        <v>828</v>
      </c>
      <c r="D1599" s="701"/>
      <c r="E1599" s="226" t="s">
        <v>123</v>
      </c>
      <c r="F1599" s="233">
        <v>17</v>
      </c>
      <c r="G1599" s="226">
        <v>9</v>
      </c>
      <c r="H1599" s="226">
        <v>0.99</v>
      </c>
      <c r="I1599" s="226">
        <v>1</v>
      </c>
      <c r="J1599" s="226">
        <v>5</v>
      </c>
      <c r="K1599" s="226">
        <v>2.5</v>
      </c>
      <c r="L1599" s="226">
        <v>103.851</v>
      </c>
    </row>
    <row r="1600" spans="1:12" ht="10.5" customHeight="1" x14ac:dyDescent="0.3">
      <c r="A1600" s="156" t="s">
        <v>775</v>
      </c>
      <c r="B1600" s="227" t="s">
        <v>858</v>
      </c>
      <c r="C1600" s="701" t="s">
        <v>829</v>
      </c>
      <c r="D1600" s="701"/>
      <c r="E1600" s="226" t="s">
        <v>123</v>
      </c>
      <c r="F1600" s="233">
        <v>17</v>
      </c>
      <c r="G1600" s="226">
        <v>9</v>
      </c>
      <c r="H1600" s="226">
        <v>0.99</v>
      </c>
      <c r="I1600" s="226">
        <v>1</v>
      </c>
      <c r="J1600" s="226">
        <v>5</v>
      </c>
      <c r="K1600" s="226">
        <v>2.5</v>
      </c>
      <c r="L1600" s="226">
        <v>103.851</v>
      </c>
    </row>
    <row r="1601" spans="1:12" ht="10.5" customHeight="1" x14ac:dyDescent="0.3">
      <c r="A1601" s="156" t="s">
        <v>786</v>
      </c>
      <c r="B1601" s="227" t="s">
        <v>858</v>
      </c>
      <c r="C1601" s="701" t="s">
        <v>830</v>
      </c>
      <c r="D1601" s="701"/>
      <c r="E1601" s="226" t="s">
        <v>123</v>
      </c>
      <c r="F1601" s="233">
        <v>17</v>
      </c>
      <c r="G1601" s="226">
        <v>9</v>
      </c>
      <c r="H1601" s="226">
        <v>0.99</v>
      </c>
      <c r="I1601" s="226">
        <v>1</v>
      </c>
      <c r="J1601" s="226">
        <v>5</v>
      </c>
      <c r="K1601" s="226">
        <v>2.5</v>
      </c>
      <c r="L1601" s="226">
        <v>103.851</v>
      </c>
    </row>
    <row r="1602" spans="1:12" ht="10.5" customHeight="1" x14ac:dyDescent="0.3">
      <c r="A1602" s="156" t="s">
        <v>788</v>
      </c>
      <c r="B1602" s="227" t="s">
        <v>858</v>
      </c>
      <c r="C1602" s="701" t="s">
        <v>831</v>
      </c>
      <c r="D1602" s="701"/>
      <c r="E1602" s="226" t="s">
        <v>123</v>
      </c>
      <c r="F1602" s="233">
        <v>17</v>
      </c>
      <c r="G1602" s="226">
        <v>9</v>
      </c>
      <c r="H1602" s="226">
        <v>0.99</v>
      </c>
      <c r="I1602" s="226">
        <v>1</v>
      </c>
      <c r="J1602" s="226">
        <v>5</v>
      </c>
      <c r="K1602" s="226">
        <v>2.5</v>
      </c>
      <c r="L1602" s="226">
        <v>103.851</v>
      </c>
    </row>
    <row r="1603" spans="1:12" ht="10.5" customHeight="1" x14ac:dyDescent="0.3">
      <c r="A1603" s="156" t="s">
        <v>790</v>
      </c>
      <c r="B1603" s="227" t="s">
        <v>858</v>
      </c>
      <c r="C1603" s="701" t="s">
        <v>832</v>
      </c>
      <c r="D1603" s="701"/>
      <c r="E1603" s="226" t="s">
        <v>123</v>
      </c>
      <c r="F1603" s="233">
        <v>17</v>
      </c>
      <c r="G1603" s="226">
        <v>9</v>
      </c>
      <c r="H1603" s="226">
        <v>0.99</v>
      </c>
      <c r="I1603" s="226">
        <v>1</v>
      </c>
      <c r="J1603" s="226">
        <v>5</v>
      </c>
      <c r="K1603" s="226">
        <v>2.5</v>
      </c>
      <c r="L1603" s="226">
        <v>103.851</v>
      </c>
    </row>
    <row r="1604" spans="1:12" ht="10.5" customHeight="1" x14ac:dyDescent="0.3">
      <c r="A1604" s="156" t="s">
        <v>1161</v>
      </c>
      <c r="B1604" s="227" t="s">
        <v>1196</v>
      </c>
      <c r="C1604" s="701" t="s">
        <v>1126</v>
      </c>
      <c r="D1604" s="701"/>
      <c r="E1604" s="226" t="s">
        <v>123</v>
      </c>
      <c r="F1604" s="233">
        <v>20</v>
      </c>
      <c r="G1604" s="226">
        <v>10</v>
      </c>
      <c r="H1604" s="226">
        <v>0.99</v>
      </c>
      <c r="I1604" s="226">
        <v>1</v>
      </c>
      <c r="J1604" s="226">
        <v>6</v>
      </c>
      <c r="K1604" s="226">
        <v>3</v>
      </c>
      <c r="L1604" s="226">
        <v>145.53</v>
      </c>
    </row>
    <row r="1605" spans="1:12" ht="10.5" customHeight="1" x14ac:dyDescent="0.3">
      <c r="A1605" s="156" t="s">
        <v>1163</v>
      </c>
      <c r="B1605" s="227" t="s">
        <v>1197</v>
      </c>
      <c r="C1605" s="701" t="s">
        <v>1128</v>
      </c>
      <c r="D1605" s="701"/>
      <c r="E1605" s="226" t="s">
        <v>123</v>
      </c>
      <c r="F1605" s="233">
        <v>20</v>
      </c>
      <c r="G1605" s="226">
        <v>10</v>
      </c>
      <c r="H1605" s="226">
        <v>0.99</v>
      </c>
      <c r="I1605" s="226">
        <v>1</v>
      </c>
      <c r="J1605" s="226">
        <v>6</v>
      </c>
      <c r="K1605" s="226">
        <v>3</v>
      </c>
      <c r="L1605" s="226">
        <v>145.53</v>
      </c>
    </row>
    <row r="1606" spans="1:12" ht="10.5" customHeight="1" x14ac:dyDescent="0.3">
      <c r="A1606" s="156" t="s">
        <v>1165</v>
      </c>
      <c r="B1606" s="227" t="s">
        <v>1198</v>
      </c>
      <c r="C1606" s="701" t="s">
        <v>1130</v>
      </c>
      <c r="D1606" s="701"/>
      <c r="E1606" s="226" t="s">
        <v>123</v>
      </c>
      <c r="F1606" s="233">
        <v>20</v>
      </c>
      <c r="G1606" s="226">
        <v>10</v>
      </c>
      <c r="H1606" s="226">
        <v>0.99</v>
      </c>
      <c r="I1606" s="226">
        <v>1</v>
      </c>
      <c r="J1606" s="226">
        <v>6</v>
      </c>
      <c r="K1606" s="226">
        <v>3</v>
      </c>
      <c r="L1606" s="226">
        <v>145.53</v>
      </c>
    </row>
    <row r="1607" spans="1:12" ht="10.5" customHeight="1" x14ac:dyDescent="0.3">
      <c r="A1607" s="156" t="s">
        <v>1167</v>
      </c>
      <c r="B1607" s="227" t="s">
        <v>1199</v>
      </c>
      <c r="C1607" s="701" t="s">
        <v>1132</v>
      </c>
      <c r="D1607" s="701"/>
      <c r="E1607" s="226" t="s">
        <v>123</v>
      </c>
      <c r="F1607" s="233">
        <v>20</v>
      </c>
      <c r="G1607" s="226">
        <v>10</v>
      </c>
      <c r="H1607" s="226">
        <v>0.99</v>
      </c>
      <c r="I1607" s="226">
        <v>1</v>
      </c>
      <c r="J1607" s="226">
        <v>6</v>
      </c>
      <c r="K1607" s="226">
        <v>3</v>
      </c>
      <c r="L1607" s="226">
        <v>145.53</v>
      </c>
    </row>
    <row r="1608" spans="1:12" ht="10.5" customHeight="1" x14ac:dyDescent="0.3">
      <c r="A1608" s="156" t="s">
        <v>1169</v>
      </c>
      <c r="B1608" s="227" t="s">
        <v>1200</v>
      </c>
      <c r="C1608" s="701" t="s">
        <v>1134</v>
      </c>
      <c r="D1608" s="701"/>
      <c r="E1608" s="226" t="s">
        <v>123</v>
      </c>
      <c r="F1608" s="233">
        <v>20</v>
      </c>
      <c r="G1608" s="226">
        <v>10</v>
      </c>
      <c r="H1608" s="226">
        <v>0.99</v>
      </c>
      <c r="I1608" s="226">
        <v>1</v>
      </c>
      <c r="J1608" s="226">
        <v>6</v>
      </c>
      <c r="K1608" s="226">
        <v>3</v>
      </c>
      <c r="L1608" s="226">
        <v>145.53</v>
      </c>
    </row>
    <row r="1609" spans="1:12" ht="10.5" customHeight="1" x14ac:dyDescent="0.3">
      <c r="A1609" s="156" t="s">
        <v>1171</v>
      </c>
      <c r="B1609" s="227" t="s">
        <v>1201</v>
      </c>
      <c r="C1609" s="701" t="s">
        <v>1136</v>
      </c>
      <c r="D1609" s="701"/>
      <c r="E1609" s="226" t="s">
        <v>123</v>
      </c>
      <c r="F1609" s="233">
        <v>20</v>
      </c>
      <c r="G1609" s="226">
        <v>10</v>
      </c>
      <c r="H1609" s="226">
        <v>0.99</v>
      </c>
      <c r="I1609" s="226">
        <v>1</v>
      </c>
      <c r="J1609" s="226">
        <v>6</v>
      </c>
      <c r="K1609" s="226">
        <v>3</v>
      </c>
      <c r="L1609" s="226">
        <v>145.53</v>
      </c>
    </row>
    <row r="1610" spans="1:12" ht="10.5" customHeight="1" x14ac:dyDescent="0.3">
      <c r="A1610" s="156" t="s">
        <v>1173</v>
      </c>
      <c r="B1610" s="227" t="s">
        <v>1202</v>
      </c>
      <c r="C1610" s="701" t="s">
        <v>1138</v>
      </c>
      <c r="D1610" s="701"/>
      <c r="E1610" s="226" t="s">
        <v>123</v>
      </c>
      <c r="F1610" s="233">
        <v>20</v>
      </c>
      <c r="G1610" s="226">
        <v>10</v>
      </c>
      <c r="H1610" s="226">
        <v>0.99</v>
      </c>
      <c r="I1610" s="226">
        <v>1</v>
      </c>
      <c r="J1610" s="226">
        <v>6</v>
      </c>
      <c r="K1610" s="226">
        <v>3</v>
      </c>
      <c r="L1610" s="226">
        <v>145.53</v>
      </c>
    </row>
    <row r="1611" spans="1:12" ht="10.5" customHeight="1" x14ac:dyDescent="0.3">
      <c r="A1611" s="156" t="s">
        <v>1175</v>
      </c>
      <c r="B1611" s="227" t="s">
        <v>1203</v>
      </c>
      <c r="C1611" s="701" t="s">
        <v>1140</v>
      </c>
      <c r="D1611" s="701"/>
      <c r="E1611" s="226" t="s">
        <v>123</v>
      </c>
      <c r="F1611" s="233">
        <v>20</v>
      </c>
      <c r="G1611" s="226">
        <v>10</v>
      </c>
      <c r="H1611" s="226">
        <v>0.99</v>
      </c>
      <c r="I1611" s="226">
        <v>1</v>
      </c>
      <c r="J1611" s="226">
        <v>6</v>
      </c>
      <c r="K1611" s="226">
        <v>3</v>
      </c>
      <c r="L1611" s="226">
        <v>145.53</v>
      </c>
    </row>
    <row r="1612" spans="1:12" ht="10.5" customHeight="1" x14ac:dyDescent="0.3">
      <c r="A1612" s="156" t="s">
        <v>1177</v>
      </c>
      <c r="B1612" s="227" t="s">
        <v>1204</v>
      </c>
      <c r="C1612" s="701" t="s">
        <v>1142</v>
      </c>
      <c r="D1612" s="701"/>
      <c r="E1612" s="226" t="s">
        <v>123</v>
      </c>
      <c r="F1612" s="233">
        <v>20</v>
      </c>
      <c r="G1612" s="226">
        <v>10</v>
      </c>
      <c r="H1612" s="226">
        <v>0.99</v>
      </c>
      <c r="I1612" s="226">
        <v>1</v>
      </c>
      <c r="J1612" s="226">
        <v>6</v>
      </c>
      <c r="K1612" s="226">
        <v>3</v>
      </c>
      <c r="L1612" s="226">
        <v>145.53</v>
      </c>
    </row>
    <row r="1613" spans="1:12" ht="10.5" customHeight="1" x14ac:dyDescent="0.3">
      <c r="A1613" s="156" t="s">
        <v>1179</v>
      </c>
      <c r="B1613" s="227" t="s">
        <v>1205</v>
      </c>
      <c r="C1613" s="701" t="s">
        <v>1144</v>
      </c>
      <c r="D1613" s="701"/>
      <c r="E1613" s="226" t="s">
        <v>123</v>
      </c>
      <c r="F1613" s="233">
        <v>20</v>
      </c>
      <c r="G1613" s="226">
        <v>10</v>
      </c>
      <c r="H1613" s="226">
        <v>0.99</v>
      </c>
      <c r="I1613" s="226">
        <v>1</v>
      </c>
      <c r="J1613" s="226">
        <v>6</v>
      </c>
      <c r="K1613" s="226">
        <v>3</v>
      </c>
      <c r="L1613" s="226">
        <v>145.53</v>
      </c>
    </row>
    <row r="1614" spans="1:12" ht="10.5" customHeight="1" x14ac:dyDescent="0.3">
      <c r="A1614" s="156" t="s">
        <v>1181</v>
      </c>
      <c r="B1614" s="227" t="s">
        <v>1206</v>
      </c>
      <c r="C1614" s="701" t="s">
        <v>1146</v>
      </c>
      <c r="D1614" s="701"/>
      <c r="E1614" s="226" t="s">
        <v>123</v>
      </c>
      <c r="F1614" s="233">
        <v>20</v>
      </c>
      <c r="G1614" s="226">
        <v>10</v>
      </c>
      <c r="H1614" s="226">
        <v>0.99</v>
      </c>
      <c r="I1614" s="226">
        <v>1</v>
      </c>
      <c r="J1614" s="226">
        <v>6</v>
      </c>
      <c r="K1614" s="226">
        <v>3</v>
      </c>
      <c r="L1614" s="226">
        <v>145.53</v>
      </c>
    </row>
    <row r="1615" spans="1:12" ht="10.5" customHeight="1" x14ac:dyDescent="0.3">
      <c r="A1615" s="156" t="s">
        <v>1183</v>
      </c>
      <c r="B1615" s="227" t="s">
        <v>1207</v>
      </c>
      <c r="C1615" s="701" t="s">
        <v>1148</v>
      </c>
      <c r="D1615" s="701"/>
      <c r="E1615" s="226" t="s">
        <v>123</v>
      </c>
      <c r="F1615" s="233">
        <v>20</v>
      </c>
      <c r="G1615" s="226">
        <v>10</v>
      </c>
      <c r="H1615" s="226">
        <v>0.99</v>
      </c>
      <c r="I1615" s="226">
        <v>1</v>
      </c>
      <c r="J1615" s="226">
        <v>6</v>
      </c>
      <c r="K1615" s="226">
        <v>3</v>
      </c>
      <c r="L1615" s="226">
        <v>145.53</v>
      </c>
    </row>
    <row r="1616" spans="1:12" ht="10.5" customHeight="1" x14ac:dyDescent="0.3">
      <c r="A1616" s="156" t="s">
        <v>1185</v>
      </c>
      <c r="B1616" s="227" t="s">
        <v>1208</v>
      </c>
      <c r="C1616" s="701" t="s">
        <v>1150</v>
      </c>
      <c r="D1616" s="701"/>
      <c r="E1616" s="226" t="s">
        <v>123</v>
      </c>
      <c r="F1616" s="233">
        <v>20</v>
      </c>
      <c r="G1616" s="226">
        <v>10</v>
      </c>
      <c r="H1616" s="226">
        <v>0.99</v>
      </c>
      <c r="I1616" s="226">
        <v>1</v>
      </c>
      <c r="J1616" s="226">
        <v>6</v>
      </c>
      <c r="K1616" s="226">
        <v>3</v>
      </c>
      <c r="L1616" s="226">
        <v>145.53</v>
      </c>
    </row>
    <row r="1617" spans="1:12" ht="10.5" customHeight="1" x14ac:dyDescent="0.3">
      <c r="A1617" s="156" t="s">
        <v>1187</v>
      </c>
      <c r="B1617" s="227" t="s">
        <v>1209</v>
      </c>
      <c r="C1617" s="701" t="s">
        <v>1152</v>
      </c>
      <c r="D1617" s="701"/>
      <c r="E1617" s="226" t="s">
        <v>123</v>
      </c>
      <c r="F1617" s="233">
        <v>20</v>
      </c>
      <c r="G1617" s="226">
        <v>10</v>
      </c>
      <c r="H1617" s="226">
        <v>0.99</v>
      </c>
      <c r="I1617" s="226">
        <v>1</v>
      </c>
      <c r="J1617" s="226">
        <v>6</v>
      </c>
      <c r="K1617" s="226">
        <v>3</v>
      </c>
      <c r="L1617" s="226">
        <v>145.53</v>
      </c>
    </row>
    <row r="1618" spans="1:12" ht="10.5" customHeight="1" x14ac:dyDescent="0.3">
      <c r="A1618" s="156" t="s">
        <v>1189</v>
      </c>
      <c r="B1618" s="227" t="s">
        <v>1210</v>
      </c>
      <c r="C1618" s="701" t="s">
        <v>1154</v>
      </c>
      <c r="D1618" s="701"/>
      <c r="E1618" s="226" t="s">
        <v>123</v>
      </c>
      <c r="F1618" s="233">
        <v>20</v>
      </c>
      <c r="G1618" s="226">
        <v>10</v>
      </c>
      <c r="H1618" s="226">
        <v>0.99</v>
      </c>
      <c r="I1618" s="226">
        <v>1</v>
      </c>
      <c r="J1618" s="226">
        <v>6</v>
      </c>
      <c r="K1618" s="226">
        <v>3</v>
      </c>
      <c r="L1618" s="226">
        <v>145.53</v>
      </c>
    </row>
    <row r="1619" spans="1:12" ht="10.5" customHeight="1" x14ac:dyDescent="0.3">
      <c r="A1619" s="156" t="s">
        <v>1191</v>
      </c>
      <c r="B1619" s="227" t="s">
        <v>1211</v>
      </c>
      <c r="C1619" s="701" t="s">
        <v>1156</v>
      </c>
      <c r="D1619" s="701"/>
      <c r="E1619" s="226" t="s">
        <v>123</v>
      </c>
      <c r="F1619" s="233">
        <v>20</v>
      </c>
      <c r="G1619" s="226">
        <v>10</v>
      </c>
      <c r="H1619" s="226">
        <v>0.99</v>
      </c>
      <c r="I1619" s="226">
        <v>1</v>
      </c>
      <c r="J1619" s="226">
        <v>6</v>
      </c>
      <c r="K1619" s="226">
        <v>3</v>
      </c>
      <c r="L1619" s="226">
        <v>145.53</v>
      </c>
    </row>
    <row r="1620" spans="1:12" ht="10.5" customHeight="1" x14ac:dyDescent="0.3">
      <c r="J1620" s="701" t="s">
        <v>203</v>
      </c>
      <c r="K1620" s="701"/>
      <c r="L1620" s="226">
        <v>13465.881000000019</v>
      </c>
    </row>
    <row r="1621" spans="1:12" ht="10.5" customHeight="1" x14ac:dyDescent="0.3"/>
    <row r="1622" spans="1:12" ht="19.5" customHeight="1" x14ac:dyDescent="0.3">
      <c r="A1622" s="226" t="s">
        <v>11</v>
      </c>
      <c r="B1622" s="226" t="s">
        <v>258</v>
      </c>
      <c r="C1622" s="701" t="s">
        <v>35</v>
      </c>
      <c r="D1622" s="701"/>
      <c r="E1622" s="702" t="s">
        <v>1391</v>
      </c>
      <c r="F1622" s="702"/>
      <c r="G1622" s="702"/>
      <c r="H1622" s="702"/>
      <c r="I1622" s="226" t="s">
        <v>105</v>
      </c>
      <c r="J1622" s="226" t="s">
        <v>129</v>
      </c>
      <c r="K1622" s="226" t="s">
        <v>13</v>
      </c>
      <c r="L1622" s="231">
        <v>27148.241249999992</v>
      </c>
    </row>
    <row r="1623" spans="1:12" ht="10.5" customHeight="1" x14ac:dyDescent="0.3"/>
    <row r="1624" spans="1:12" ht="18" customHeight="1" x14ac:dyDescent="0.3">
      <c r="A1624" s="234" t="s">
        <v>201</v>
      </c>
      <c r="B1624" s="234" t="s">
        <v>35</v>
      </c>
      <c r="C1624" s="703" t="s">
        <v>193</v>
      </c>
      <c r="D1624" s="703"/>
      <c r="E1624" s="234" t="s">
        <v>12</v>
      </c>
      <c r="F1624" s="353" t="s">
        <v>1240</v>
      </c>
      <c r="G1624" s="353" t="s">
        <v>1241</v>
      </c>
      <c r="H1624" s="234" t="s">
        <v>1239</v>
      </c>
      <c r="I1624" s="234" t="s">
        <v>196</v>
      </c>
      <c r="J1624" s="234" t="s">
        <v>195</v>
      </c>
      <c r="K1624" s="234" t="s">
        <v>197</v>
      </c>
      <c r="L1624" s="234" t="s">
        <v>198</v>
      </c>
    </row>
    <row r="1625" spans="1:12" ht="27.75" customHeight="1" x14ac:dyDescent="0.3">
      <c r="A1625" s="156" t="s">
        <v>199</v>
      </c>
      <c r="B1625" s="230" t="s">
        <v>1242</v>
      </c>
      <c r="C1625" s="701" t="s">
        <v>599</v>
      </c>
      <c r="D1625" s="701"/>
      <c r="E1625" s="226" t="s">
        <v>129</v>
      </c>
      <c r="F1625" s="357">
        <v>2822.0624999999986</v>
      </c>
      <c r="G1625" s="357">
        <v>2822.0624999999986</v>
      </c>
      <c r="H1625" s="357">
        <v>5644.1249999999973</v>
      </c>
      <c r="I1625" s="226">
        <v>3</v>
      </c>
      <c r="J1625" s="226">
        <v>0</v>
      </c>
      <c r="K1625" s="226">
        <v>0</v>
      </c>
      <c r="L1625" s="226">
        <v>16932.374999999993</v>
      </c>
    </row>
    <row r="1626" spans="1:12" ht="27.75" customHeight="1" x14ac:dyDescent="0.3">
      <c r="A1626" s="156" t="s">
        <v>199</v>
      </c>
      <c r="B1626" s="230" t="s">
        <v>1244</v>
      </c>
      <c r="C1626" s="701" t="s">
        <v>599</v>
      </c>
      <c r="D1626" s="701"/>
      <c r="E1626" s="226" t="s">
        <v>129</v>
      </c>
      <c r="F1626" s="357"/>
      <c r="G1626" s="357"/>
      <c r="H1626" s="357">
        <v>395.08874999999983</v>
      </c>
      <c r="I1626" s="226">
        <v>3</v>
      </c>
      <c r="J1626" s="226">
        <v>0</v>
      </c>
      <c r="K1626" s="226">
        <v>0</v>
      </c>
      <c r="L1626" s="226">
        <v>1185.2662499999994</v>
      </c>
    </row>
    <row r="1627" spans="1:12" ht="24" customHeight="1" x14ac:dyDescent="0.3">
      <c r="A1627" s="156" t="s">
        <v>199</v>
      </c>
      <c r="B1627" s="230" t="s">
        <v>1243</v>
      </c>
      <c r="C1627" s="701" t="s">
        <v>599</v>
      </c>
      <c r="D1627" s="701"/>
      <c r="E1627" s="226" t="s">
        <v>129</v>
      </c>
      <c r="F1627" s="357">
        <v>9030.5999999999967</v>
      </c>
      <c r="G1627" s="226">
        <v>0</v>
      </c>
      <c r="H1627" s="357">
        <v>9030.5999999999967</v>
      </c>
      <c r="I1627" s="226">
        <v>1</v>
      </c>
      <c r="J1627" s="226">
        <v>0</v>
      </c>
      <c r="K1627" s="226">
        <v>0</v>
      </c>
      <c r="L1627" s="226">
        <v>9030.5999999999967</v>
      </c>
    </row>
    <row r="1628" spans="1:12" ht="10.5" customHeight="1" x14ac:dyDescent="0.3">
      <c r="J1628" s="701" t="s">
        <v>203</v>
      </c>
      <c r="K1628" s="701"/>
      <c r="L1628" s="226">
        <v>27148.241249999992</v>
      </c>
    </row>
    <row r="1629" spans="1:12" ht="10.5" customHeight="1" x14ac:dyDescent="0.3"/>
    <row r="1630" spans="1:12" ht="19.5" customHeight="1" x14ac:dyDescent="0.3">
      <c r="A1630" s="226" t="s">
        <v>11</v>
      </c>
      <c r="B1630" s="226" t="s">
        <v>1233</v>
      </c>
      <c r="C1630" s="701" t="s">
        <v>35</v>
      </c>
      <c r="D1630" s="701"/>
      <c r="E1630" s="702" t="s">
        <v>1395</v>
      </c>
      <c r="F1630" s="702"/>
      <c r="G1630" s="702"/>
      <c r="H1630" s="702"/>
      <c r="I1630" s="226" t="s">
        <v>105</v>
      </c>
      <c r="J1630" s="226" t="s">
        <v>129</v>
      </c>
      <c r="K1630" s="226" t="s">
        <v>13</v>
      </c>
      <c r="L1630" s="231">
        <v>27148.241249999992</v>
      </c>
    </row>
    <row r="1631" spans="1:12" ht="10.5" customHeight="1" x14ac:dyDescent="0.3"/>
    <row r="1632" spans="1:12" ht="18" customHeight="1" x14ac:dyDescent="0.3">
      <c r="A1632" s="234" t="s">
        <v>201</v>
      </c>
      <c r="B1632" s="234" t="s">
        <v>35</v>
      </c>
      <c r="C1632" s="703" t="s">
        <v>193</v>
      </c>
      <c r="D1632" s="703"/>
      <c r="E1632" s="234" t="s">
        <v>12</v>
      </c>
      <c r="F1632" s="353" t="s">
        <v>1240</v>
      </c>
      <c r="G1632" s="353" t="s">
        <v>1241</v>
      </c>
      <c r="H1632" s="234" t="s">
        <v>1239</v>
      </c>
      <c r="I1632" s="234" t="s">
        <v>196</v>
      </c>
      <c r="J1632" s="234" t="s">
        <v>195</v>
      </c>
      <c r="K1632" s="234" t="s">
        <v>197</v>
      </c>
      <c r="L1632" s="234" t="s">
        <v>198</v>
      </c>
    </row>
    <row r="1633" spans="1:12" ht="27.75" customHeight="1" x14ac:dyDescent="0.3">
      <c r="A1633" s="156" t="s">
        <v>199</v>
      </c>
      <c r="B1633" s="230" t="s">
        <v>1242</v>
      </c>
      <c r="C1633" s="701" t="s">
        <v>599</v>
      </c>
      <c r="D1633" s="701"/>
      <c r="E1633" s="226" t="s">
        <v>129</v>
      </c>
      <c r="F1633" s="357">
        <v>2822.0624999999986</v>
      </c>
      <c r="G1633" s="357">
        <v>2822.0624999999986</v>
      </c>
      <c r="H1633" s="357">
        <v>5644.1249999999973</v>
      </c>
      <c r="I1633" s="226">
        <v>3</v>
      </c>
      <c r="J1633" s="226">
        <v>0</v>
      </c>
      <c r="K1633" s="226">
        <v>0</v>
      </c>
      <c r="L1633" s="226">
        <v>16932.374999999993</v>
      </c>
    </row>
    <row r="1634" spans="1:12" ht="27.75" customHeight="1" x14ac:dyDescent="0.3">
      <c r="A1634" s="156" t="s">
        <v>199</v>
      </c>
      <c r="B1634" s="230" t="s">
        <v>1244</v>
      </c>
      <c r="C1634" s="701" t="s">
        <v>599</v>
      </c>
      <c r="D1634" s="701"/>
      <c r="E1634" s="226" t="s">
        <v>129</v>
      </c>
      <c r="F1634" s="357"/>
      <c r="G1634" s="357"/>
      <c r="H1634" s="357">
        <v>395.08874999999983</v>
      </c>
      <c r="I1634" s="226">
        <v>3</v>
      </c>
      <c r="J1634" s="226">
        <v>0</v>
      </c>
      <c r="K1634" s="226">
        <v>0</v>
      </c>
      <c r="L1634" s="226">
        <v>1185.2662499999994</v>
      </c>
    </row>
    <row r="1635" spans="1:12" ht="24" customHeight="1" x14ac:dyDescent="0.3">
      <c r="A1635" s="156" t="s">
        <v>199</v>
      </c>
      <c r="B1635" s="230" t="s">
        <v>1243</v>
      </c>
      <c r="C1635" s="701" t="s">
        <v>599</v>
      </c>
      <c r="D1635" s="701"/>
      <c r="E1635" s="226" t="s">
        <v>129</v>
      </c>
      <c r="F1635" s="357">
        <v>9030.5999999999967</v>
      </c>
      <c r="G1635" s="226">
        <v>0</v>
      </c>
      <c r="H1635" s="357">
        <v>9030.5999999999967</v>
      </c>
      <c r="I1635" s="226">
        <v>1</v>
      </c>
      <c r="J1635" s="226">
        <v>0</v>
      </c>
      <c r="K1635" s="226">
        <v>0</v>
      </c>
      <c r="L1635" s="226">
        <v>9030.5999999999967</v>
      </c>
    </row>
    <row r="1636" spans="1:12" ht="10.5" customHeight="1" x14ac:dyDescent="0.3">
      <c r="J1636" s="701" t="s">
        <v>203</v>
      </c>
      <c r="K1636" s="701"/>
      <c r="L1636" s="226">
        <v>27148.241249999992</v>
      </c>
    </row>
    <row r="1637" spans="1:12" ht="10.5" customHeight="1" x14ac:dyDescent="0.3"/>
    <row r="1638" spans="1:12" ht="25.5" customHeight="1" x14ac:dyDescent="0.3">
      <c r="A1638" s="226" t="s">
        <v>11</v>
      </c>
      <c r="B1638" s="226" t="s">
        <v>1234</v>
      </c>
      <c r="C1638" s="701" t="s">
        <v>35</v>
      </c>
      <c r="D1638" s="701"/>
      <c r="E1638" s="702" t="s">
        <v>1396</v>
      </c>
      <c r="F1638" s="702"/>
      <c r="G1638" s="702"/>
      <c r="H1638" s="702"/>
      <c r="I1638" s="226" t="s">
        <v>105</v>
      </c>
      <c r="J1638" s="226" t="s">
        <v>12</v>
      </c>
      <c r="K1638" s="226" t="s">
        <v>13</v>
      </c>
      <c r="L1638" s="231">
        <v>5644.1249999999973</v>
      </c>
    </row>
    <row r="1639" spans="1:12" ht="10.5" customHeight="1" x14ac:dyDescent="0.3"/>
    <row r="1640" spans="1:12" ht="18" customHeight="1" x14ac:dyDescent="0.3">
      <c r="A1640" s="234" t="s">
        <v>201</v>
      </c>
      <c r="B1640" s="234" t="s">
        <v>35</v>
      </c>
      <c r="C1640" s="703" t="s">
        <v>193</v>
      </c>
      <c r="D1640" s="703"/>
      <c r="E1640" s="234" t="s">
        <v>12</v>
      </c>
      <c r="F1640" s="353" t="s">
        <v>1240</v>
      </c>
      <c r="G1640" s="353" t="s">
        <v>1241</v>
      </c>
      <c r="H1640" s="234" t="s">
        <v>1239</v>
      </c>
      <c r="I1640" s="234" t="s">
        <v>196</v>
      </c>
      <c r="J1640" s="234" t="s">
        <v>195</v>
      </c>
      <c r="K1640" s="234" t="s">
        <v>197</v>
      </c>
      <c r="L1640" s="234" t="s">
        <v>198</v>
      </c>
    </row>
    <row r="1641" spans="1:12" ht="27.75" customHeight="1" x14ac:dyDescent="0.3">
      <c r="A1641" s="156" t="s">
        <v>199</v>
      </c>
      <c r="B1641" s="230" t="s">
        <v>1242</v>
      </c>
      <c r="C1641" s="701" t="s">
        <v>599</v>
      </c>
      <c r="D1641" s="701"/>
      <c r="E1641" s="226" t="s">
        <v>12</v>
      </c>
      <c r="F1641" s="357">
        <v>2822.0624999999986</v>
      </c>
      <c r="G1641" s="357">
        <v>2822.0624999999986</v>
      </c>
      <c r="H1641" s="357">
        <v>5644.1249999999973</v>
      </c>
      <c r="I1641" s="226">
        <v>0</v>
      </c>
      <c r="J1641" s="226">
        <v>0</v>
      </c>
      <c r="K1641" s="226">
        <v>0</v>
      </c>
      <c r="L1641" s="357">
        <v>5644.1249999999973</v>
      </c>
    </row>
    <row r="1642" spans="1:12" ht="10.5" customHeight="1" x14ac:dyDescent="0.3">
      <c r="J1642" s="701" t="s">
        <v>203</v>
      </c>
      <c r="K1642" s="701"/>
      <c r="L1642" s="226">
        <v>5644.1249999999973</v>
      </c>
    </row>
    <row r="1643" spans="1:12" ht="10.5" customHeight="1" x14ac:dyDescent="0.3"/>
    <row r="1644" spans="1:12" ht="10.5" customHeight="1" x14ac:dyDescent="0.3">
      <c r="A1644" s="226" t="s">
        <v>11</v>
      </c>
      <c r="B1644" s="226" t="s">
        <v>266</v>
      </c>
      <c r="C1644" s="701" t="s">
        <v>35</v>
      </c>
      <c r="D1644" s="701"/>
      <c r="E1644" s="702" t="s">
        <v>263</v>
      </c>
      <c r="F1644" s="702"/>
      <c r="G1644" s="702"/>
      <c r="H1644" s="702"/>
      <c r="I1644" s="226" t="s">
        <v>105</v>
      </c>
      <c r="J1644" s="226" t="s">
        <v>129</v>
      </c>
      <c r="K1644" s="226" t="s">
        <v>13</v>
      </c>
      <c r="L1644" s="231">
        <v>15131</v>
      </c>
    </row>
    <row r="1645" spans="1:12" ht="10.5" customHeight="1" x14ac:dyDescent="0.3"/>
    <row r="1646" spans="1:12" ht="10.5" customHeight="1" x14ac:dyDescent="0.3">
      <c r="A1646" s="234" t="s">
        <v>201</v>
      </c>
      <c r="B1646" s="234" t="s">
        <v>200</v>
      </c>
      <c r="C1646" s="235" t="s">
        <v>200</v>
      </c>
      <c r="D1646" s="235" t="s">
        <v>193</v>
      </c>
      <c r="E1646" s="235"/>
      <c r="F1646" s="235"/>
      <c r="G1646" s="234" t="s">
        <v>12</v>
      </c>
      <c r="H1646" s="234" t="s">
        <v>194</v>
      </c>
      <c r="I1646" s="234" t="s">
        <v>196</v>
      </c>
      <c r="J1646" s="234" t="s">
        <v>195</v>
      </c>
      <c r="K1646" s="234" t="s">
        <v>197</v>
      </c>
      <c r="L1646" s="234" t="s">
        <v>198</v>
      </c>
    </row>
    <row r="1647" spans="1:12" ht="10.5" customHeight="1" x14ac:dyDescent="0.3">
      <c r="A1647" s="156" t="s">
        <v>186</v>
      </c>
      <c r="B1647" s="227" t="s">
        <v>672</v>
      </c>
      <c r="C1647" s="226" t="s">
        <v>662</v>
      </c>
      <c r="D1647" s="701" t="s">
        <v>685</v>
      </c>
      <c r="E1647" s="701"/>
      <c r="F1647" s="701"/>
      <c r="G1647" s="226" t="s">
        <v>129</v>
      </c>
      <c r="H1647" s="226">
        <v>2</v>
      </c>
      <c r="I1647" s="226">
        <v>87.95</v>
      </c>
      <c r="L1647" s="226">
        <v>175.9</v>
      </c>
    </row>
    <row r="1648" spans="1:12" ht="10.5" customHeight="1" x14ac:dyDescent="0.3">
      <c r="A1648" s="156" t="s">
        <v>188</v>
      </c>
      <c r="B1648" s="227" t="s">
        <v>1109</v>
      </c>
      <c r="C1648" s="226" t="s">
        <v>662</v>
      </c>
      <c r="D1648" s="701" t="s">
        <v>685</v>
      </c>
      <c r="E1648" s="701"/>
      <c r="F1648" s="701"/>
      <c r="G1648" s="226" t="s">
        <v>129</v>
      </c>
      <c r="H1648" s="226">
        <v>2</v>
      </c>
      <c r="I1648" s="226">
        <v>93.72</v>
      </c>
      <c r="L1648" s="226">
        <v>187.44</v>
      </c>
    </row>
    <row r="1649" spans="1:15" ht="10.5" customHeight="1" x14ac:dyDescent="0.3">
      <c r="A1649" s="156" t="s">
        <v>484</v>
      </c>
      <c r="B1649" s="227" t="s">
        <v>675</v>
      </c>
      <c r="C1649" s="226" t="s">
        <v>662</v>
      </c>
      <c r="D1649" s="701" t="s">
        <v>685</v>
      </c>
      <c r="E1649" s="701"/>
      <c r="F1649" s="701"/>
      <c r="G1649" s="226" t="s">
        <v>129</v>
      </c>
      <c r="H1649" s="226">
        <v>2</v>
      </c>
      <c r="I1649" s="226">
        <v>79.709999999999994</v>
      </c>
      <c r="L1649" s="226">
        <v>159.41999999999999</v>
      </c>
    </row>
    <row r="1650" spans="1:15" ht="10.5" customHeight="1" x14ac:dyDescent="0.3">
      <c r="A1650" s="156" t="s">
        <v>485</v>
      </c>
      <c r="B1650" s="227" t="s">
        <v>676</v>
      </c>
      <c r="C1650" s="226" t="s">
        <v>662</v>
      </c>
      <c r="D1650" s="701" t="s">
        <v>685</v>
      </c>
      <c r="E1650" s="701"/>
      <c r="F1650" s="701"/>
      <c r="G1650" s="226" t="s">
        <v>129</v>
      </c>
      <c r="H1650" s="226">
        <v>2</v>
      </c>
      <c r="I1650" s="226">
        <v>93.02</v>
      </c>
      <c r="L1650" s="226">
        <v>186.04</v>
      </c>
    </row>
    <row r="1651" spans="1:15" ht="10.5" customHeight="1" x14ac:dyDescent="0.3">
      <c r="A1651" s="156" t="s">
        <v>486</v>
      </c>
      <c r="B1651" s="227" t="s">
        <v>698</v>
      </c>
      <c r="C1651" s="226" t="s">
        <v>662</v>
      </c>
      <c r="D1651" s="701" t="s">
        <v>685</v>
      </c>
      <c r="E1651" s="701"/>
      <c r="F1651" s="701"/>
      <c r="G1651" s="226" t="s">
        <v>129</v>
      </c>
      <c r="H1651" s="226">
        <v>2</v>
      </c>
      <c r="I1651" s="226">
        <v>48.73</v>
      </c>
      <c r="L1651" s="226">
        <v>97.46</v>
      </c>
    </row>
    <row r="1652" spans="1:15" ht="10.5" customHeight="1" x14ac:dyDescent="0.3">
      <c r="A1652" s="156" t="s">
        <v>398</v>
      </c>
      <c r="B1652" s="227" t="s">
        <v>678</v>
      </c>
      <c r="C1652" s="226" t="s">
        <v>662</v>
      </c>
      <c r="D1652" s="701" t="s">
        <v>685</v>
      </c>
      <c r="E1652" s="701"/>
      <c r="F1652" s="701"/>
      <c r="G1652" s="226" t="s">
        <v>129</v>
      </c>
      <c r="H1652" s="226">
        <v>2</v>
      </c>
      <c r="I1652" s="226">
        <v>44.93</v>
      </c>
      <c r="L1652" s="226">
        <v>89.86</v>
      </c>
    </row>
    <row r="1653" spans="1:15" ht="10.5" customHeight="1" x14ac:dyDescent="0.3">
      <c r="A1653" s="156" t="s">
        <v>529</v>
      </c>
      <c r="B1653" s="227" t="s">
        <v>679</v>
      </c>
      <c r="C1653" s="226" t="s">
        <v>662</v>
      </c>
      <c r="D1653" s="701" t="s">
        <v>685</v>
      </c>
      <c r="E1653" s="701"/>
      <c r="F1653" s="701"/>
      <c r="G1653" s="226" t="s">
        <v>129</v>
      </c>
      <c r="H1653" s="226">
        <v>2</v>
      </c>
      <c r="I1653" s="226">
        <v>42.8</v>
      </c>
      <c r="L1653" s="226">
        <v>85.6</v>
      </c>
    </row>
    <row r="1654" spans="1:15" ht="12" customHeight="1" x14ac:dyDescent="0.3">
      <c r="A1654" s="156" t="s">
        <v>532</v>
      </c>
      <c r="B1654" s="227" t="s">
        <v>885</v>
      </c>
      <c r="C1654" s="226" t="s">
        <v>662</v>
      </c>
      <c r="D1654" s="701" t="s">
        <v>685</v>
      </c>
      <c r="E1654" s="701"/>
      <c r="F1654" s="701"/>
      <c r="G1654" s="226" t="s">
        <v>129</v>
      </c>
      <c r="H1654" s="226">
        <v>2</v>
      </c>
      <c r="I1654" s="226">
        <v>45</v>
      </c>
      <c r="L1654" s="226">
        <v>90</v>
      </c>
      <c r="M1654" s="227"/>
      <c r="N1654" s="227"/>
      <c r="O1654" s="227"/>
    </row>
    <row r="1655" spans="1:15" ht="10.5" customHeight="1" x14ac:dyDescent="0.3">
      <c r="A1655" s="156" t="s">
        <v>534</v>
      </c>
      <c r="B1655" s="227" t="s">
        <v>682</v>
      </c>
      <c r="C1655" s="226" t="s">
        <v>662</v>
      </c>
      <c r="D1655" s="701" t="s">
        <v>685</v>
      </c>
      <c r="E1655" s="701"/>
      <c r="F1655" s="701"/>
      <c r="G1655" s="226" t="s">
        <v>129</v>
      </c>
      <c r="H1655" s="226">
        <v>2</v>
      </c>
      <c r="I1655" s="226">
        <v>40.57</v>
      </c>
      <c r="L1655" s="226">
        <v>81.14</v>
      </c>
    </row>
    <row r="1656" spans="1:15" ht="10.5" customHeight="1" x14ac:dyDescent="0.3">
      <c r="A1656" s="156" t="s">
        <v>537</v>
      </c>
      <c r="B1656" s="227" t="s">
        <v>1110</v>
      </c>
      <c r="C1656" s="226" t="s">
        <v>662</v>
      </c>
      <c r="D1656" s="701" t="s">
        <v>685</v>
      </c>
      <c r="E1656" s="701"/>
      <c r="F1656" s="701"/>
      <c r="G1656" s="226" t="s">
        <v>129</v>
      </c>
      <c r="H1656" s="226">
        <v>2</v>
      </c>
      <c r="I1656" s="226">
        <v>102.75</v>
      </c>
      <c r="L1656" s="226">
        <v>205.5</v>
      </c>
    </row>
    <row r="1657" spans="1:15" ht="10.5" customHeight="1" x14ac:dyDescent="0.3">
      <c r="A1657" s="156" t="s">
        <v>540</v>
      </c>
      <c r="B1657" s="227" t="s">
        <v>708</v>
      </c>
      <c r="C1657" s="226" t="s">
        <v>666</v>
      </c>
      <c r="D1657" s="701" t="s">
        <v>729</v>
      </c>
      <c r="E1657" s="701"/>
      <c r="F1657" s="701"/>
      <c r="G1657" s="226" t="s">
        <v>129</v>
      </c>
      <c r="H1657" s="226">
        <v>2</v>
      </c>
      <c r="I1657" s="226">
        <v>180.84</v>
      </c>
      <c r="L1657" s="226">
        <v>361.68</v>
      </c>
    </row>
    <row r="1658" spans="1:15" ht="10.5" customHeight="1" x14ac:dyDescent="0.3">
      <c r="A1658" s="156" t="s">
        <v>543</v>
      </c>
      <c r="B1658" s="227" t="s">
        <v>707</v>
      </c>
      <c r="C1658" s="226" t="s">
        <v>666</v>
      </c>
      <c r="D1658" s="701" t="s">
        <v>729</v>
      </c>
      <c r="E1658" s="701"/>
      <c r="F1658" s="701"/>
      <c r="G1658" s="226" t="s">
        <v>129</v>
      </c>
      <c r="H1658" s="226">
        <v>2</v>
      </c>
      <c r="I1658" s="226">
        <v>129.94</v>
      </c>
      <c r="L1658" s="226">
        <v>259.88</v>
      </c>
    </row>
    <row r="1659" spans="1:15" ht="10.5" customHeight="1" x14ac:dyDescent="0.3">
      <c r="A1659" s="156" t="s">
        <v>546</v>
      </c>
      <c r="B1659" s="227" t="s">
        <v>712</v>
      </c>
      <c r="C1659" s="226" t="s">
        <v>666</v>
      </c>
      <c r="D1659" s="701" t="s">
        <v>729</v>
      </c>
      <c r="E1659" s="701"/>
      <c r="F1659" s="701"/>
      <c r="G1659" s="226" t="s">
        <v>129</v>
      </c>
      <c r="H1659" s="226">
        <v>2</v>
      </c>
      <c r="I1659" s="226">
        <v>143.56</v>
      </c>
      <c r="L1659" s="226">
        <v>287.12</v>
      </c>
    </row>
    <row r="1660" spans="1:15" ht="10.5" customHeight="1" x14ac:dyDescent="0.3">
      <c r="A1660" s="156" t="s">
        <v>548</v>
      </c>
      <c r="B1660" s="227" t="s">
        <v>713</v>
      </c>
      <c r="C1660" s="226" t="s">
        <v>666</v>
      </c>
      <c r="D1660" s="701" t="s">
        <v>729</v>
      </c>
      <c r="E1660" s="701"/>
      <c r="F1660" s="701"/>
      <c r="G1660" s="226" t="s">
        <v>129</v>
      </c>
      <c r="H1660" s="226">
        <v>2</v>
      </c>
      <c r="I1660" s="226">
        <v>86.13</v>
      </c>
      <c r="L1660" s="226">
        <v>172.26</v>
      </c>
    </row>
    <row r="1661" spans="1:15" ht="10.5" customHeight="1" x14ac:dyDescent="0.3">
      <c r="A1661" s="156" t="s">
        <v>551</v>
      </c>
      <c r="B1661" s="227" t="s">
        <v>714</v>
      </c>
      <c r="C1661" s="226" t="s">
        <v>666</v>
      </c>
      <c r="D1661" s="701" t="s">
        <v>729</v>
      </c>
      <c r="E1661" s="701"/>
      <c r="F1661" s="701"/>
      <c r="G1661" s="226" t="s">
        <v>129</v>
      </c>
      <c r="H1661" s="226">
        <v>2</v>
      </c>
      <c r="I1661" s="226">
        <v>155.94999999999999</v>
      </c>
      <c r="L1661" s="226">
        <v>155.94999999999999</v>
      </c>
    </row>
    <row r="1662" spans="1:15" ht="10.5" customHeight="1" x14ac:dyDescent="0.3">
      <c r="A1662" s="156" t="s">
        <v>554</v>
      </c>
      <c r="B1662" s="227" t="s">
        <v>722</v>
      </c>
      <c r="C1662" s="226" t="s">
        <v>666</v>
      </c>
      <c r="D1662" s="701" t="s">
        <v>729</v>
      </c>
      <c r="E1662" s="701"/>
      <c r="F1662" s="701"/>
      <c r="G1662" s="226" t="s">
        <v>129</v>
      </c>
      <c r="H1662" s="226">
        <v>2</v>
      </c>
      <c r="I1662" s="226">
        <v>44.239999999999995</v>
      </c>
      <c r="L1662" s="226">
        <v>44.239999999999995</v>
      </c>
    </row>
    <row r="1663" spans="1:15" ht="10.5" customHeight="1" x14ac:dyDescent="0.3">
      <c r="A1663" s="156" t="s">
        <v>557</v>
      </c>
      <c r="B1663" s="227" t="s">
        <v>724</v>
      </c>
      <c r="C1663" s="226" t="s">
        <v>666</v>
      </c>
      <c r="D1663" s="701" t="s">
        <v>729</v>
      </c>
      <c r="E1663" s="701"/>
      <c r="F1663" s="701"/>
      <c r="G1663" s="226" t="s">
        <v>129</v>
      </c>
      <c r="H1663" s="226">
        <v>2</v>
      </c>
      <c r="I1663" s="226">
        <v>100.75</v>
      </c>
      <c r="L1663" s="226">
        <v>100.75</v>
      </c>
    </row>
    <row r="1664" spans="1:15" ht="10.5" customHeight="1" x14ac:dyDescent="0.3">
      <c r="A1664" s="156" t="s">
        <v>559</v>
      </c>
      <c r="B1664" s="227" t="s">
        <v>725</v>
      </c>
      <c r="C1664" s="226" t="s">
        <v>666</v>
      </c>
      <c r="D1664" s="701" t="s">
        <v>729</v>
      </c>
      <c r="E1664" s="701"/>
      <c r="F1664" s="701"/>
      <c r="G1664" s="226" t="s">
        <v>129</v>
      </c>
      <c r="H1664" s="226">
        <v>2</v>
      </c>
      <c r="I1664" s="226">
        <v>72.400000000000006</v>
      </c>
      <c r="L1664" s="226">
        <v>72.400000000000006</v>
      </c>
    </row>
    <row r="1665" spans="1:15" ht="10.5" customHeight="1" x14ac:dyDescent="0.3">
      <c r="A1665" s="156" t="s">
        <v>561</v>
      </c>
      <c r="B1665" s="227" t="s">
        <v>726</v>
      </c>
      <c r="C1665" s="226" t="s">
        <v>666</v>
      </c>
      <c r="D1665" s="701" t="s">
        <v>729</v>
      </c>
      <c r="E1665" s="701"/>
      <c r="F1665" s="701"/>
      <c r="G1665" s="226" t="s">
        <v>129</v>
      </c>
      <c r="H1665" s="226">
        <v>2</v>
      </c>
      <c r="I1665" s="226">
        <v>56.95</v>
      </c>
      <c r="L1665" s="226">
        <v>56.95</v>
      </c>
    </row>
    <row r="1666" spans="1:15" ht="10.5" customHeight="1" x14ac:dyDescent="0.3">
      <c r="A1666" s="156" t="s">
        <v>563</v>
      </c>
      <c r="B1666" s="227" t="s">
        <v>727</v>
      </c>
      <c r="C1666" s="226" t="s">
        <v>666</v>
      </c>
      <c r="D1666" s="701" t="s">
        <v>729</v>
      </c>
      <c r="E1666" s="701"/>
      <c r="F1666" s="701"/>
      <c r="G1666" s="226" t="s">
        <v>129</v>
      </c>
      <c r="H1666" s="226">
        <v>2</v>
      </c>
      <c r="I1666" s="226">
        <v>57.339999999999996</v>
      </c>
      <c r="L1666" s="226">
        <v>57.339999999999996</v>
      </c>
    </row>
    <row r="1667" spans="1:15" ht="10.5" customHeight="1" x14ac:dyDescent="0.3">
      <c r="A1667" s="156" t="s">
        <v>566</v>
      </c>
      <c r="B1667" s="227" t="s">
        <v>835</v>
      </c>
      <c r="C1667" s="226" t="s">
        <v>683</v>
      </c>
      <c r="D1667" s="701" t="s">
        <v>855</v>
      </c>
      <c r="E1667" s="701"/>
      <c r="F1667" s="701"/>
      <c r="G1667" s="226" t="s">
        <v>129</v>
      </c>
      <c r="H1667" s="226">
        <v>2</v>
      </c>
      <c r="I1667" s="226">
        <v>71.13</v>
      </c>
      <c r="L1667" s="226">
        <v>71.13</v>
      </c>
    </row>
    <row r="1668" spans="1:15" ht="10.5" customHeight="1" x14ac:dyDescent="0.3">
      <c r="A1668" s="156" t="s">
        <v>568</v>
      </c>
      <c r="B1668" s="227" t="s">
        <v>836</v>
      </c>
      <c r="C1668" s="226" t="s">
        <v>683</v>
      </c>
      <c r="D1668" s="701" t="s">
        <v>855</v>
      </c>
      <c r="E1668" s="701"/>
      <c r="F1668" s="701"/>
      <c r="G1668" s="226" t="s">
        <v>129</v>
      </c>
      <c r="H1668" s="226">
        <v>2</v>
      </c>
      <c r="I1668" s="226">
        <v>74.91</v>
      </c>
      <c r="L1668" s="226">
        <v>74.91</v>
      </c>
    </row>
    <row r="1669" spans="1:15" ht="10.5" customHeight="1" x14ac:dyDescent="0.3">
      <c r="A1669" s="156" t="s">
        <v>571</v>
      </c>
      <c r="B1669" s="227" t="s">
        <v>839</v>
      </c>
      <c r="C1669" s="226" t="s">
        <v>683</v>
      </c>
      <c r="D1669" s="701" t="s">
        <v>855</v>
      </c>
      <c r="E1669" s="701"/>
      <c r="F1669" s="701"/>
      <c r="G1669" s="226" t="s">
        <v>129</v>
      </c>
      <c r="H1669" s="226">
        <v>2</v>
      </c>
      <c r="I1669" s="226">
        <v>69.63</v>
      </c>
      <c r="L1669" s="226">
        <v>139.26</v>
      </c>
    </row>
    <row r="1670" spans="1:15" ht="10.5" customHeight="1" x14ac:dyDescent="0.3">
      <c r="A1670" s="156" t="s">
        <v>574</v>
      </c>
      <c r="B1670" s="227" t="s">
        <v>841</v>
      </c>
      <c r="C1670" s="226" t="s">
        <v>683</v>
      </c>
      <c r="D1670" s="701" t="s">
        <v>855</v>
      </c>
      <c r="E1670" s="701"/>
      <c r="F1670" s="701"/>
      <c r="G1670" s="226" t="s">
        <v>129</v>
      </c>
      <c r="H1670" s="226">
        <v>2</v>
      </c>
      <c r="I1670" s="226">
        <v>63.64</v>
      </c>
      <c r="L1670" s="226">
        <v>127.28</v>
      </c>
    </row>
    <row r="1671" spans="1:15" ht="10.5" customHeight="1" x14ac:dyDescent="0.3">
      <c r="A1671" s="156" t="s">
        <v>577</v>
      </c>
      <c r="B1671" s="227" t="s">
        <v>843</v>
      </c>
      <c r="C1671" s="226" t="s">
        <v>683</v>
      </c>
      <c r="D1671" s="701" t="s">
        <v>855</v>
      </c>
      <c r="E1671" s="701"/>
      <c r="F1671" s="701"/>
      <c r="G1671" s="226" t="s">
        <v>129</v>
      </c>
      <c r="H1671" s="226">
        <v>2</v>
      </c>
      <c r="I1671" s="226">
        <v>54.67</v>
      </c>
      <c r="L1671" s="226">
        <v>109.34</v>
      </c>
    </row>
    <row r="1672" spans="1:15" ht="10.5" customHeight="1" x14ac:dyDescent="0.3">
      <c r="A1672" s="156" t="s">
        <v>580</v>
      </c>
      <c r="B1672" s="227" t="s">
        <v>845</v>
      </c>
      <c r="C1672" s="226" t="s">
        <v>683</v>
      </c>
      <c r="D1672" s="701" t="s">
        <v>855</v>
      </c>
      <c r="E1672" s="701"/>
      <c r="F1672" s="701"/>
      <c r="G1672" s="226" t="s">
        <v>129</v>
      </c>
      <c r="H1672" s="226">
        <v>2</v>
      </c>
      <c r="I1672" s="226">
        <v>67</v>
      </c>
      <c r="L1672" s="226">
        <v>134</v>
      </c>
    </row>
    <row r="1673" spans="1:15" ht="10.5" customHeight="1" x14ac:dyDescent="0.3">
      <c r="A1673" s="156" t="s">
        <v>582</v>
      </c>
      <c r="B1673" s="227" t="s">
        <v>844</v>
      </c>
      <c r="C1673" s="226" t="s">
        <v>683</v>
      </c>
      <c r="D1673" s="701" t="s">
        <v>855</v>
      </c>
      <c r="E1673" s="701"/>
      <c r="F1673" s="701"/>
      <c r="G1673" s="226" t="s">
        <v>129</v>
      </c>
      <c r="H1673" s="226">
        <v>2</v>
      </c>
      <c r="I1673" s="226">
        <v>49.3</v>
      </c>
      <c r="L1673" s="226">
        <v>98.6</v>
      </c>
    </row>
    <row r="1674" spans="1:15" ht="10.5" customHeight="1" x14ac:dyDescent="0.3">
      <c r="A1674" s="156" t="s">
        <v>584</v>
      </c>
      <c r="B1674" s="227" t="s">
        <v>846</v>
      </c>
      <c r="C1674" s="226" t="s">
        <v>683</v>
      </c>
      <c r="D1674" s="701" t="s">
        <v>855</v>
      </c>
      <c r="E1674" s="701"/>
      <c r="F1674" s="701"/>
      <c r="G1674" s="226" t="s">
        <v>129</v>
      </c>
      <c r="H1674" s="226">
        <v>2</v>
      </c>
      <c r="I1674" s="226">
        <v>150</v>
      </c>
      <c r="L1674" s="226">
        <v>300</v>
      </c>
    </row>
    <row r="1675" spans="1:15" ht="12" customHeight="1" x14ac:dyDescent="0.3">
      <c r="A1675" s="156" t="s">
        <v>587</v>
      </c>
      <c r="B1675" s="227" t="s">
        <v>847</v>
      </c>
      <c r="C1675" s="226" t="s">
        <v>683</v>
      </c>
      <c r="D1675" s="701" t="s">
        <v>855</v>
      </c>
      <c r="E1675" s="701"/>
      <c r="F1675" s="701"/>
      <c r="G1675" s="226" t="s">
        <v>129</v>
      </c>
      <c r="H1675" s="226">
        <v>2</v>
      </c>
      <c r="I1675" s="226">
        <v>150</v>
      </c>
      <c r="L1675" s="226">
        <v>300</v>
      </c>
      <c r="M1675" s="227"/>
      <c r="N1675" s="227"/>
      <c r="O1675" s="227"/>
    </row>
    <row r="1676" spans="1:15" ht="10.5" customHeight="1" x14ac:dyDescent="0.3">
      <c r="A1676" s="156" t="s">
        <v>590</v>
      </c>
      <c r="B1676" s="227" t="s">
        <v>849</v>
      </c>
      <c r="C1676" s="226" t="s">
        <v>683</v>
      </c>
      <c r="D1676" s="701" t="s">
        <v>855</v>
      </c>
      <c r="E1676" s="701"/>
      <c r="F1676" s="701"/>
      <c r="G1676" s="226" t="s">
        <v>129</v>
      </c>
      <c r="H1676" s="226">
        <v>2</v>
      </c>
      <c r="I1676" s="226">
        <v>54</v>
      </c>
      <c r="L1676" s="226">
        <v>108</v>
      </c>
    </row>
    <row r="1677" spans="1:15" ht="10.5" customHeight="1" x14ac:dyDescent="0.3">
      <c r="A1677" s="156" t="s">
        <v>592</v>
      </c>
      <c r="B1677" s="227" t="s">
        <v>850</v>
      </c>
      <c r="C1677" s="226" t="s">
        <v>683</v>
      </c>
      <c r="D1677" s="701" t="s">
        <v>855</v>
      </c>
      <c r="E1677" s="701"/>
      <c r="F1677" s="701"/>
      <c r="G1677" s="226" t="s">
        <v>129</v>
      </c>
      <c r="H1677" s="226">
        <v>2</v>
      </c>
      <c r="I1677" s="226">
        <v>56.37</v>
      </c>
      <c r="L1677" s="226">
        <v>112.74</v>
      </c>
    </row>
    <row r="1678" spans="1:15" ht="10.5" customHeight="1" x14ac:dyDescent="0.3">
      <c r="A1678" s="156" t="s">
        <v>594</v>
      </c>
      <c r="B1678" s="227" t="s">
        <v>851</v>
      </c>
      <c r="C1678" s="226" t="s">
        <v>683</v>
      </c>
      <c r="D1678" s="701" t="s">
        <v>855</v>
      </c>
      <c r="E1678" s="701"/>
      <c r="F1678" s="701"/>
      <c r="G1678" s="226" t="s">
        <v>129</v>
      </c>
      <c r="H1678" s="226">
        <v>2</v>
      </c>
      <c r="I1678" s="226">
        <v>23.93</v>
      </c>
      <c r="L1678" s="226">
        <v>47.86</v>
      </c>
    </row>
    <row r="1679" spans="1:15" ht="10.5" customHeight="1" x14ac:dyDescent="0.3">
      <c r="A1679" s="156" t="s">
        <v>596</v>
      </c>
      <c r="B1679" s="227" t="s">
        <v>852</v>
      </c>
      <c r="C1679" s="226" t="s">
        <v>683</v>
      </c>
      <c r="D1679" s="701" t="s">
        <v>855</v>
      </c>
      <c r="E1679" s="701"/>
      <c r="F1679" s="701"/>
      <c r="G1679" s="226" t="s">
        <v>129</v>
      </c>
      <c r="H1679" s="226">
        <v>2</v>
      </c>
      <c r="I1679" s="226">
        <v>82.740000000000009</v>
      </c>
      <c r="L1679" s="226">
        <v>165.48000000000002</v>
      </c>
    </row>
    <row r="1680" spans="1:15" ht="10.5" customHeight="1" x14ac:dyDescent="0.3">
      <c r="A1680" s="156" t="s">
        <v>604</v>
      </c>
      <c r="B1680" s="227" t="s">
        <v>853</v>
      </c>
      <c r="C1680" s="226" t="s">
        <v>683</v>
      </c>
      <c r="D1680" s="701" t="s">
        <v>855</v>
      </c>
      <c r="E1680" s="701"/>
      <c r="F1680" s="701"/>
      <c r="G1680" s="226" t="s">
        <v>129</v>
      </c>
      <c r="H1680" s="226">
        <v>2</v>
      </c>
      <c r="I1680" s="226">
        <v>37.61</v>
      </c>
      <c r="L1680" s="226">
        <v>75.22</v>
      </c>
    </row>
    <row r="1681" spans="1:15" ht="10.5" customHeight="1" x14ac:dyDescent="0.3">
      <c r="A1681" s="156" t="s">
        <v>606</v>
      </c>
      <c r="B1681" s="227" t="s">
        <v>854</v>
      </c>
      <c r="C1681" s="226" t="s">
        <v>683</v>
      </c>
      <c r="D1681" s="701" t="s">
        <v>855</v>
      </c>
      <c r="E1681" s="701"/>
      <c r="F1681" s="701"/>
      <c r="G1681" s="226" t="s">
        <v>129</v>
      </c>
      <c r="H1681" s="226">
        <v>2</v>
      </c>
      <c r="I1681" s="226">
        <v>74</v>
      </c>
      <c r="L1681" s="226">
        <v>148</v>
      </c>
    </row>
    <row r="1682" spans="1:15" ht="10.5" customHeight="1" x14ac:dyDescent="0.3">
      <c r="A1682" s="156" t="s">
        <v>609</v>
      </c>
      <c r="B1682" s="227" t="s">
        <v>1114</v>
      </c>
      <c r="C1682" s="226" t="s">
        <v>683</v>
      </c>
      <c r="D1682" s="701" t="s">
        <v>855</v>
      </c>
      <c r="E1682" s="701"/>
      <c r="F1682" s="701"/>
      <c r="G1682" s="226" t="s">
        <v>129</v>
      </c>
      <c r="H1682" s="226">
        <v>2</v>
      </c>
      <c r="I1682" s="226">
        <v>107.91</v>
      </c>
      <c r="L1682" s="226">
        <v>107.91</v>
      </c>
    </row>
    <row r="1683" spans="1:15" ht="10.5" customHeight="1" x14ac:dyDescent="0.3">
      <c r="A1683" s="156" t="s">
        <v>611</v>
      </c>
      <c r="B1683" s="227" t="s">
        <v>1115</v>
      </c>
      <c r="C1683" s="226" t="s">
        <v>683</v>
      </c>
      <c r="D1683" s="701" t="s">
        <v>855</v>
      </c>
      <c r="E1683" s="701"/>
      <c r="F1683" s="701"/>
      <c r="G1683" s="226" t="s">
        <v>129</v>
      </c>
      <c r="H1683" s="226">
        <v>2</v>
      </c>
      <c r="I1683" s="226">
        <v>122.36000000000001</v>
      </c>
      <c r="L1683" s="226">
        <v>122.36000000000001</v>
      </c>
    </row>
    <row r="1684" spans="1:15" ht="10.5" customHeight="1" x14ac:dyDescent="0.3">
      <c r="A1684" s="156" t="s">
        <v>613</v>
      </c>
      <c r="B1684" s="227" t="s">
        <v>851</v>
      </c>
      <c r="C1684" s="226" t="s">
        <v>683</v>
      </c>
      <c r="D1684" s="701" t="s">
        <v>855</v>
      </c>
      <c r="E1684" s="701"/>
      <c r="F1684" s="701"/>
      <c r="G1684" s="226" t="s">
        <v>129</v>
      </c>
      <c r="H1684" s="226">
        <v>2</v>
      </c>
      <c r="I1684" s="226">
        <v>44</v>
      </c>
      <c r="L1684" s="226">
        <v>44</v>
      </c>
    </row>
    <row r="1685" spans="1:15" ht="10.5" customHeight="1" x14ac:dyDescent="0.3">
      <c r="A1685" s="156" t="s">
        <v>616</v>
      </c>
      <c r="B1685" s="227" t="s">
        <v>734</v>
      </c>
      <c r="C1685" s="226" t="s">
        <v>684</v>
      </c>
      <c r="D1685" s="701" t="s">
        <v>738</v>
      </c>
      <c r="E1685" s="701"/>
      <c r="F1685" s="701"/>
      <c r="G1685" s="226" t="s">
        <v>129</v>
      </c>
      <c r="H1685" s="226">
        <v>2</v>
      </c>
      <c r="I1685" s="226">
        <v>102.49</v>
      </c>
      <c r="L1685" s="226">
        <v>102.49</v>
      </c>
    </row>
    <row r="1686" spans="1:15" ht="10.5" customHeight="1" x14ac:dyDescent="0.3">
      <c r="A1686" s="156" t="s">
        <v>618</v>
      </c>
      <c r="B1686" s="227" t="s">
        <v>735</v>
      </c>
      <c r="C1686" s="226" t="s">
        <v>684</v>
      </c>
      <c r="D1686" s="701" t="s">
        <v>738</v>
      </c>
      <c r="E1686" s="701"/>
      <c r="F1686" s="701"/>
      <c r="G1686" s="226" t="s">
        <v>129</v>
      </c>
      <c r="H1686" s="226">
        <v>2</v>
      </c>
      <c r="I1686" s="226">
        <v>96.72999999999999</v>
      </c>
      <c r="L1686" s="226">
        <v>96.72999999999999</v>
      </c>
    </row>
    <row r="1687" spans="1:15" ht="10.5" customHeight="1" x14ac:dyDescent="0.3">
      <c r="A1687" s="156" t="s">
        <v>620</v>
      </c>
      <c r="B1687" s="227" t="s">
        <v>736</v>
      </c>
      <c r="C1687" s="226" t="s">
        <v>684</v>
      </c>
      <c r="D1687" s="701" t="s">
        <v>738</v>
      </c>
      <c r="E1687" s="701"/>
      <c r="F1687" s="701"/>
      <c r="G1687" s="226" t="s">
        <v>129</v>
      </c>
      <c r="H1687" s="226">
        <v>2</v>
      </c>
      <c r="I1687" s="226">
        <v>102.87</v>
      </c>
      <c r="L1687" s="226">
        <v>102.87</v>
      </c>
    </row>
    <row r="1688" spans="1:15" ht="10.5" customHeight="1" x14ac:dyDescent="0.3">
      <c r="A1688" s="156" t="s">
        <v>623</v>
      </c>
      <c r="B1688" s="227" t="s">
        <v>755</v>
      </c>
      <c r="C1688" s="226" t="s">
        <v>684</v>
      </c>
      <c r="D1688" s="701" t="s">
        <v>738</v>
      </c>
      <c r="E1688" s="701"/>
      <c r="F1688" s="701"/>
      <c r="G1688" s="226" t="s">
        <v>129</v>
      </c>
      <c r="H1688" s="226">
        <v>2</v>
      </c>
      <c r="I1688" s="226">
        <v>66.39</v>
      </c>
      <c r="L1688" s="226">
        <v>66.39</v>
      </c>
    </row>
    <row r="1689" spans="1:15" ht="10.5" customHeight="1" x14ac:dyDescent="0.3">
      <c r="A1689" s="156" t="s">
        <v>625</v>
      </c>
      <c r="B1689" s="227" t="s">
        <v>758</v>
      </c>
      <c r="C1689" s="226" t="s">
        <v>684</v>
      </c>
      <c r="D1689" s="701" t="s">
        <v>738</v>
      </c>
      <c r="E1689" s="701"/>
      <c r="F1689" s="701"/>
      <c r="G1689" s="226" t="s">
        <v>129</v>
      </c>
      <c r="H1689" s="226">
        <v>2</v>
      </c>
      <c r="I1689" s="226">
        <v>47.15</v>
      </c>
      <c r="L1689" s="226">
        <v>94.3</v>
      </c>
    </row>
    <row r="1690" spans="1:15" ht="10.5" customHeight="1" x14ac:dyDescent="0.3">
      <c r="A1690" s="156" t="s">
        <v>627</v>
      </c>
      <c r="B1690" s="227" t="s">
        <v>761</v>
      </c>
      <c r="C1690" s="226" t="s">
        <v>684</v>
      </c>
      <c r="D1690" s="701" t="s">
        <v>738</v>
      </c>
      <c r="E1690" s="701"/>
      <c r="F1690" s="701"/>
      <c r="G1690" s="226" t="s">
        <v>129</v>
      </c>
      <c r="H1690" s="226">
        <v>2</v>
      </c>
      <c r="I1690" s="226">
        <v>111.63</v>
      </c>
      <c r="L1690" s="226">
        <v>223.26</v>
      </c>
    </row>
    <row r="1691" spans="1:15" ht="10.5" customHeight="1" x14ac:dyDescent="0.3">
      <c r="A1691" s="156" t="s">
        <v>629</v>
      </c>
      <c r="B1691" s="227" t="s">
        <v>752</v>
      </c>
      <c r="C1691" s="226" t="s">
        <v>684</v>
      </c>
      <c r="D1691" s="701" t="s">
        <v>738</v>
      </c>
      <c r="E1691" s="701"/>
      <c r="F1691" s="701"/>
      <c r="G1691" s="226" t="s">
        <v>129</v>
      </c>
      <c r="H1691" s="226">
        <v>2</v>
      </c>
      <c r="I1691" s="226">
        <v>98.31</v>
      </c>
      <c r="L1691" s="226">
        <v>196.62</v>
      </c>
    </row>
    <row r="1692" spans="1:15" ht="10.5" customHeight="1" x14ac:dyDescent="0.3">
      <c r="A1692" s="156" t="s">
        <v>631</v>
      </c>
      <c r="B1692" s="227" t="s">
        <v>759</v>
      </c>
      <c r="C1692" s="226" t="s">
        <v>684</v>
      </c>
      <c r="D1692" s="701" t="s">
        <v>738</v>
      </c>
      <c r="E1692" s="701"/>
      <c r="F1692" s="701"/>
      <c r="G1692" s="226" t="s">
        <v>129</v>
      </c>
      <c r="H1692" s="226">
        <v>2</v>
      </c>
      <c r="I1692" s="226">
        <v>101.73</v>
      </c>
      <c r="L1692" s="226">
        <v>203.46</v>
      </c>
    </row>
    <row r="1693" spans="1:15" ht="10.5" customHeight="1" x14ac:dyDescent="0.3">
      <c r="A1693" s="156" t="s">
        <v>633</v>
      </c>
      <c r="B1693" s="227" t="s">
        <v>760</v>
      </c>
      <c r="C1693" s="226" t="s">
        <v>684</v>
      </c>
      <c r="D1693" s="701" t="s">
        <v>738</v>
      </c>
      <c r="E1693" s="701"/>
      <c r="F1693" s="701"/>
      <c r="G1693" s="226" t="s">
        <v>129</v>
      </c>
      <c r="H1693" s="226">
        <v>2</v>
      </c>
      <c r="I1693" s="226">
        <v>101.04</v>
      </c>
      <c r="L1693" s="226">
        <v>202.08</v>
      </c>
    </row>
    <row r="1694" spans="1:15" ht="12" customHeight="1" x14ac:dyDescent="0.3">
      <c r="A1694" s="156" t="s">
        <v>639</v>
      </c>
      <c r="B1694" s="227" t="s">
        <v>792</v>
      </c>
      <c r="C1694" s="226" t="s">
        <v>684</v>
      </c>
      <c r="D1694" s="701" t="s">
        <v>738</v>
      </c>
      <c r="E1694" s="701"/>
      <c r="F1694" s="701"/>
      <c r="G1694" s="226" t="s">
        <v>129</v>
      </c>
      <c r="H1694" s="226">
        <v>2</v>
      </c>
      <c r="I1694" s="226">
        <v>111.7</v>
      </c>
      <c r="L1694" s="226">
        <v>223.4</v>
      </c>
      <c r="M1694" s="227"/>
      <c r="N1694" s="227"/>
      <c r="O1694" s="227"/>
    </row>
    <row r="1695" spans="1:15" ht="10.5" customHeight="1" x14ac:dyDescent="0.3">
      <c r="A1695" s="156" t="s">
        <v>641</v>
      </c>
      <c r="B1695" s="227" t="s">
        <v>778</v>
      </c>
      <c r="C1695" s="226" t="s">
        <v>684</v>
      </c>
      <c r="D1695" s="701" t="s">
        <v>738</v>
      </c>
      <c r="E1695" s="701"/>
      <c r="F1695" s="701"/>
      <c r="G1695" s="226" t="s">
        <v>129</v>
      </c>
      <c r="H1695" s="226">
        <v>2</v>
      </c>
      <c r="I1695" s="226">
        <v>108.14</v>
      </c>
      <c r="L1695" s="226">
        <v>216.28</v>
      </c>
    </row>
    <row r="1696" spans="1:15" ht="10.5" customHeight="1" x14ac:dyDescent="0.3">
      <c r="A1696" s="156" t="s">
        <v>643</v>
      </c>
      <c r="B1696" s="227" t="s">
        <v>779</v>
      </c>
      <c r="C1696" s="226" t="s">
        <v>684</v>
      </c>
      <c r="D1696" s="701" t="s">
        <v>738</v>
      </c>
      <c r="E1696" s="701"/>
      <c r="F1696" s="701"/>
      <c r="G1696" s="226" t="s">
        <v>129</v>
      </c>
      <c r="H1696" s="226">
        <v>2</v>
      </c>
      <c r="I1696" s="226">
        <v>99.02</v>
      </c>
      <c r="L1696" s="226">
        <v>198.04</v>
      </c>
    </row>
    <row r="1697" spans="1:15" ht="10.5" customHeight="1" x14ac:dyDescent="0.3">
      <c r="A1697" s="156" t="s">
        <v>645</v>
      </c>
      <c r="B1697" s="227" t="s">
        <v>780</v>
      </c>
      <c r="C1697" s="226" t="s">
        <v>684</v>
      </c>
      <c r="D1697" s="701" t="s">
        <v>738</v>
      </c>
      <c r="E1697" s="701"/>
      <c r="F1697" s="701"/>
      <c r="G1697" s="226" t="s">
        <v>129</v>
      </c>
      <c r="H1697" s="226">
        <v>2</v>
      </c>
      <c r="I1697" s="226">
        <v>101.32</v>
      </c>
      <c r="L1697" s="226">
        <v>202.64</v>
      </c>
    </row>
    <row r="1698" spans="1:15" ht="10.5" customHeight="1" x14ac:dyDescent="0.3">
      <c r="A1698" s="156" t="s">
        <v>647</v>
      </c>
      <c r="B1698" s="227" t="s">
        <v>781</v>
      </c>
      <c r="C1698" s="226" t="s">
        <v>684</v>
      </c>
      <c r="D1698" s="701" t="s">
        <v>738</v>
      </c>
      <c r="E1698" s="701"/>
      <c r="F1698" s="701"/>
      <c r="G1698" s="226" t="s">
        <v>129</v>
      </c>
      <c r="H1698" s="226">
        <v>2</v>
      </c>
      <c r="I1698" s="226">
        <v>99.2</v>
      </c>
      <c r="L1698" s="226">
        <v>198.4</v>
      </c>
    </row>
    <row r="1699" spans="1:15" ht="10.5" customHeight="1" x14ac:dyDescent="0.3">
      <c r="A1699" s="156" t="s">
        <v>650</v>
      </c>
      <c r="B1699" s="227" t="s">
        <v>793</v>
      </c>
      <c r="C1699" s="226" t="s">
        <v>684</v>
      </c>
      <c r="D1699" s="701" t="s">
        <v>738</v>
      </c>
      <c r="E1699" s="701"/>
      <c r="F1699" s="701"/>
      <c r="G1699" s="226" t="s">
        <v>129</v>
      </c>
      <c r="H1699" s="226">
        <v>2</v>
      </c>
      <c r="I1699" s="226">
        <v>100.5</v>
      </c>
      <c r="L1699" s="226">
        <v>201</v>
      </c>
    </row>
    <row r="1700" spans="1:15" ht="10.5" customHeight="1" x14ac:dyDescent="0.3">
      <c r="A1700" s="156" t="s">
        <v>652</v>
      </c>
      <c r="B1700" s="227" t="s">
        <v>794</v>
      </c>
      <c r="C1700" s="226" t="s">
        <v>684</v>
      </c>
      <c r="D1700" s="701" t="s">
        <v>738</v>
      </c>
      <c r="E1700" s="701"/>
      <c r="F1700" s="701"/>
      <c r="G1700" s="226" t="s">
        <v>129</v>
      </c>
      <c r="H1700" s="226">
        <v>2</v>
      </c>
      <c r="I1700" s="226">
        <v>110.91</v>
      </c>
      <c r="L1700" s="226">
        <v>110.91</v>
      </c>
    </row>
    <row r="1701" spans="1:15" ht="10.5" customHeight="1" x14ac:dyDescent="0.3">
      <c r="A1701" s="156" t="s">
        <v>654</v>
      </c>
      <c r="B1701" s="227" t="s">
        <v>795</v>
      </c>
      <c r="C1701" s="226" t="s">
        <v>684</v>
      </c>
      <c r="D1701" s="701" t="s">
        <v>738</v>
      </c>
      <c r="E1701" s="701"/>
      <c r="F1701" s="701"/>
      <c r="G1701" s="226" t="s">
        <v>129</v>
      </c>
      <c r="H1701" s="226">
        <v>2</v>
      </c>
      <c r="I1701" s="226">
        <v>100.12</v>
      </c>
      <c r="L1701" s="226">
        <v>100.12</v>
      </c>
    </row>
    <row r="1702" spans="1:15" ht="10.5" customHeight="1" x14ac:dyDescent="0.3">
      <c r="A1702" s="156" t="s">
        <v>656</v>
      </c>
      <c r="B1702" s="227" t="s">
        <v>796</v>
      </c>
      <c r="C1702" s="226" t="s">
        <v>684</v>
      </c>
      <c r="D1702" s="701" t="s">
        <v>738</v>
      </c>
      <c r="E1702" s="701"/>
      <c r="F1702" s="701"/>
      <c r="G1702" s="226" t="s">
        <v>129</v>
      </c>
      <c r="H1702" s="226">
        <v>2</v>
      </c>
      <c r="I1702" s="226">
        <v>102.38</v>
      </c>
      <c r="L1702" s="226">
        <v>102.38</v>
      </c>
    </row>
    <row r="1703" spans="1:15" ht="10.5" customHeight="1" x14ac:dyDescent="0.3">
      <c r="A1703" s="156" t="s">
        <v>658</v>
      </c>
      <c r="B1703" s="227" t="s">
        <v>797</v>
      </c>
      <c r="C1703" s="226" t="s">
        <v>684</v>
      </c>
      <c r="D1703" s="701" t="s">
        <v>738</v>
      </c>
      <c r="E1703" s="701"/>
      <c r="F1703" s="701"/>
      <c r="G1703" s="226" t="s">
        <v>129</v>
      </c>
      <c r="H1703" s="226">
        <v>2</v>
      </c>
      <c r="I1703" s="226">
        <v>101.4</v>
      </c>
      <c r="L1703" s="226">
        <v>101.4</v>
      </c>
    </row>
    <row r="1704" spans="1:15" ht="10.5" customHeight="1" x14ac:dyDescent="0.3">
      <c r="A1704" s="156" t="s">
        <v>661</v>
      </c>
      <c r="B1704" s="227" t="s">
        <v>800</v>
      </c>
      <c r="C1704" s="226" t="s">
        <v>684</v>
      </c>
      <c r="D1704" s="701" t="s">
        <v>738</v>
      </c>
      <c r="E1704" s="701"/>
      <c r="F1704" s="701"/>
      <c r="G1704" s="226" t="s">
        <v>129</v>
      </c>
      <c r="H1704" s="226">
        <v>2</v>
      </c>
      <c r="I1704" s="226">
        <v>99.98</v>
      </c>
      <c r="L1704" s="226">
        <v>99.98</v>
      </c>
    </row>
    <row r="1705" spans="1:15" ht="10.5" customHeight="1" x14ac:dyDescent="0.3">
      <c r="A1705" s="156" t="s">
        <v>687</v>
      </c>
      <c r="B1705" s="227" t="s">
        <v>801</v>
      </c>
      <c r="C1705" s="226" t="s">
        <v>684</v>
      </c>
      <c r="D1705" s="701" t="s">
        <v>738</v>
      </c>
      <c r="E1705" s="701"/>
      <c r="F1705" s="701"/>
      <c r="G1705" s="226" t="s">
        <v>129</v>
      </c>
      <c r="H1705" s="226">
        <v>2</v>
      </c>
      <c r="I1705" s="226">
        <v>102.15</v>
      </c>
      <c r="L1705" s="226">
        <v>102.15</v>
      </c>
    </row>
    <row r="1706" spans="1:15" ht="10.5" customHeight="1" x14ac:dyDescent="0.3">
      <c r="A1706" s="156" t="s">
        <v>689</v>
      </c>
      <c r="B1706" s="227" t="s">
        <v>802</v>
      </c>
      <c r="C1706" s="226" t="s">
        <v>684</v>
      </c>
      <c r="D1706" s="701" t="s">
        <v>738</v>
      </c>
      <c r="E1706" s="701"/>
      <c r="F1706" s="701"/>
      <c r="G1706" s="226" t="s">
        <v>129</v>
      </c>
      <c r="H1706" s="226">
        <v>2</v>
      </c>
      <c r="I1706" s="226">
        <v>100.63</v>
      </c>
      <c r="L1706" s="226">
        <v>100.63</v>
      </c>
    </row>
    <row r="1707" spans="1:15" ht="10.5" customHeight="1" x14ac:dyDescent="0.3">
      <c r="A1707" s="156" t="s">
        <v>692</v>
      </c>
      <c r="B1707" s="227" t="s">
        <v>805</v>
      </c>
      <c r="C1707" s="226" t="s">
        <v>684</v>
      </c>
      <c r="D1707" s="701" t="s">
        <v>738</v>
      </c>
      <c r="E1707" s="701"/>
      <c r="F1707" s="701"/>
      <c r="G1707" s="226" t="s">
        <v>129</v>
      </c>
      <c r="H1707" s="226">
        <v>2</v>
      </c>
      <c r="I1707" s="226">
        <v>102.03</v>
      </c>
      <c r="L1707" s="226">
        <v>204.06</v>
      </c>
    </row>
    <row r="1708" spans="1:15" ht="10.5" customHeight="1" x14ac:dyDescent="0.3">
      <c r="A1708" s="156" t="s">
        <v>694</v>
      </c>
      <c r="B1708" s="227" t="s">
        <v>806</v>
      </c>
      <c r="C1708" s="226" t="s">
        <v>684</v>
      </c>
      <c r="D1708" s="701" t="s">
        <v>738</v>
      </c>
      <c r="E1708" s="701"/>
      <c r="F1708" s="701"/>
      <c r="G1708" s="226" t="s">
        <v>129</v>
      </c>
      <c r="H1708" s="226">
        <v>2</v>
      </c>
      <c r="I1708" s="226">
        <v>98.36</v>
      </c>
      <c r="L1708" s="226">
        <v>196.72</v>
      </c>
    </row>
    <row r="1709" spans="1:15" ht="10.5" customHeight="1" x14ac:dyDescent="0.3">
      <c r="A1709" s="156" t="s">
        <v>696</v>
      </c>
      <c r="B1709" s="227" t="s">
        <v>807</v>
      </c>
      <c r="C1709" s="226" t="s">
        <v>684</v>
      </c>
      <c r="D1709" s="701" t="s">
        <v>738</v>
      </c>
      <c r="E1709" s="701"/>
      <c r="F1709" s="701"/>
      <c r="G1709" s="226" t="s">
        <v>129</v>
      </c>
      <c r="H1709" s="226">
        <v>2</v>
      </c>
      <c r="I1709" s="226">
        <v>100.79</v>
      </c>
      <c r="L1709" s="226">
        <v>201.58</v>
      </c>
    </row>
    <row r="1710" spans="1:15" ht="10.5" customHeight="1" x14ac:dyDescent="0.3">
      <c r="A1710" s="156" t="s">
        <v>700</v>
      </c>
      <c r="B1710" s="227" t="s">
        <v>809</v>
      </c>
      <c r="C1710" s="226" t="s">
        <v>684</v>
      </c>
      <c r="D1710" s="701" t="s">
        <v>738</v>
      </c>
      <c r="E1710" s="701"/>
      <c r="F1710" s="701"/>
      <c r="G1710" s="226" t="s">
        <v>129</v>
      </c>
      <c r="H1710" s="226">
        <v>2</v>
      </c>
      <c r="I1710" s="226">
        <v>105.65</v>
      </c>
      <c r="L1710" s="226">
        <v>211.3</v>
      </c>
    </row>
    <row r="1711" spans="1:15" ht="12" customHeight="1" x14ac:dyDescent="0.3">
      <c r="A1711" s="156" t="s">
        <v>702</v>
      </c>
      <c r="B1711" s="227" t="s">
        <v>810</v>
      </c>
      <c r="C1711" s="226" t="s">
        <v>684</v>
      </c>
      <c r="D1711" s="701" t="s">
        <v>738</v>
      </c>
      <c r="E1711" s="701"/>
      <c r="F1711" s="701"/>
      <c r="G1711" s="226" t="s">
        <v>129</v>
      </c>
      <c r="H1711" s="226">
        <v>2</v>
      </c>
      <c r="I1711" s="226">
        <v>71.7</v>
      </c>
      <c r="L1711" s="226">
        <v>143.4</v>
      </c>
      <c r="M1711" s="227"/>
      <c r="N1711" s="227"/>
      <c r="O1711" s="227"/>
    </row>
    <row r="1712" spans="1:15" ht="10.5" customHeight="1" x14ac:dyDescent="0.3">
      <c r="A1712" s="156" t="s">
        <v>704</v>
      </c>
      <c r="B1712" s="227" t="s">
        <v>811</v>
      </c>
      <c r="C1712" s="226" t="s">
        <v>684</v>
      </c>
      <c r="D1712" s="701" t="s">
        <v>738</v>
      </c>
      <c r="E1712" s="701"/>
      <c r="F1712" s="701"/>
      <c r="G1712" s="226" t="s">
        <v>129</v>
      </c>
      <c r="H1712" s="226">
        <v>2</v>
      </c>
      <c r="I1712" s="226">
        <v>101.82</v>
      </c>
      <c r="L1712" s="226">
        <v>203.64</v>
      </c>
    </row>
    <row r="1713" spans="1:12" ht="10.5" customHeight="1" x14ac:dyDescent="0.3">
      <c r="A1713" s="156" t="s">
        <v>706</v>
      </c>
      <c r="B1713" s="227" t="s">
        <v>812</v>
      </c>
      <c r="C1713" s="226" t="s">
        <v>684</v>
      </c>
      <c r="D1713" s="701" t="s">
        <v>738</v>
      </c>
      <c r="E1713" s="701"/>
      <c r="F1713" s="701"/>
      <c r="G1713" s="226" t="s">
        <v>129</v>
      </c>
      <c r="H1713" s="226">
        <v>2</v>
      </c>
      <c r="I1713" s="226">
        <v>99.53</v>
      </c>
      <c r="L1713" s="226">
        <v>199.06</v>
      </c>
    </row>
    <row r="1714" spans="1:12" ht="10.5" customHeight="1" x14ac:dyDescent="0.3">
      <c r="A1714" s="156" t="s">
        <v>731</v>
      </c>
      <c r="B1714" s="227" t="s">
        <v>813</v>
      </c>
      <c r="C1714" s="226" t="s">
        <v>684</v>
      </c>
      <c r="D1714" s="701" t="s">
        <v>738</v>
      </c>
      <c r="E1714" s="701"/>
      <c r="F1714" s="701"/>
      <c r="G1714" s="226" t="s">
        <v>129</v>
      </c>
      <c r="H1714" s="226">
        <v>2</v>
      </c>
      <c r="I1714" s="226">
        <v>103.29</v>
      </c>
      <c r="L1714" s="226">
        <v>206.58</v>
      </c>
    </row>
    <row r="1715" spans="1:12" ht="10.5" customHeight="1" x14ac:dyDescent="0.3">
      <c r="A1715" s="156" t="s">
        <v>741</v>
      </c>
      <c r="B1715" s="227" t="s">
        <v>815</v>
      </c>
      <c r="C1715" s="226" t="s">
        <v>684</v>
      </c>
      <c r="D1715" s="701" t="s">
        <v>738</v>
      </c>
      <c r="E1715" s="701"/>
      <c r="F1715" s="701"/>
      <c r="G1715" s="226" t="s">
        <v>129</v>
      </c>
      <c r="H1715" s="226">
        <v>2</v>
      </c>
      <c r="I1715" s="226">
        <v>50.06</v>
      </c>
      <c r="L1715" s="226">
        <v>100.12</v>
      </c>
    </row>
    <row r="1716" spans="1:12" ht="9.6" customHeight="1" x14ac:dyDescent="0.3">
      <c r="A1716" s="156" t="s">
        <v>743</v>
      </c>
      <c r="B1716" s="227" t="s">
        <v>816</v>
      </c>
      <c r="C1716" s="226" t="s">
        <v>684</v>
      </c>
      <c r="D1716" s="701" t="s">
        <v>738</v>
      </c>
      <c r="E1716" s="701"/>
      <c r="F1716" s="701"/>
      <c r="G1716" s="226" t="s">
        <v>129</v>
      </c>
      <c r="H1716" s="226">
        <v>2</v>
      </c>
      <c r="I1716" s="226">
        <v>40.24</v>
      </c>
      <c r="L1716" s="226">
        <v>80.48</v>
      </c>
    </row>
    <row r="1717" spans="1:12" ht="9.6" customHeight="1" x14ac:dyDescent="0.3">
      <c r="A1717" s="156" t="s">
        <v>745</v>
      </c>
      <c r="B1717" s="227" t="s">
        <v>817</v>
      </c>
      <c r="C1717" s="226" t="s">
        <v>684</v>
      </c>
      <c r="D1717" s="701" t="s">
        <v>738</v>
      </c>
      <c r="E1717" s="701"/>
      <c r="F1717" s="701"/>
      <c r="G1717" s="226" t="s">
        <v>129</v>
      </c>
      <c r="H1717" s="226">
        <v>2</v>
      </c>
      <c r="I1717" s="226">
        <v>46.44</v>
      </c>
      <c r="L1717" s="226">
        <v>46.44</v>
      </c>
    </row>
    <row r="1718" spans="1:12" ht="9.6" customHeight="1" x14ac:dyDescent="0.3">
      <c r="A1718" s="156" t="s">
        <v>747</v>
      </c>
      <c r="B1718" s="227" t="s">
        <v>818</v>
      </c>
      <c r="C1718" s="226" t="s">
        <v>684</v>
      </c>
      <c r="D1718" s="701" t="s">
        <v>738</v>
      </c>
      <c r="E1718" s="701"/>
      <c r="F1718" s="701"/>
      <c r="G1718" s="226" t="s">
        <v>129</v>
      </c>
      <c r="H1718" s="226">
        <v>2</v>
      </c>
      <c r="I1718" s="226">
        <v>40.380000000000003</v>
      </c>
      <c r="L1718" s="226">
        <v>40.380000000000003</v>
      </c>
    </row>
    <row r="1719" spans="1:12" ht="9.6" customHeight="1" x14ac:dyDescent="0.3">
      <c r="A1719" s="156" t="s">
        <v>749</v>
      </c>
      <c r="B1719" s="227" t="s">
        <v>819</v>
      </c>
      <c r="C1719" s="226" t="s">
        <v>684</v>
      </c>
      <c r="D1719" s="701" t="s">
        <v>738</v>
      </c>
      <c r="E1719" s="701"/>
      <c r="F1719" s="701"/>
      <c r="G1719" s="226" t="s">
        <v>129</v>
      </c>
      <c r="H1719" s="226">
        <v>2</v>
      </c>
      <c r="I1719" s="226">
        <v>51.63</v>
      </c>
      <c r="L1719" s="226">
        <v>51.63</v>
      </c>
    </row>
    <row r="1720" spans="1:12" ht="9.6" customHeight="1" x14ac:dyDescent="0.3">
      <c r="A1720" s="156" t="s">
        <v>753</v>
      </c>
      <c r="B1720" s="227" t="s">
        <v>821</v>
      </c>
      <c r="C1720" s="226" t="s">
        <v>684</v>
      </c>
      <c r="D1720" s="701" t="s">
        <v>738</v>
      </c>
      <c r="E1720" s="701"/>
      <c r="F1720" s="701"/>
      <c r="G1720" s="226" t="s">
        <v>129</v>
      </c>
      <c r="H1720" s="226">
        <v>2</v>
      </c>
      <c r="I1720" s="226">
        <v>28.89</v>
      </c>
      <c r="L1720" s="226">
        <v>28.89</v>
      </c>
    </row>
    <row r="1721" spans="1:12" ht="9.6" customHeight="1" x14ac:dyDescent="0.3">
      <c r="A1721" s="156" t="s">
        <v>756</v>
      </c>
      <c r="B1721" s="227" t="s">
        <v>822</v>
      </c>
      <c r="C1721" s="226" t="s">
        <v>684</v>
      </c>
      <c r="D1721" s="701" t="s">
        <v>738</v>
      </c>
      <c r="E1721" s="701"/>
      <c r="F1721" s="701"/>
      <c r="G1721" s="226" t="s">
        <v>129</v>
      </c>
      <c r="H1721" s="226">
        <v>2</v>
      </c>
      <c r="I1721" s="226">
        <v>39.590000000000003</v>
      </c>
      <c r="L1721" s="226">
        <v>39.590000000000003</v>
      </c>
    </row>
    <row r="1722" spans="1:12" ht="9.6" customHeight="1" x14ac:dyDescent="0.3">
      <c r="A1722" s="156" t="s">
        <v>762</v>
      </c>
      <c r="B1722" s="227" t="s">
        <v>823</v>
      </c>
      <c r="C1722" s="226" t="s">
        <v>684</v>
      </c>
      <c r="D1722" s="701" t="s">
        <v>738</v>
      </c>
      <c r="E1722" s="701"/>
      <c r="F1722" s="701"/>
      <c r="G1722" s="226" t="s">
        <v>129</v>
      </c>
      <c r="H1722" s="226">
        <v>2</v>
      </c>
      <c r="I1722" s="226">
        <v>41.77</v>
      </c>
      <c r="L1722" s="226">
        <v>41.77</v>
      </c>
    </row>
    <row r="1723" spans="1:12" ht="9.6" customHeight="1" x14ac:dyDescent="0.3">
      <c r="A1723" s="156" t="s">
        <v>764</v>
      </c>
      <c r="B1723" s="227" t="s">
        <v>824</v>
      </c>
      <c r="C1723" s="226" t="s">
        <v>684</v>
      </c>
      <c r="D1723" s="701" t="s">
        <v>738</v>
      </c>
      <c r="E1723" s="701"/>
      <c r="F1723" s="701"/>
      <c r="G1723" s="226" t="s">
        <v>129</v>
      </c>
      <c r="H1723" s="226">
        <v>2</v>
      </c>
      <c r="I1723" s="226">
        <v>42.25</v>
      </c>
      <c r="L1723" s="226">
        <v>42.25</v>
      </c>
    </row>
    <row r="1724" spans="1:12" ht="9.6" customHeight="1" x14ac:dyDescent="0.3">
      <c r="A1724" s="156" t="s">
        <v>766</v>
      </c>
      <c r="B1724" s="227" t="s">
        <v>825</v>
      </c>
      <c r="C1724" s="226" t="s">
        <v>684</v>
      </c>
      <c r="D1724" s="701" t="s">
        <v>738</v>
      </c>
      <c r="E1724" s="701"/>
      <c r="F1724" s="701"/>
      <c r="G1724" s="226" t="s">
        <v>129</v>
      </c>
      <c r="H1724" s="226">
        <v>2</v>
      </c>
      <c r="I1724" s="226">
        <v>41.33</v>
      </c>
      <c r="L1724" s="226">
        <v>41.33</v>
      </c>
    </row>
    <row r="1725" spans="1:12" ht="9.6" customHeight="1" x14ac:dyDescent="0.3">
      <c r="A1725" s="156" t="s">
        <v>768</v>
      </c>
      <c r="B1725" s="227" t="s">
        <v>826</v>
      </c>
      <c r="C1725" s="226" t="s">
        <v>684</v>
      </c>
      <c r="D1725" s="701" t="s">
        <v>738</v>
      </c>
      <c r="E1725" s="701"/>
      <c r="F1725" s="701"/>
      <c r="G1725" s="226" t="s">
        <v>129</v>
      </c>
      <c r="H1725" s="226">
        <v>2</v>
      </c>
      <c r="I1725" s="226">
        <v>54</v>
      </c>
      <c r="L1725" s="226">
        <v>108</v>
      </c>
    </row>
    <row r="1726" spans="1:12" ht="9.6" customHeight="1" x14ac:dyDescent="0.3">
      <c r="A1726" s="156" t="s">
        <v>771</v>
      </c>
      <c r="B1726" s="227" t="s">
        <v>827</v>
      </c>
      <c r="C1726" s="226" t="s">
        <v>684</v>
      </c>
      <c r="D1726" s="701" t="s">
        <v>738</v>
      </c>
      <c r="E1726" s="701"/>
      <c r="F1726" s="701"/>
      <c r="G1726" s="226" t="s">
        <v>129</v>
      </c>
      <c r="H1726" s="226">
        <v>2</v>
      </c>
      <c r="I1726" s="226">
        <v>32.44</v>
      </c>
      <c r="L1726" s="226">
        <v>64.88</v>
      </c>
    </row>
    <row r="1727" spans="1:12" ht="9.6" customHeight="1" x14ac:dyDescent="0.3">
      <c r="A1727" s="156" t="s">
        <v>773</v>
      </c>
      <c r="B1727" s="227" t="s">
        <v>828</v>
      </c>
      <c r="C1727" s="226" t="s">
        <v>684</v>
      </c>
      <c r="D1727" s="701" t="s">
        <v>738</v>
      </c>
      <c r="E1727" s="701"/>
      <c r="F1727" s="701"/>
      <c r="G1727" s="226" t="s">
        <v>129</v>
      </c>
      <c r="H1727" s="226">
        <v>2</v>
      </c>
      <c r="I1727" s="226">
        <v>40.58</v>
      </c>
      <c r="L1727" s="226">
        <v>81.16</v>
      </c>
    </row>
    <row r="1728" spans="1:12" ht="9.6" customHeight="1" x14ac:dyDescent="0.3">
      <c r="A1728" s="156" t="s">
        <v>775</v>
      </c>
      <c r="B1728" s="227" t="s">
        <v>829</v>
      </c>
      <c r="C1728" s="226" t="s">
        <v>684</v>
      </c>
      <c r="D1728" s="701" t="s">
        <v>738</v>
      </c>
      <c r="E1728" s="701"/>
      <c r="F1728" s="701"/>
      <c r="G1728" s="226" t="s">
        <v>129</v>
      </c>
      <c r="H1728" s="226">
        <v>2</v>
      </c>
      <c r="I1728" s="226">
        <v>42.43</v>
      </c>
      <c r="L1728" s="226">
        <v>84.86</v>
      </c>
    </row>
    <row r="1729" spans="1:12" ht="9.6" customHeight="1" x14ac:dyDescent="0.3">
      <c r="A1729" s="156" t="s">
        <v>786</v>
      </c>
      <c r="B1729" s="227" t="s">
        <v>830</v>
      </c>
      <c r="C1729" s="226" t="s">
        <v>684</v>
      </c>
      <c r="D1729" s="701" t="s">
        <v>738</v>
      </c>
      <c r="E1729" s="701"/>
      <c r="F1729" s="701"/>
      <c r="G1729" s="226" t="s">
        <v>129</v>
      </c>
      <c r="H1729" s="226">
        <v>2</v>
      </c>
      <c r="I1729" s="226">
        <v>40.01</v>
      </c>
      <c r="L1729" s="226">
        <v>80.02</v>
      </c>
    </row>
    <row r="1730" spans="1:12" ht="9.6" customHeight="1" x14ac:dyDescent="0.3">
      <c r="A1730" s="156" t="s">
        <v>788</v>
      </c>
      <c r="B1730" s="227" t="s">
        <v>831</v>
      </c>
      <c r="C1730" s="226" t="s">
        <v>684</v>
      </c>
      <c r="D1730" s="701" t="s">
        <v>738</v>
      </c>
      <c r="E1730" s="701"/>
      <c r="F1730" s="701"/>
      <c r="G1730" s="226" t="s">
        <v>129</v>
      </c>
      <c r="H1730" s="226">
        <v>2</v>
      </c>
      <c r="I1730" s="226">
        <v>42.87</v>
      </c>
      <c r="L1730" s="226">
        <v>85.74</v>
      </c>
    </row>
    <row r="1731" spans="1:12" ht="10.5" customHeight="1" x14ac:dyDescent="0.3">
      <c r="A1731" s="156" t="s">
        <v>790</v>
      </c>
      <c r="B1731" s="227" t="s">
        <v>832</v>
      </c>
      <c r="C1731" s="226" t="s">
        <v>684</v>
      </c>
      <c r="D1731" s="701" t="s">
        <v>738</v>
      </c>
      <c r="E1731" s="701"/>
      <c r="F1731" s="701"/>
      <c r="G1731" s="226" t="s">
        <v>129</v>
      </c>
      <c r="H1731" s="226">
        <v>2</v>
      </c>
      <c r="I1731" s="226">
        <v>52.73</v>
      </c>
      <c r="L1731" s="226">
        <v>105.46</v>
      </c>
    </row>
    <row r="1732" spans="1:12" ht="10.5" customHeight="1" x14ac:dyDescent="0.3">
      <c r="A1732" s="156" t="s">
        <v>1162</v>
      </c>
      <c r="B1732" s="227" t="s">
        <v>1127</v>
      </c>
      <c r="C1732" s="226" t="s">
        <v>1195</v>
      </c>
      <c r="D1732" s="701" t="s">
        <v>1160</v>
      </c>
      <c r="E1732" s="701"/>
      <c r="F1732" s="701"/>
      <c r="G1732" s="226" t="s">
        <v>129</v>
      </c>
      <c r="H1732" s="226">
        <v>2</v>
      </c>
      <c r="I1732" s="226">
        <v>68.86</v>
      </c>
      <c r="L1732" s="226">
        <v>137.72</v>
      </c>
    </row>
    <row r="1733" spans="1:12" ht="10.5" customHeight="1" x14ac:dyDescent="0.3">
      <c r="A1733" s="156" t="s">
        <v>1164</v>
      </c>
      <c r="B1733" s="227" t="s">
        <v>1129</v>
      </c>
      <c r="C1733" s="226" t="s">
        <v>1195</v>
      </c>
      <c r="D1733" s="701" t="s">
        <v>1160</v>
      </c>
      <c r="E1733" s="701"/>
      <c r="F1733" s="701"/>
      <c r="G1733" s="226" t="s">
        <v>129</v>
      </c>
      <c r="H1733" s="226">
        <v>2</v>
      </c>
      <c r="I1733" s="226">
        <v>52.429999999999993</v>
      </c>
      <c r="L1733" s="226">
        <v>104.85999999999999</v>
      </c>
    </row>
    <row r="1734" spans="1:12" ht="10.5" customHeight="1" x14ac:dyDescent="0.3">
      <c r="A1734" s="156" t="s">
        <v>1166</v>
      </c>
      <c r="B1734" s="227" t="s">
        <v>1131</v>
      </c>
      <c r="C1734" s="226" t="s">
        <v>1195</v>
      </c>
      <c r="D1734" s="701" t="s">
        <v>1160</v>
      </c>
      <c r="E1734" s="701"/>
      <c r="F1734" s="701"/>
      <c r="G1734" s="226" t="s">
        <v>129</v>
      </c>
      <c r="H1734" s="226">
        <v>2</v>
      </c>
      <c r="I1734" s="226">
        <v>114.43999999999998</v>
      </c>
      <c r="L1734" s="226">
        <v>228.87999999999997</v>
      </c>
    </row>
    <row r="1735" spans="1:12" ht="10.5" customHeight="1" x14ac:dyDescent="0.3">
      <c r="A1735" s="156" t="s">
        <v>1168</v>
      </c>
      <c r="B1735" s="227" t="s">
        <v>1133</v>
      </c>
      <c r="C1735" s="226" t="s">
        <v>1195</v>
      </c>
      <c r="D1735" s="701" t="s">
        <v>1160</v>
      </c>
      <c r="E1735" s="701"/>
      <c r="F1735" s="701"/>
      <c r="G1735" s="226" t="s">
        <v>129</v>
      </c>
      <c r="H1735" s="226">
        <v>2</v>
      </c>
      <c r="I1735" s="226">
        <v>73.349999999999994</v>
      </c>
      <c r="L1735" s="226">
        <v>146.69999999999999</v>
      </c>
    </row>
    <row r="1736" spans="1:12" ht="10.5" customHeight="1" x14ac:dyDescent="0.3">
      <c r="A1736" s="156" t="s">
        <v>1170</v>
      </c>
      <c r="B1736" s="227" t="s">
        <v>1135</v>
      </c>
      <c r="C1736" s="226" t="s">
        <v>1195</v>
      </c>
      <c r="D1736" s="701" t="s">
        <v>1160</v>
      </c>
      <c r="E1736" s="701"/>
      <c r="F1736" s="701"/>
      <c r="G1736" s="226" t="s">
        <v>129</v>
      </c>
      <c r="H1736" s="226">
        <v>2</v>
      </c>
      <c r="I1736" s="226">
        <v>120.88</v>
      </c>
      <c r="L1736" s="226">
        <v>241.76</v>
      </c>
    </row>
    <row r="1737" spans="1:12" ht="10.5" customHeight="1" x14ac:dyDescent="0.3">
      <c r="A1737" s="156" t="s">
        <v>1172</v>
      </c>
      <c r="B1737" s="227" t="s">
        <v>1137</v>
      </c>
      <c r="C1737" s="226" t="s">
        <v>1195</v>
      </c>
      <c r="D1737" s="701" t="s">
        <v>1160</v>
      </c>
      <c r="E1737" s="701"/>
      <c r="F1737" s="701"/>
      <c r="G1737" s="226" t="s">
        <v>129</v>
      </c>
      <c r="H1737" s="226">
        <v>2</v>
      </c>
      <c r="I1737" s="226">
        <v>175.6</v>
      </c>
      <c r="L1737" s="226">
        <v>351.2</v>
      </c>
    </row>
    <row r="1738" spans="1:12" ht="10.5" customHeight="1" x14ac:dyDescent="0.3">
      <c r="A1738" s="156" t="s">
        <v>1174</v>
      </c>
      <c r="B1738" s="227" t="s">
        <v>1139</v>
      </c>
      <c r="C1738" s="226" t="s">
        <v>1195</v>
      </c>
      <c r="D1738" s="701" t="s">
        <v>1160</v>
      </c>
      <c r="E1738" s="701"/>
      <c r="F1738" s="701"/>
      <c r="G1738" s="226" t="s">
        <v>129</v>
      </c>
      <c r="H1738" s="226">
        <v>2</v>
      </c>
      <c r="I1738" s="226">
        <v>32.76</v>
      </c>
      <c r="L1738" s="226">
        <v>65.52</v>
      </c>
    </row>
    <row r="1739" spans="1:12" ht="10.5" customHeight="1" x14ac:dyDescent="0.3">
      <c r="A1739" s="156" t="s">
        <v>1176</v>
      </c>
      <c r="B1739" s="227" t="s">
        <v>1141</v>
      </c>
      <c r="C1739" s="226" t="s">
        <v>1195</v>
      </c>
      <c r="D1739" s="701" t="s">
        <v>1160</v>
      </c>
      <c r="E1739" s="701"/>
      <c r="F1739" s="701"/>
      <c r="G1739" s="226" t="s">
        <v>129</v>
      </c>
      <c r="H1739" s="226">
        <v>2</v>
      </c>
      <c r="I1739" s="226">
        <v>36.520000000000003</v>
      </c>
      <c r="L1739" s="226">
        <v>73.040000000000006</v>
      </c>
    </row>
    <row r="1740" spans="1:12" ht="10.5" customHeight="1" x14ac:dyDescent="0.3">
      <c r="A1740" s="156" t="s">
        <v>1178</v>
      </c>
      <c r="B1740" s="227" t="s">
        <v>1143</v>
      </c>
      <c r="C1740" s="226" t="s">
        <v>1195</v>
      </c>
      <c r="D1740" s="701" t="s">
        <v>1160</v>
      </c>
      <c r="E1740" s="701"/>
      <c r="F1740" s="701"/>
      <c r="G1740" s="226" t="s">
        <v>129</v>
      </c>
      <c r="H1740" s="226">
        <v>2</v>
      </c>
      <c r="I1740" s="226">
        <v>11.29</v>
      </c>
      <c r="L1740" s="226">
        <v>22.58</v>
      </c>
    </row>
    <row r="1741" spans="1:12" ht="10.5" customHeight="1" x14ac:dyDescent="0.3">
      <c r="A1741" s="156" t="s">
        <v>1180</v>
      </c>
      <c r="B1741" s="227" t="s">
        <v>1145</v>
      </c>
      <c r="C1741" s="226" t="s">
        <v>1195</v>
      </c>
      <c r="D1741" s="701" t="s">
        <v>1160</v>
      </c>
      <c r="E1741" s="701"/>
      <c r="F1741" s="701"/>
      <c r="G1741" s="226" t="s">
        <v>129</v>
      </c>
      <c r="H1741" s="226">
        <v>2</v>
      </c>
      <c r="I1741" s="226">
        <v>27.05</v>
      </c>
      <c r="L1741" s="226">
        <v>54.1</v>
      </c>
    </row>
    <row r="1742" spans="1:12" ht="10.5" customHeight="1" x14ac:dyDescent="0.3">
      <c r="A1742" s="156" t="s">
        <v>1182</v>
      </c>
      <c r="B1742" s="227" t="s">
        <v>1147</v>
      </c>
      <c r="C1742" s="226" t="s">
        <v>1195</v>
      </c>
      <c r="D1742" s="701" t="s">
        <v>1160</v>
      </c>
      <c r="E1742" s="701"/>
      <c r="F1742" s="701"/>
      <c r="G1742" s="226" t="s">
        <v>129</v>
      </c>
      <c r="H1742" s="226">
        <v>2</v>
      </c>
      <c r="I1742" s="226">
        <v>94.210000000000008</v>
      </c>
      <c r="L1742" s="226">
        <v>188.42000000000002</v>
      </c>
    </row>
    <row r="1743" spans="1:12" ht="10.5" customHeight="1" x14ac:dyDescent="0.3">
      <c r="A1743" s="156" t="s">
        <v>1184</v>
      </c>
      <c r="B1743" s="227" t="s">
        <v>1149</v>
      </c>
      <c r="C1743" s="226" t="s">
        <v>1195</v>
      </c>
      <c r="D1743" s="701" t="s">
        <v>1160</v>
      </c>
      <c r="E1743" s="701"/>
      <c r="F1743" s="701"/>
      <c r="G1743" s="226" t="s">
        <v>129</v>
      </c>
      <c r="H1743" s="226">
        <v>2</v>
      </c>
      <c r="I1743" s="226">
        <v>85.78</v>
      </c>
      <c r="L1743" s="226">
        <v>171.56</v>
      </c>
    </row>
    <row r="1744" spans="1:12" ht="10.5" customHeight="1" x14ac:dyDescent="0.3">
      <c r="A1744" s="156" t="s">
        <v>1186</v>
      </c>
      <c r="B1744" s="227" t="s">
        <v>1151</v>
      </c>
      <c r="C1744" s="226" t="s">
        <v>1195</v>
      </c>
      <c r="D1744" s="701" t="s">
        <v>1160</v>
      </c>
      <c r="E1744" s="701"/>
      <c r="F1744" s="701"/>
      <c r="G1744" s="226" t="s">
        <v>129</v>
      </c>
      <c r="H1744" s="226">
        <v>2</v>
      </c>
      <c r="I1744" s="226">
        <v>80.75</v>
      </c>
      <c r="L1744" s="226">
        <v>161.5</v>
      </c>
    </row>
    <row r="1745" spans="1:12" ht="10.5" customHeight="1" x14ac:dyDescent="0.3">
      <c r="A1745" s="156" t="s">
        <v>1188</v>
      </c>
      <c r="B1745" s="227" t="s">
        <v>1153</v>
      </c>
      <c r="C1745" s="226" t="s">
        <v>1195</v>
      </c>
      <c r="D1745" s="701" t="s">
        <v>1160</v>
      </c>
      <c r="E1745" s="701"/>
      <c r="F1745" s="701"/>
      <c r="G1745" s="226" t="s">
        <v>129</v>
      </c>
      <c r="H1745" s="226">
        <v>2</v>
      </c>
      <c r="I1745" s="226">
        <v>79.25</v>
      </c>
      <c r="L1745" s="226">
        <v>158.5</v>
      </c>
    </row>
    <row r="1746" spans="1:12" ht="10.5" customHeight="1" x14ac:dyDescent="0.3">
      <c r="A1746" s="156" t="s">
        <v>1190</v>
      </c>
      <c r="B1746" s="227" t="s">
        <v>1155</v>
      </c>
      <c r="C1746" s="226" t="s">
        <v>1195</v>
      </c>
      <c r="D1746" s="701" t="s">
        <v>1160</v>
      </c>
      <c r="E1746" s="701"/>
      <c r="F1746" s="701"/>
      <c r="G1746" s="226" t="s">
        <v>129</v>
      </c>
      <c r="H1746" s="226">
        <v>2</v>
      </c>
      <c r="I1746" s="226">
        <v>78.599999999999994</v>
      </c>
      <c r="L1746" s="226">
        <v>157.19999999999999</v>
      </c>
    </row>
    <row r="1747" spans="1:12" ht="10.5" customHeight="1" x14ac:dyDescent="0.3">
      <c r="A1747" s="156" t="s">
        <v>1192</v>
      </c>
      <c r="B1747" s="227" t="s">
        <v>1157</v>
      </c>
      <c r="C1747" s="226" t="s">
        <v>1195</v>
      </c>
      <c r="D1747" s="701" t="s">
        <v>1160</v>
      </c>
      <c r="E1747" s="701"/>
      <c r="F1747" s="701"/>
      <c r="G1747" s="226" t="s">
        <v>129</v>
      </c>
      <c r="H1747" s="226">
        <v>2</v>
      </c>
      <c r="I1747" s="226">
        <v>79.599999999999994</v>
      </c>
      <c r="L1747" s="226">
        <v>159.19999999999999</v>
      </c>
    </row>
    <row r="1748" spans="1:12" ht="10.5" customHeight="1" x14ac:dyDescent="0.3">
      <c r="A1748" s="156" t="s">
        <v>199</v>
      </c>
      <c r="B1748" s="227" t="s">
        <v>599</v>
      </c>
      <c r="C1748" s="226" t="s">
        <v>199</v>
      </c>
      <c r="D1748" s="701" t="s">
        <v>599</v>
      </c>
      <c r="E1748" s="701"/>
      <c r="F1748" s="701"/>
      <c r="G1748" s="226" t="s">
        <v>129</v>
      </c>
      <c r="H1748" s="226">
        <v>520</v>
      </c>
      <c r="I1748" s="226">
        <v>3</v>
      </c>
      <c r="L1748" s="226">
        <v>1560</v>
      </c>
    </row>
    <row r="1749" spans="1:12" ht="10.5" customHeight="1" x14ac:dyDescent="0.3">
      <c r="A1749" s="156"/>
      <c r="J1749" s="701" t="s">
        <v>203</v>
      </c>
      <c r="K1749" s="701"/>
      <c r="L1749" s="226">
        <v>15130.629999999994</v>
      </c>
    </row>
    <row r="1750" spans="1:12" ht="10.5" customHeight="1" x14ac:dyDescent="0.3">
      <c r="A1750" s="156"/>
    </row>
    <row r="1751" spans="1:12" ht="17.100000000000001" customHeight="1" x14ac:dyDescent="0.3">
      <c r="A1751" s="226" t="s">
        <v>11</v>
      </c>
      <c r="B1751" s="226" t="s">
        <v>267</v>
      </c>
      <c r="C1751" s="701" t="s">
        <v>35</v>
      </c>
      <c r="D1751" s="701"/>
      <c r="E1751" s="702" t="s">
        <v>275</v>
      </c>
      <c r="F1751" s="702"/>
      <c r="G1751" s="702"/>
      <c r="H1751" s="702"/>
      <c r="I1751" s="226" t="s">
        <v>105</v>
      </c>
      <c r="J1751" s="226" t="s">
        <v>124</v>
      </c>
      <c r="K1751" s="226" t="s">
        <v>13</v>
      </c>
      <c r="L1751" s="231">
        <v>4237</v>
      </c>
    </row>
    <row r="1752" spans="1:12" ht="10.5" customHeight="1" x14ac:dyDescent="0.3"/>
    <row r="1753" spans="1:12" ht="10.5" customHeight="1" x14ac:dyDescent="0.3">
      <c r="A1753" s="234" t="s">
        <v>201</v>
      </c>
      <c r="B1753" s="234" t="s">
        <v>200</v>
      </c>
      <c r="C1753" s="234" t="s">
        <v>200</v>
      </c>
      <c r="D1753" s="703" t="s">
        <v>193</v>
      </c>
      <c r="E1753" s="703"/>
      <c r="F1753" s="703"/>
      <c r="G1753" s="234" t="s">
        <v>12</v>
      </c>
      <c r="H1753" s="234" t="s">
        <v>194</v>
      </c>
      <c r="I1753" s="234" t="s">
        <v>196</v>
      </c>
      <c r="J1753" s="234" t="s">
        <v>195</v>
      </c>
      <c r="K1753" s="234" t="s">
        <v>197</v>
      </c>
      <c r="L1753" s="234" t="s">
        <v>198</v>
      </c>
    </row>
    <row r="1754" spans="1:12" ht="10.5" customHeight="1" x14ac:dyDescent="0.3">
      <c r="A1754" s="226" t="s">
        <v>199</v>
      </c>
      <c r="B1754" s="226" t="s">
        <v>441</v>
      </c>
      <c r="C1754" s="226"/>
      <c r="D1754" s="701" t="s">
        <v>599</v>
      </c>
      <c r="E1754" s="701"/>
      <c r="F1754" s="701"/>
      <c r="G1754" s="226" t="s">
        <v>124</v>
      </c>
      <c r="H1754" s="226">
        <v>1</v>
      </c>
      <c r="I1754" s="226">
        <v>15130.629999999994</v>
      </c>
      <c r="J1754" s="226">
        <v>1.4</v>
      </c>
      <c r="K1754" s="226">
        <v>0.2</v>
      </c>
      <c r="L1754" s="226">
        <v>4236.5763999999981</v>
      </c>
    </row>
    <row r="1755" spans="1:12" ht="10.5" customHeight="1" x14ac:dyDescent="0.3">
      <c r="J1755" s="701" t="s">
        <v>203</v>
      </c>
      <c r="K1755" s="701"/>
      <c r="L1755" s="226">
        <v>4236.5763999999981</v>
      </c>
    </row>
    <row r="1756" spans="1:12" ht="10.5" customHeight="1" x14ac:dyDescent="0.3"/>
    <row r="1757" spans="1:12" ht="17.25" customHeight="1" x14ac:dyDescent="0.3">
      <c r="A1757" s="226" t="s">
        <v>11</v>
      </c>
      <c r="B1757" s="226" t="s">
        <v>268</v>
      </c>
      <c r="C1757" s="701" t="s">
        <v>35</v>
      </c>
      <c r="D1757" s="701"/>
      <c r="E1757" s="702" t="s">
        <v>989</v>
      </c>
      <c r="F1757" s="702"/>
      <c r="G1757" s="702"/>
      <c r="H1757" s="702"/>
      <c r="I1757" s="226" t="s">
        <v>105</v>
      </c>
      <c r="J1757" s="226" t="s">
        <v>26</v>
      </c>
      <c r="K1757" s="226" t="s">
        <v>13</v>
      </c>
      <c r="L1757" s="231">
        <v>18157</v>
      </c>
    </row>
    <row r="1758" spans="1:12" ht="10.5" customHeight="1" x14ac:dyDescent="0.3"/>
    <row r="1759" spans="1:12" ht="10.5" customHeight="1" x14ac:dyDescent="0.3">
      <c r="A1759" s="234" t="s">
        <v>201</v>
      </c>
      <c r="B1759" s="234" t="s">
        <v>200</v>
      </c>
      <c r="C1759" s="234" t="s">
        <v>200</v>
      </c>
      <c r="D1759" s="703" t="s">
        <v>193</v>
      </c>
      <c r="E1759" s="703"/>
      <c r="F1759" s="703"/>
      <c r="G1759" s="234" t="s">
        <v>12</v>
      </c>
      <c r="H1759" s="234" t="s">
        <v>194</v>
      </c>
      <c r="I1759" s="234" t="s">
        <v>196</v>
      </c>
      <c r="J1759" s="234" t="s">
        <v>195</v>
      </c>
      <c r="K1759" s="234" t="s">
        <v>197</v>
      </c>
      <c r="L1759" s="234" t="s">
        <v>198</v>
      </c>
    </row>
    <row r="1760" spans="1:12" ht="10.5" customHeight="1" x14ac:dyDescent="0.3">
      <c r="A1760" s="226" t="s">
        <v>199</v>
      </c>
      <c r="B1760" s="226" t="s">
        <v>441</v>
      </c>
      <c r="C1760" s="226"/>
      <c r="D1760" s="701" t="s">
        <v>599</v>
      </c>
      <c r="E1760" s="701"/>
      <c r="F1760" s="701"/>
      <c r="G1760" s="226" t="s">
        <v>26</v>
      </c>
      <c r="H1760" s="226">
        <v>1</v>
      </c>
      <c r="I1760" s="226">
        <v>15130.629999999994</v>
      </c>
      <c r="J1760" s="226">
        <v>1.2</v>
      </c>
      <c r="L1760" s="226">
        <v>18156.75599999999</v>
      </c>
    </row>
    <row r="1761" spans="1:12" ht="10.5" customHeight="1" x14ac:dyDescent="0.3">
      <c r="J1761" s="701" t="s">
        <v>203</v>
      </c>
      <c r="K1761" s="701"/>
      <c r="L1761" s="226">
        <v>18156.75599999999</v>
      </c>
    </row>
    <row r="1762" spans="1:12" ht="10.5" customHeight="1" x14ac:dyDescent="0.3"/>
    <row r="1763" spans="1:12" ht="21" customHeight="1" x14ac:dyDescent="0.3">
      <c r="A1763" s="226" t="s">
        <v>11</v>
      </c>
      <c r="B1763" s="226" t="s">
        <v>269</v>
      </c>
      <c r="C1763" s="701" t="s">
        <v>35</v>
      </c>
      <c r="D1763" s="701"/>
      <c r="E1763" s="702" t="s">
        <v>490</v>
      </c>
      <c r="F1763" s="702"/>
      <c r="G1763" s="702"/>
      <c r="H1763" s="702"/>
      <c r="I1763" s="226" t="s">
        <v>105</v>
      </c>
      <c r="J1763" s="226" t="s">
        <v>26</v>
      </c>
      <c r="K1763" s="226" t="s">
        <v>13</v>
      </c>
      <c r="L1763" s="231">
        <v>540</v>
      </c>
    </row>
    <row r="1764" spans="1:12" ht="10.5" customHeight="1" x14ac:dyDescent="0.3"/>
    <row r="1765" spans="1:12" ht="10.5" customHeight="1" x14ac:dyDescent="0.3">
      <c r="A1765" s="234" t="s">
        <v>201</v>
      </c>
      <c r="B1765" s="234" t="s">
        <v>200</v>
      </c>
      <c r="C1765" s="235" t="s">
        <v>200</v>
      </c>
      <c r="D1765" s="235" t="s">
        <v>193</v>
      </c>
      <c r="E1765" s="235"/>
      <c r="F1765" s="235"/>
      <c r="G1765" s="234" t="s">
        <v>12</v>
      </c>
      <c r="H1765" s="234" t="s">
        <v>194</v>
      </c>
      <c r="I1765" s="234" t="s">
        <v>196</v>
      </c>
      <c r="J1765" s="234" t="s">
        <v>195</v>
      </c>
      <c r="K1765" s="234" t="s">
        <v>197</v>
      </c>
      <c r="L1765" s="234" t="s">
        <v>198</v>
      </c>
    </row>
    <row r="1766" spans="1:12" ht="12" customHeight="1" x14ac:dyDescent="0.3">
      <c r="A1766" s="156" t="s">
        <v>597</v>
      </c>
      <c r="B1766" s="227" t="s">
        <v>673</v>
      </c>
      <c r="C1766" s="226" t="s">
        <v>662</v>
      </c>
      <c r="D1766" s="701" t="s">
        <v>685</v>
      </c>
      <c r="E1766" s="701"/>
      <c r="F1766" s="701"/>
      <c r="G1766" s="226" t="s">
        <v>26</v>
      </c>
      <c r="H1766" s="226">
        <v>1</v>
      </c>
      <c r="I1766" s="226">
        <v>6</v>
      </c>
      <c r="J1766" s="226">
        <v>3</v>
      </c>
      <c r="K1766" s="226">
        <v>0</v>
      </c>
      <c r="L1766" s="226">
        <v>18</v>
      </c>
    </row>
    <row r="1767" spans="1:12" ht="12" customHeight="1" x14ac:dyDescent="0.3">
      <c r="A1767" s="156" t="s">
        <v>598</v>
      </c>
      <c r="B1767" s="227" t="s">
        <v>674</v>
      </c>
      <c r="C1767" s="226" t="s">
        <v>662</v>
      </c>
      <c r="D1767" s="701" t="s">
        <v>685</v>
      </c>
      <c r="E1767" s="701"/>
      <c r="F1767" s="701"/>
      <c r="G1767" s="226" t="s">
        <v>26</v>
      </c>
      <c r="H1767" s="226">
        <v>1</v>
      </c>
      <c r="I1767" s="226">
        <v>6</v>
      </c>
      <c r="J1767" s="226">
        <v>3</v>
      </c>
      <c r="K1767" s="226">
        <v>0</v>
      </c>
      <c r="L1767" s="226">
        <v>18</v>
      </c>
    </row>
    <row r="1768" spans="1:12" ht="12" customHeight="1" x14ac:dyDescent="0.3">
      <c r="A1768" s="156" t="s">
        <v>601</v>
      </c>
      <c r="B1768" s="227" t="s">
        <v>677</v>
      </c>
      <c r="C1768" s="226" t="s">
        <v>662</v>
      </c>
      <c r="D1768" s="701" t="s">
        <v>685</v>
      </c>
      <c r="E1768" s="701"/>
      <c r="F1768" s="701"/>
      <c r="G1768" s="226" t="s">
        <v>26</v>
      </c>
      <c r="H1768" s="226">
        <v>1</v>
      </c>
      <c r="I1768" s="226">
        <v>6</v>
      </c>
      <c r="J1768" s="226">
        <v>3</v>
      </c>
      <c r="K1768" s="226">
        <v>0</v>
      </c>
      <c r="L1768" s="226">
        <v>18</v>
      </c>
    </row>
    <row r="1769" spans="1:12" ht="12" customHeight="1" x14ac:dyDescent="0.3">
      <c r="A1769" s="156" t="s">
        <v>602</v>
      </c>
      <c r="B1769" s="227" t="s">
        <v>681</v>
      </c>
      <c r="C1769" s="226" t="s">
        <v>662</v>
      </c>
      <c r="D1769" s="701" t="s">
        <v>685</v>
      </c>
      <c r="E1769" s="701"/>
      <c r="F1769" s="701"/>
      <c r="G1769" s="226" t="s">
        <v>26</v>
      </c>
      <c r="H1769" s="226">
        <v>1</v>
      </c>
      <c r="I1769" s="226">
        <v>6</v>
      </c>
      <c r="J1769" s="226">
        <v>3</v>
      </c>
      <c r="K1769" s="226">
        <v>0</v>
      </c>
      <c r="L1769" s="226">
        <v>18</v>
      </c>
    </row>
    <row r="1770" spans="1:12" ht="12" customHeight="1" x14ac:dyDescent="0.3">
      <c r="A1770" s="156" t="s">
        <v>635</v>
      </c>
      <c r="B1770" s="227" t="s">
        <v>1111</v>
      </c>
      <c r="C1770" s="226" t="s">
        <v>662</v>
      </c>
      <c r="D1770" s="701" t="s">
        <v>685</v>
      </c>
      <c r="E1770" s="701"/>
      <c r="F1770" s="701"/>
      <c r="G1770" s="226" t="s">
        <v>26</v>
      </c>
      <c r="H1770" s="226">
        <v>1</v>
      </c>
      <c r="I1770" s="226">
        <v>6</v>
      </c>
      <c r="J1770" s="226">
        <v>3</v>
      </c>
      <c r="K1770" s="226">
        <v>0</v>
      </c>
      <c r="L1770" s="226">
        <v>18</v>
      </c>
    </row>
    <row r="1771" spans="1:12" ht="10.5" customHeight="1" x14ac:dyDescent="0.3">
      <c r="A1771" s="156" t="s">
        <v>636</v>
      </c>
      <c r="B1771" s="227" t="s">
        <v>710</v>
      </c>
      <c r="C1771" s="226" t="s">
        <v>666</v>
      </c>
      <c r="D1771" s="701" t="s">
        <v>729</v>
      </c>
      <c r="E1771" s="701"/>
      <c r="F1771" s="701"/>
      <c r="G1771" s="226" t="s">
        <v>26</v>
      </c>
      <c r="H1771" s="226">
        <v>1</v>
      </c>
      <c r="I1771" s="226">
        <v>6</v>
      </c>
      <c r="J1771" s="226">
        <v>3</v>
      </c>
      <c r="K1771" s="226">
        <v>0</v>
      </c>
      <c r="L1771" s="226">
        <v>18</v>
      </c>
    </row>
    <row r="1772" spans="1:12" ht="10.5" customHeight="1" x14ac:dyDescent="0.3">
      <c r="A1772" s="156" t="s">
        <v>637</v>
      </c>
      <c r="B1772" s="227" t="s">
        <v>709</v>
      </c>
      <c r="C1772" s="226" t="s">
        <v>666</v>
      </c>
      <c r="D1772" s="701" t="s">
        <v>729</v>
      </c>
      <c r="E1772" s="701"/>
      <c r="F1772" s="701"/>
      <c r="G1772" s="226" t="s">
        <v>26</v>
      </c>
      <c r="H1772" s="226">
        <v>1</v>
      </c>
      <c r="I1772" s="226">
        <v>6</v>
      </c>
      <c r="J1772" s="226">
        <v>3</v>
      </c>
      <c r="K1772" s="226">
        <v>0</v>
      </c>
      <c r="L1772" s="226">
        <v>18</v>
      </c>
    </row>
    <row r="1773" spans="1:12" ht="10.5" customHeight="1" x14ac:dyDescent="0.3">
      <c r="A1773" s="156" t="s">
        <v>663</v>
      </c>
      <c r="B1773" s="227" t="s">
        <v>711</v>
      </c>
      <c r="C1773" s="226" t="s">
        <v>666</v>
      </c>
      <c r="D1773" s="701" t="s">
        <v>729</v>
      </c>
      <c r="E1773" s="701"/>
      <c r="F1773" s="701"/>
      <c r="G1773" s="226" t="s">
        <v>26</v>
      </c>
      <c r="H1773" s="226">
        <v>1</v>
      </c>
      <c r="I1773" s="226">
        <v>6</v>
      </c>
      <c r="J1773" s="226">
        <v>3</v>
      </c>
      <c r="K1773" s="226">
        <v>0</v>
      </c>
      <c r="L1773" s="226">
        <v>18</v>
      </c>
    </row>
    <row r="1774" spans="1:12" ht="10.5" customHeight="1" x14ac:dyDescent="0.3">
      <c r="A1774" s="156" t="s">
        <v>664</v>
      </c>
      <c r="B1774" s="227" t="s">
        <v>715</v>
      </c>
      <c r="C1774" s="226" t="s">
        <v>666</v>
      </c>
      <c r="D1774" s="701" t="s">
        <v>729</v>
      </c>
      <c r="E1774" s="701"/>
      <c r="F1774" s="701"/>
      <c r="G1774" s="226" t="s">
        <v>26</v>
      </c>
      <c r="H1774" s="226">
        <v>1</v>
      </c>
      <c r="I1774" s="226">
        <v>6</v>
      </c>
      <c r="J1774" s="226">
        <v>3</v>
      </c>
      <c r="K1774" s="226">
        <v>0</v>
      </c>
      <c r="L1774" s="226">
        <v>18</v>
      </c>
    </row>
    <row r="1775" spans="1:12" ht="10.5" customHeight="1" x14ac:dyDescent="0.3">
      <c r="A1775" s="156" t="s">
        <v>665</v>
      </c>
      <c r="B1775" s="227" t="s">
        <v>1112</v>
      </c>
      <c r="C1775" s="226" t="s">
        <v>666</v>
      </c>
      <c r="D1775" s="701" t="s">
        <v>729</v>
      </c>
      <c r="E1775" s="701"/>
      <c r="F1775" s="701"/>
      <c r="G1775" s="226" t="s">
        <v>26</v>
      </c>
      <c r="H1775" s="226">
        <v>1</v>
      </c>
      <c r="I1775" s="226">
        <v>6</v>
      </c>
      <c r="J1775" s="226">
        <v>3</v>
      </c>
      <c r="K1775" s="226">
        <v>0</v>
      </c>
      <c r="L1775" s="226">
        <v>18</v>
      </c>
    </row>
    <row r="1776" spans="1:12" ht="10.5" customHeight="1" x14ac:dyDescent="0.3">
      <c r="A1776" s="156" t="s">
        <v>667</v>
      </c>
      <c r="B1776" s="227" t="s">
        <v>728</v>
      </c>
      <c r="C1776" s="226" t="s">
        <v>666</v>
      </c>
      <c r="D1776" s="701" t="s">
        <v>729</v>
      </c>
      <c r="E1776" s="701"/>
      <c r="F1776" s="701"/>
      <c r="G1776" s="226" t="s">
        <v>26</v>
      </c>
      <c r="H1776" s="226">
        <v>1</v>
      </c>
      <c r="I1776" s="226">
        <v>6</v>
      </c>
      <c r="J1776" s="226">
        <v>3</v>
      </c>
      <c r="K1776" s="226">
        <v>0</v>
      </c>
      <c r="L1776" s="226">
        <v>18</v>
      </c>
    </row>
    <row r="1777" spans="1:12" ht="10.5" customHeight="1" x14ac:dyDescent="0.3">
      <c r="A1777" s="156" t="s">
        <v>668</v>
      </c>
      <c r="B1777" s="227" t="s">
        <v>838</v>
      </c>
      <c r="C1777" s="226" t="s">
        <v>683</v>
      </c>
      <c r="D1777" s="701" t="s">
        <v>855</v>
      </c>
      <c r="E1777" s="701"/>
      <c r="F1777" s="701"/>
      <c r="G1777" s="226" t="s">
        <v>26</v>
      </c>
      <c r="H1777" s="226">
        <v>1</v>
      </c>
      <c r="I1777" s="226">
        <v>6</v>
      </c>
      <c r="J1777" s="226">
        <v>3</v>
      </c>
      <c r="K1777" s="226">
        <v>0</v>
      </c>
      <c r="L1777" s="226">
        <v>18</v>
      </c>
    </row>
    <row r="1778" spans="1:12" ht="10.5" customHeight="1" x14ac:dyDescent="0.3">
      <c r="A1778" s="156" t="s">
        <v>669</v>
      </c>
      <c r="B1778" s="227" t="s">
        <v>840</v>
      </c>
      <c r="C1778" s="226" t="s">
        <v>683</v>
      </c>
      <c r="D1778" s="701" t="s">
        <v>855</v>
      </c>
      <c r="E1778" s="701"/>
      <c r="F1778" s="701"/>
      <c r="G1778" s="226" t="s">
        <v>26</v>
      </c>
      <c r="H1778" s="226">
        <v>1</v>
      </c>
      <c r="I1778" s="226">
        <v>6</v>
      </c>
      <c r="J1778" s="226">
        <v>3</v>
      </c>
      <c r="K1778" s="226">
        <v>0</v>
      </c>
      <c r="L1778" s="226">
        <v>18</v>
      </c>
    </row>
    <row r="1779" spans="1:12" ht="10.5" customHeight="1" x14ac:dyDescent="0.3">
      <c r="A1779" s="156" t="s">
        <v>670</v>
      </c>
      <c r="B1779" s="227" t="s">
        <v>842</v>
      </c>
      <c r="C1779" s="226" t="s">
        <v>683</v>
      </c>
      <c r="D1779" s="701" t="s">
        <v>855</v>
      </c>
      <c r="E1779" s="701"/>
      <c r="F1779" s="701"/>
      <c r="G1779" s="226" t="s">
        <v>26</v>
      </c>
      <c r="H1779" s="226">
        <v>1</v>
      </c>
      <c r="I1779" s="226">
        <v>6</v>
      </c>
      <c r="J1779" s="226">
        <v>3</v>
      </c>
      <c r="K1779" s="226">
        <v>0</v>
      </c>
      <c r="L1779" s="226">
        <v>18</v>
      </c>
    </row>
    <row r="1780" spans="1:12" ht="10.5" customHeight="1" x14ac:dyDescent="0.3">
      <c r="A1780" s="156" t="s">
        <v>671</v>
      </c>
      <c r="B1780" s="227" t="s">
        <v>914</v>
      </c>
      <c r="C1780" s="226" t="s">
        <v>683</v>
      </c>
      <c r="D1780" s="701" t="s">
        <v>855</v>
      </c>
      <c r="E1780" s="701"/>
      <c r="F1780" s="701"/>
      <c r="G1780" s="226" t="s">
        <v>26</v>
      </c>
      <c r="H1780" s="226">
        <v>1</v>
      </c>
      <c r="I1780" s="226">
        <v>6</v>
      </c>
      <c r="J1780" s="226">
        <v>3</v>
      </c>
      <c r="K1780" s="226">
        <v>0</v>
      </c>
      <c r="L1780" s="226">
        <v>18</v>
      </c>
    </row>
    <row r="1781" spans="1:12" ht="10.5" customHeight="1" x14ac:dyDescent="0.3">
      <c r="A1781" s="156" t="s">
        <v>680</v>
      </c>
      <c r="B1781" s="227" t="s">
        <v>1048</v>
      </c>
      <c r="C1781" s="226" t="s">
        <v>683</v>
      </c>
      <c r="D1781" s="701" t="s">
        <v>855</v>
      </c>
      <c r="E1781" s="701"/>
      <c r="F1781" s="701"/>
      <c r="G1781" s="226" t="s">
        <v>26</v>
      </c>
      <c r="H1781" s="226">
        <v>1</v>
      </c>
      <c r="I1781" s="226">
        <v>6</v>
      </c>
      <c r="J1781" s="226">
        <v>3</v>
      </c>
      <c r="K1781" s="226">
        <v>0</v>
      </c>
      <c r="L1781" s="226">
        <v>18</v>
      </c>
    </row>
    <row r="1782" spans="1:12" ht="10.5" customHeight="1" x14ac:dyDescent="0.3">
      <c r="A1782" s="156" t="s">
        <v>716</v>
      </c>
      <c r="B1782" s="227" t="s">
        <v>848</v>
      </c>
      <c r="C1782" s="226" t="s">
        <v>683</v>
      </c>
      <c r="D1782" s="701" t="s">
        <v>855</v>
      </c>
      <c r="E1782" s="701"/>
      <c r="F1782" s="701"/>
      <c r="G1782" s="226" t="s">
        <v>26</v>
      </c>
      <c r="H1782" s="226">
        <v>1</v>
      </c>
      <c r="I1782" s="226">
        <v>6</v>
      </c>
      <c r="J1782" s="226">
        <v>3</v>
      </c>
      <c r="K1782" s="226">
        <v>0</v>
      </c>
      <c r="L1782" s="226">
        <v>18</v>
      </c>
    </row>
    <row r="1783" spans="1:12" ht="10.5" customHeight="1" x14ac:dyDescent="0.3">
      <c r="A1783" s="156" t="s">
        <v>717</v>
      </c>
      <c r="B1783" s="227" t="s">
        <v>1113</v>
      </c>
      <c r="C1783" s="226" t="s">
        <v>683</v>
      </c>
      <c r="D1783" s="701" t="s">
        <v>855</v>
      </c>
      <c r="E1783" s="701"/>
      <c r="F1783" s="701"/>
      <c r="G1783" s="226" t="s">
        <v>26</v>
      </c>
      <c r="H1783" s="226">
        <v>1</v>
      </c>
      <c r="I1783" s="226">
        <v>6</v>
      </c>
      <c r="J1783" s="226">
        <v>3</v>
      </c>
      <c r="K1783" s="226">
        <v>0</v>
      </c>
      <c r="L1783" s="226">
        <v>18</v>
      </c>
    </row>
    <row r="1784" spans="1:12" ht="10.5" customHeight="1" x14ac:dyDescent="0.3">
      <c r="A1784" s="156" t="s">
        <v>718</v>
      </c>
      <c r="B1784" s="227" t="s">
        <v>1116</v>
      </c>
      <c r="C1784" s="226" t="s">
        <v>683</v>
      </c>
      <c r="D1784" s="701" t="s">
        <v>855</v>
      </c>
      <c r="E1784" s="701"/>
      <c r="F1784" s="701"/>
      <c r="G1784" s="226" t="s">
        <v>26</v>
      </c>
      <c r="H1784" s="226">
        <v>1</v>
      </c>
      <c r="I1784" s="226">
        <v>6</v>
      </c>
      <c r="J1784" s="226">
        <v>3</v>
      </c>
      <c r="K1784" s="226">
        <v>0</v>
      </c>
      <c r="L1784" s="226">
        <v>18</v>
      </c>
    </row>
    <row r="1785" spans="1:12" ht="10.5" customHeight="1" x14ac:dyDescent="0.3">
      <c r="A1785" s="156" t="s">
        <v>719</v>
      </c>
      <c r="B1785" s="227" t="s">
        <v>739</v>
      </c>
      <c r="C1785" s="226" t="s">
        <v>684</v>
      </c>
      <c r="D1785" s="701" t="s">
        <v>738</v>
      </c>
      <c r="E1785" s="701"/>
      <c r="F1785" s="701"/>
      <c r="G1785" s="226" t="s">
        <v>26</v>
      </c>
      <c r="H1785" s="226">
        <v>1</v>
      </c>
      <c r="I1785" s="226">
        <v>6</v>
      </c>
      <c r="J1785" s="226">
        <v>3</v>
      </c>
      <c r="K1785" s="226">
        <v>0</v>
      </c>
      <c r="L1785" s="226">
        <v>18</v>
      </c>
    </row>
    <row r="1786" spans="1:12" ht="10.5" customHeight="1" x14ac:dyDescent="0.3">
      <c r="A1786" s="156" t="s">
        <v>720</v>
      </c>
      <c r="B1786" s="227" t="s">
        <v>782</v>
      </c>
      <c r="C1786" s="226" t="s">
        <v>684</v>
      </c>
      <c r="D1786" s="701" t="s">
        <v>738</v>
      </c>
      <c r="E1786" s="701"/>
      <c r="F1786" s="701"/>
      <c r="G1786" s="226" t="s">
        <v>26</v>
      </c>
      <c r="H1786" s="226">
        <v>1</v>
      </c>
      <c r="I1786" s="226">
        <v>6</v>
      </c>
      <c r="J1786" s="226">
        <v>3</v>
      </c>
      <c r="K1786" s="226">
        <v>0</v>
      </c>
      <c r="L1786" s="226">
        <v>18</v>
      </c>
    </row>
    <row r="1787" spans="1:12" ht="10.5" customHeight="1" x14ac:dyDescent="0.3">
      <c r="A1787" s="156" t="s">
        <v>721</v>
      </c>
      <c r="B1787" s="227" t="s">
        <v>784</v>
      </c>
      <c r="C1787" s="226" t="s">
        <v>684</v>
      </c>
      <c r="D1787" s="701" t="s">
        <v>738</v>
      </c>
      <c r="E1787" s="701"/>
      <c r="F1787" s="701"/>
      <c r="G1787" s="226" t="s">
        <v>26</v>
      </c>
      <c r="H1787" s="226">
        <v>1</v>
      </c>
      <c r="I1787" s="226">
        <v>6</v>
      </c>
      <c r="J1787" s="226">
        <v>3</v>
      </c>
      <c r="K1787" s="226">
        <v>0</v>
      </c>
      <c r="L1787" s="226">
        <v>18</v>
      </c>
    </row>
    <row r="1788" spans="1:12" ht="10.5" customHeight="1" x14ac:dyDescent="0.3">
      <c r="A1788" s="156" t="s">
        <v>723</v>
      </c>
      <c r="B1788" s="227" t="s">
        <v>783</v>
      </c>
      <c r="C1788" s="226" t="s">
        <v>684</v>
      </c>
      <c r="D1788" s="701" t="s">
        <v>738</v>
      </c>
      <c r="E1788" s="701"/>
      <c r="F1788" s="701"/>
      <c r="G1788" s="226" t="s">
        <v>26</v>
      </c>
      <c r="H1788" s="226">
        <v>1</v>
      </c>
      <c r="I1788" s="226">
        <v>6</v>
      </c>
      <c r="J1788" s="226">
        <v>3</v>
      </c>
      <c r="K1788" s="226">
        <v>0</v>
      </c>
      <c r="L1788" s="226">
        <v>18</v>
      </c>
    </row>
    <row r="1789" spans="1:12" ht="10.5" customHeight="1" x14ac:dyDescent="0.3">
      <c r="A1789" s="156" t="s">
        <v>733</v>
      </c>
      <c r="B1789" s="227" t="s">
        <v>804</v>
      </c>
      <c r="C1789" s="226" t="s">
        <v>684</v>
      </c>
      <c r="D1789" s="701" t="s">
        <v>738</v>
      </c>
      <c r="E1789" s="701"/>
      <c r="F1789" s="701"/>
      <c r="G1789" s="226" t="s">
        <v>26</v>
      </c>
      <c r="H1789" s="226">
        <v>1</v>
      </c>
      <c r="I1789" s="226">
        <v>6</v>
      </c>
      <c r="J1789" s="226">
        <v>3</v>
      </c>
      <c r="K1789" s="226">
        <v>0</v>
      </c>
      <c r="L1789" s="226">
        <v>18</v>
      </c>
    </row>
    <row r="1790" spans="1:12" ht="10.5" customHeight="1" x14ac:dyDescent="0.3">
      <c r="A1790" s="156" t="s">
        <v>737</v>
      </c>
      <c r="B1790" s="227" t="s">
        <v>808</v>
      </c>
      <c r="C1790" s="226" t="s">
        <v>684</v>
      </c>
      <c r="D1790" s="701" t="s">
        <v>738</v>
      </c>
      <c r="E1790" s="701"/>
      <c r="F1790" s="701"/>
      <c r="G1790" s="226" t="s">
        <v>26</v>
      </c>
      <c r="H1790" s="226">
        <v>1</v>
      </c>
      <c r="I1790" s="226">
        <v>6</v>
      </c>
      <c r="J1790" s="226">
        <v>3</v>
      </c>
      <c r="K1790" s="226">
        <v>0</v>
      </c>
      <c r="L1790" s="226">
        <v>18</v>
      </c>
    </row>
    <row r="1791" spans="1:12" ht="10.5" customHeight="1" x14ac:dyDescent="0.3">
      <c r="A1791" s="156" t="s">
        <v>777</v>
      </c>
      <c r="B1791" s="227" t="s">
        <v>814</v>
      </c>
      <c r="C1791" s="226" t="s">
        <v>684</v>
      </c>
      <c r="D1791" s="701" t="s">
        <v>738</v>
      </c>
      <c r="E1791" s="701"/>
      <c r="F1791" s="701"/>
      <c r="G1791" s="226" t="s">
        <v>26</v>
      </c>
      <c r="H1791" s="226">
        <v>1</v>
      </c>
      <c r="I1791" s="226">
        <v>6</v>
      </c>
      <c r="J1791" s="226">
        <v>3</v>
      </c>
      <c r="K1791" s="226">
        <v>0</v>
      </c>
      <c r="L1791" s="226">
        <v>18</v>
      </c>
    </row>
    <row r="1792" spans="1:12" ht="10.5" customHeight="1" x14ac:dyDescent="0.3">
      <c r="A1792" s="156" t="s">
        <v>785</v>
      </c>
      <c r="B1792" s="227" t="s">
        <v>820</v>
      </c>
      <c r="C1792" s="226" t="s">
        <v>684</v>
      </c>
      <c r="D1792" s="701" t="s">
        <v>738</v>
      </c>
      <c r="E1792" s="701"/>
      <c r="F1792" s="701"/>
      <c r="G1792" s="226" t="s">
        <v>26</v>
      </c>
      <c r="H1792" s="226">
        <v>1</v>
      </c>
      <c r="I1792" s="226">
        <v>6</v>
      </c>
      <c r="J1792" s="226">
        <v>3</v>
      </c>
      <c r="K1792" s="226">
        <v>0</v>
      </c>
      <c r="L1792" s="226">
        <v>18</v>
      </c>
    </row>
    <row r="1793" spans="1:15" ht="10.5" customHeight="1" x14ac:dyDescent="0.3">
      <c r="A1793" s="156" t="s">
        <v>798</v>
      </c>
      <c r="B1793" s="227" t="s">
        <v>834</v>
      </c>
      <c r="C1793" s="226" t="s">
        <v>684</v>
      </c>
      <c r="D1793" s="701" t="s">
        <v>738</v>
      </c>
      <c r="E1793" s="701"/>
      <c r="F1793" s="701"/>
      <c r="G1793" s="226" t="s">
        <v>26</v>
      </c>
      <c r="H1793" s="226">
        <v>1</v>
      </c>
      <c r="I1793" s="226">
        <v>6</v>
      </c>
      <c r="J1793" s="226">
        <v>3</v>
      </c>
      <c r="K1793" s="226">
        <v>0</v>
      </c>
      <c r="L1793" s="226">
        <v>18</v>
      </c>
    </row>
    <row r="1794" spans="1:15" ht="10.5" customHeight="1" x14ac:dyDescent="0.3">
      <c r="A1794" s="156" t="s">
        <v>799</v>
      </c>
      <c r="B1794" s="227" t="s">
        <v>833</v>
      </c>
      <c r="C1794" s="226" t="s">
        <v>684</v>
      </c>
      <c r="D1794" s="701" t="s">
        <v>738</v>
      </c>
      <c r="E1794" s="701"/>
      <c r="F1794" s="701"/>
      <c r="G1794" s="226" t="s">
        <v>26</v>
      </c>
      <c r="H1794" s="226">
        <v>1</v>
      </c>
      <c r="I1794" s="226">
        <v>6</v>
      </c>
      <c r="J1794" s="226">
        <v>3</v>
      </c>
      <c r="K1794" s="226">
        <v>0</v>
      </c>
      <c r="L1794" s="226">
        <v>18</v>
      </c>
    </row>
    <row r="1795" spans="1:15" ht="10.5" customHeight="1" x14ac:dyDescent="0.3">
      <c r="A1795" s="156" t="s">
        <v>1194</v>
      </c>
      <c r="B1795" s="227" t="s">
        <v>1159</v>
      </c>
      <c r="C1795" s="226" t="s">
        <v>1195</v>
      </c>
      <c r="D1795" s="701" t="s">
        <v>1160</v>
      </c>
      <c r="E1795" s="701"/>
      <c r="F1795" s="701"/>
      <c r="G1795" s="226" t="s">
        <v>26</v>
      </c>
      <c r="H1795" s="226">
        <v>1</v>
      </c>
      <c r="I1795" s="226">
        <v>6</v>
      </c>
      <c r="J1795" s="226">
        <v>3</v>
      </c>
      <c r="K1795" s="226">
        <v>0</v>
      </c>
      <c r="L1795" s="226">
        <v>18</v>
      </c>
    </row>
    <row r="1796" spans="1:15" ht="10.5" customHeight="1" x14ac:dyDescent="0.3">
      <c r="A1796" s="156"/>
      <c r="B1796" s="226"/>
      <c r="J1796" s="701" t="s">
        <v>203</v>
      </c>
      <c r="K1796" s="701"/>
      <c r="L1796" s="226">
        <v>540</v>
      </c>
    </row>
    <row r="1797" spans="1:15" ht="10.5" customHeight="1" x14ac:dyDescent="0.3"/>
    <row r="1798" spans="1:15" ht="26.25" customHeight="1" x14ac:dyDescent="0.3">
      <c r="A1798" s="226" t="s">
        <v>11</v>
      </c>
      <c r="B1798" s="226" t="s">
        <v>270</v>
      </c>
      <c r="C1798" s="701" t="s">
        <v>35</v>
      </c>
      <c r="D1798" s="701"/>
      <c r="E1798" s="702" t="s">
        <v>264</v>
      </c>
      <c r="F1798" s="702"/>
      <c r="G1798" s="702"/>
      <c r="H1798" s="702"/>
      <c r="I1798" s="226" t="s">
        <v>105</v>
      </c>
      <c r="J1798" s="226" t="s">
        <v>182</v>
      </c>
      <c r="K1798" s="226" t="s">
        <v>13</v>
      </c>
      <c r="L1798" s="231">
        <v>124</v>
      </c>
    </row>
    <row r="1799" spans="1:15" ht="10.5" customHeight="1" x14ac:dyDescent="0.3"/>
    <row r="1800" spans="1:15" ht="10.5" customHeight="1" x14ac:dyDescent="0.3">
      <c r="A1800" s="234" t="s">
        <v>201</v>
      </c>
      <c r="B1800" s="234" t="s">
        <v>200</v>
      </c>
      <c r="C1800" s="235" t="s">
        <v>200</v>
      </c>
      <c r="D1800" s="235" t="s">
        <v>193</v>
      </c>
      <c r="E1800" s="235"/>
      <c r="F1800" s="235"/>
      <c r="G1800" s="234" t="s">
        <v>12</v>
      </c>
      <c r="H1800" s="234" t="s">
        <v>194</v>
      </c>
      <c r="I1800" s="234" t="s">
        <v>196</v>
      </c>
      <c r="J1800" s="234" t="s">
        <v>195</v>
      </c>
      <c r="K1800" s="234" t="s">
        <v>197</v>
      </c>
      <c r="L1800" s="234" t="s">
        <v>198</v>
      </c>
    </row>
    <row r="1801" spans="1:15" ht="9.6" customHeight="1" x14ac:dyDescent="0.3">
      <c r="A1801" s="156" t="s">
        <v>597</v>
      </c>
      <c r="B1801" s="227" t="s">
        <v>673</v>
      </c>
      <c r="C1801" s="226" t="s">
        <v>662</v>
      </c>
      <c r="D1801" s="701" t="s">
        <v>685</v>
      </c>
      <c r="E1801" s="701"/>
      <c r="F1801" s="701"/>
      <c r="G1801" s="226" t="s">
        <v>26</v>
      </c>
      <c r="H1801" s="226">
        <v>2</v>
      </c>
      <c r="I1801" s="226">
        <v>2</v>
      </c>
      <c r="J1801" s="226">
        <v>1</v>
      </c>
      <c r="K1801" s="226">
        <v>0</v>
      </c>
      <c r="L1801" s="226">
        <v>4</v>
      </c>
    </row>
    <row r="1802" spans="1:15" ht="9.6" customHeight="1" x14ac:dyDescent="0.3">
      <c r="A1802" s="156" t="s">
        <v>598</v>
      </c>
      <c r="B1802" s="227" t="s">
        <v>674</v>
      </c>
      <c r="C1802" s="226" t="s">
        <v>662</v>
      </c>
      <c r="D1802" s="701" t="s">
        <v>685</v>
      </c>
      <c r="E1802" s="701"/>
      <c r="F1802" s="701"/>
      <c r="G1802" s="226" t="s">
        <v>26</v>
      </c>
      <c r="H1802" s="226">
        <v>2</v>
      </c>
      <c r="I1802" s="226">
        <v>2</v>
      </c>
      <c r="J1802" s="226">
        <v>1</v>
      </c>
      <c r="K1802" s="226">
        <v>0</v>
      </c>
      <c r="L1802" s="226">
        <v>4</v>
      </c>
    </row>
    <row r="1803" spans="1:15" ht="9.6" customHeight="1" x14ac:dyDescent="0.3">
      <c r="A1803" s="156" t="s">
        <v>601</v>
      </c>
      <c r="B1803" s="227" t="s">
        <v>677</v>
      </c>
      <c r="C1803" s="226" t="s">
        <v>662</v>
      </c>
      <c r="D1803" s="701" t="s">
        <v>685</v>
      </c>
      <c r="E1803" s="701"/>
      <c r="F1803" s="701"/>
      <c r="G1803" s="226" t="s">
        <v>26</v>
      </c>
      <c r="H1803" s="226">
        <v>2</v>
      </c>
      <c r="I1803" s="226">
        <v>2</v>
      </c>
      <c r="J1803" s="226">
        <v>1</v>
      </c>
      <c r="K1803" s="226">
        <v>0</v>
      </c>
      <c r="L1803" s="226">
        <v>4</v>
      </c>
    </row>
    <row r="1804" spans="1:15" ht="9.6" customHeight="1" x14ac:dyDescent="0.3">
      <c r="A1804" s="156" t="s">
        <v>602</v>
      </c>
      <c r="B1804" s="227" t="s">
        <v>681</v>
      </c>
      <c r="C1804" s="226" t="s">
        <v>662</v>
      </c>
      <c r="D1804" s="701" t="s">
        <v>685</v>
      </c>
      <c r="E1804" s="701"/>
      <c r="F1804" s="701"/>
      <c r="G1804" s="226" t="s">
        <v>26</v>
      </c>
      <c r="H1804" s="226">
        <v>2</v>
      </c>
      <c r="I1804" s="226">
        <v>2</v>
      </c>
      <c r="J1804" s="226">
        <v>1</v>
      </c>
      <c r="K1804" s="226">
        <v>0</v>
      </c>
      <c r="L1804" s="226">
        <v>4</v>
      </c>
    </row>
    <row r="1805" spans="1:15" ht="9.6" customHeight="1" x14ac:dyDescent="0.3">
      <c r="A1805" s="156" t="s">
        <v>635</v>
      </c>
      <c r="B1805" s="227" t="s">
        <v>1111</v>
      </c>
      <c r="C1805" s="226" t="s">
        <v>662</v>
      </c>
      <c r="D1805" s="701" t="s">
        <v>685</v>
      </c>
      <c r="E1805" s="701"/>
      <c r="F1805" s="701"/>
      <c r="G1805" s="226" t="s">
        <v>26</v>
      </c>
      <c r="H1805" s="226">
        <v>2</v>
      </c>
      <c r="I1805" s="226">
        <v>2</v>
      </c>
      <c r="J1805" s="226">
        <v>1</v>
      </c>
      <c r="K1805" s="226">
        <v>0</v>
      </c>
      <c r="L1805" s="226">
        <v>4</v>
      </c>
    </row>
    <row r="1806" spans="1:15" ht="9.6" customHeight="1" x14ac:dyDescent="0.3">
      <c r="A1806" s="156" t="s">
        <v>636</v>
      </c>
      <c r="B1806" s="227" t="s">
        <v>710</v>
      </c>
      <c r="C1806" s="226" t="s">
        <v>666</v>
      </c>
      <c r="D1806" s="701" t="s">
        <v>729</v>
      </c>
      <c r="E1806" s="701"/>
      <c r="F1806" s="701"/>
      <c r="G1806" s="226" t="s">
        <v>26</v>
      </c>
      <c r="H1806" s="226">
        <v>2</v>
      </c>
      <c r="I1806" s="226">
        <v>2</v>
      </c>
      <c r="J1806" s="226">
        <v>1</v>
      </c>
      <c r="K1806" s="226">
        <v>0</v>
      </c>
      <c r="L1806" s="226">
        <v>4</v>
      </c>
      <c r="M1806" s="227"/>
      <c r="N1806" s="227"/>
      <c r="O1806" s="227"/>
    </row>
    <row r="1807" spans="1:15" ht="9.6" customHeight="1" x14ac:dyDescent="0.3">
      <c r="A1807" s="156" t="s">
        <v>637</v>
      </c>
      <c r="B1807" s="227" t="s">
        <v>709</v>
      </c>
      <c r="C1807" s="226" t="s">
        <v>666</v>
      </c>
      <c r="D1807" s="701" t="s">
        <v>729</v>
      </c>
      <c r="E1807" s="701"/>
      <c r="F1807" s="701"/>
      <c r="G1807" s="226" t="s">
        <v>26</v>
      </c>
      <c r="H1807" s="226">
        <v>2</v>
      </c>
      <c r="I1807" s="226">
        <v>2</v>
      </c>
      <c r="J1807" s="226">
        <v>1</v>
      </c>
      <c r="K1807" s="226">
        <v>0</v>
      </c>
      <c r="L1807" s="226">
        <v>4</v>
      </c>
      <c r="M1807" s="227"/>
      <c r="N1807" s="227"/>
      <c r="O1807" s="227"/>
    </row>
    <row r="1808" spans="1:15" ht="9.6" customHeight="1" x14ac:dyDescent="0.3">
      <c r="A1808" s="156" t="s">
        <v>663</v>
      </c>
      <c r="B1808" s="227" t="s">
        <v>711</v>
      </c>
      <c r="C1808" s="226" t="s">
        <v>666</v>
      </c>
      <c r="D1808" s="701" t="s">
        <v>729</v>
      </c>
      <c r="E1808" s="701"/>
      <c r="F1808" s="701"/>
      <c r="G1808" s="226" t="s">
        <v>26</v>
      </c>
      <c r="H1808" s="226">
        <v>2</v>
      </c>
      <c r="I1808" s="226">
        <v>2</v>
      </c>
      <c r="J1808" s="226">
        <v>1</v>
      </c>
      <c r="K1808" s="226">
        <v>0</v>
      </c>
      <c r="L1808" s="226">
        <v>4</v>
      </c>
    </row>
    <row r="1809" spans="1:12" ht="9.6" customHeight="1" x14ac:dyDescent="0.3">
      <c r="A1809" s="156" t="s">
        <v>664</v>
      </c>
      <c r="B1809" s="227" t="s">
        <v>715</v>
      </c>
      <c r="C1809" s="226" t="s">
        <v>666</v>
      </c>
      <c r="D1809" s="701" t="s">
        <v>729</v>
      </c>
      <c r="E1809" s="701"/>
      <c r="F1809" s="701"/>
      <c r="G1809" s="226" t="s">
        <v>26</v>
      </c>
      <c r="H1809" s="226">
        <v>2</v>
      </c>
      <c r="I1809" s="226">
        <v>2</v>
      </c>
      <c r="J1809" s="226">
        <v>1</v>
      </c>
      <c r="K1809" s="226">
        <v>0</v>
      </c>
      <c r="L1809" s="226">
        <v>4</v>
      </c>
    </row>
    <row r="1810" spans="1:12" ht="9.6" customHeight="1" x14ac:dyDescent="0.3">
      <c r="A1810" s="156" t="s">
        <v>665</v>
      </c>
      <c r="B1810" s="227" t="s">
        <v>1112</v>
      </c>
      <c r="C1810" s="226" t="s">
        <v>666</v>
      </c>
      <c r="D1810" s="701" t="s">
        <v>729</v>
      </c>
      <c r="E1810" s="701"/>
      <c r="F1810" s="701"/>
      <c r="G1810" s="226" t="s">
        <v>26</v>
      </c>
      <c r="H1810" s="226">
        <v>2</v>
      </c>
      <c r="I1810" s="226">
        <v>2</v>
      </c>
      <c r="J1810" s="226">
        <v>1</v>
      </c>
      <c r="K1810" s="226">
        <v>0</v>
      </c>
      <c r="L1810" s="226">
        <v>4</v>
      </c>
    </row>
    <row r="1811" spans="1:12" ht="9.6" customHeight="1" x14ac:dyDescent="0.3">
      <c r="A1811" s="156" t="s">
        <v>667</v>
      </c>
      <c r="B1811" s="227" t="s">
        <v>728</v>
      </c>
      <c r="C1811" s="226" t="s">
        <v>666</v>
      </c>
      <c r="D1811" s="701" t="s">
        <v>729</v>
      </c>
      <c r="E1811" s="701"/>
      <c r="F1811" s="701"/>
      <c r="G1811" s="226" t="s">
        <v>26</v>
      </c>
      <c r="H1811" s="226">
        <v>2</v>
      </c>
      <c r="I1811" s="226">
        <v>2</v>
      </c>
      <c r="J1811" s="226">
        <v>1</v>
      </c>
      <c r="K1811" s="226">
        <v>0</v>
      </c>
      <c r="L1811" s="226">
        <v>4</v>
      </c>
    </row>
    <row r="1812" spans="1:12" ht="9.6" customHeight="1" x14ac:dyDescent="0.3">
      <c r="A1812" s="156" t="s">
        <v>668</v>
      </c>
      <c r="B1812" s="227" t="s">
        <v>838</v>
      </c>
      <c r="C1812" s="226" t="s">
        <v>683</v>
      </c>
      <c r="D1812" s="701" t="s">
        <v>855</v>
      </c>
      <c r="E1812" s="701"/>
      <c r="F1812" s="701"/>
      <c r="G1812" s="226" t="s">
        <v>26</v>
      </c>
      <c r="H1812" s="226">
        <v>2</v>
      </c>
      <c r="I1812" s="226">
        <v>2</v>
      </c>
      <c r="J1812" s="226">
        <v>1</v>
      </c>
      <c r="K1812" s="226">
        <v>0</v>
      </c>
      <c r="L1812" s="226">
        <v>4</v>
      </c>
    </row>
    <row r="1813" spans="1:12" ht="9.6" customHeight="1" x14ac:dyDescent="0.3">
      <c r="A1813" s="156" t="s">
        <v>669</v>
      </c>
      <c r="B1813" s="227" t="s">
        <v>840</v>
      </c>
      <c r="C1813" s="226" t="s">
        <v>683</v>
      </c>
      <c r="D1813" s="701" t="s">
        <v>855</v>
      </c>
      <c r="E1813" s="701"/>
      <c r="F1813" s="701"/>
      <c r="G1813" s="226" t="s">
        <v>26</v>
      </c>
      <c r="H1813" s="226">
        <v>2</v>
      </c>
      <c r="I1813" s="226">
        <v>2</v>
      </c>
      <c r="J1813" s="226">
        <v>1</v>
      </c>
      <c r="K1813" s="226">
        <v>0</v>
      </c>
      <c r="L1813" s="226">
        <v>4</v>
      </c>
    </row>
    <row r="1814" spans="1:12" ht="9.6" customHeight="1" x14ac:dyDescent="0.3">
      <c r="A1814" s="156" t="s">
        <v>670</v>
      </c>
      <c r="B1814" s="227" t="s">
        <v>842</v>
      </c>
      <c r="C1814" s="226" t="s">
        <v>683</v>
      </c>
      <c r="D1814" s="701" t="s">
        <v>855</v>
      </c>
      <c r="E1814" s="701"/>
      <c r="F1814" s="701"/>
      <c r="G1814" s="226" t="s">
        <v>26</v>
      </c>
      <c r="H1814" s="226">
        <v>2</v>
      </c>
      <c r="I1814" s="226">
        <v>2</v>
      </c>
      <c r="J1814" s="226">
        <v>1</v>
      </c>
      <c r="K1814" s="226">
        <v>0</v>
      </c>
      <c r="L1814" s="226">
        <v>4</v>
      </c>
    </row>
    <row r="1815" spans="1:12" ht="9.6" customHeight="1" x14ac:dyDescent="0.3">
      <c r="A1815" s="156" t="s">
        <v>671</v>
      </c>
      <c r="B1815" s="227" t="s">
        <v>914</v>
      </c>
      <c r="C1815" s="226" t="s">
        <v>683</v>
      </c>
      <c r="D1815" s="701" t="s">
        <v>855</v>
      </c>
      <c r="E1815" s="701"/>
      <c r="F1815" s="701"/>
      <c r="G1815" s="226" t="s">
        <v>26</v>
      </c>
      <c r="H1815" s="226">
        <v>2</v>
      </c>
      <c r="I1815" s="226">
        <v>2</v>
      </c>
      <c r="J1815" s="226">
        <v>1</v>
      </c>
      <c r="K1815" s="226">
        <v>0</v>
      </c>
      <c r="L1815" s="226">
        <v>4</v>
      </c>
    </row>
    <row r="1816" spans="1:12" ht="9.6" customHeight="1" x14ac:dyDescent="0.3">
      <c r="A1816" s="156" t="s">
        <v>680</v>
      </c>
      <c r="B1816" s="227" t="s">
        <v>1048</v>
      </c>
      <c r="C1816" s="226" t="s">
        <v>683</v>
      </c>
      <c r="D1816" s="701" t="s">
        <v>855</v>
      </c>
      <c r="E1816" s="701"/>
      <c r="F1816" s="701"/>
      <c r="G1816" s="226" t="s">
        <v>26</v>
      </c>
      <c r="H1816" s="226">
        <v>2</v>
      </c>
      <c r="I1816" s="226">
        <v>2</v>
      </c>
      <c r="J1816" s="226">
        <v>1</v>
      </c>
      <c r="K1816" s="226">
        <v>0</v>
      </c>
      <c r="L1816" s="226">
        <v>4</v>
      </c>
    </row>
    <row r="1817" spans="1:12" ht="9.6" customHeight="1" x14ac:dyDescent="0.3">
      <c r="A1817" s="156" t="s">
        <v>716</v>
      </c>
      <c r="B1817" s="227" t="s">
        <v>848</v>
      </c>
      <c r="C1817" s="226" t="s">
        <v>683</v>
      </c>
      <c r="D1817" s="701" t="s">
        <v>855</v>
      </c>
      <c r="E1817" s="701"/>
      <c r="F1817" s="701"/>
      <c r="G1817" s="226" t="s">
        <v>26</v>
      </c>
      <c r="H1817" s="226">
        <v>2</v>
      </c>
      <c r="I1817" s="226">
        <v>2</v>
      </c>
      <c r="J1817" s="226">
        <v>1</v>
      </c>
      <c r="K1817" s="226">
        <v>0</v>
      </c>
      <c r="L1817" s="226">
        <v>4</v>
      </c>
    </row>
    <row r="1818" spans="1:12" ht="9.6" customHeight="1" x14ac:dyDescent="0.3">
      <c r="A1818" s="156" t="s">
        <v>717</v>
      </c>
      <c r="B1818" s="227" t="s">
        <v>1113</v>
      </c>
      <c r="C1818" s="226" t="s">
        <v>683</v>
      </c>
      <c r="D1818" s="701" t="s">
        <v>855</v>
      </c>
      <c r="E1818" s="701"/>
      <c r="F1818" s="701"/>
      <c r="G1818" s="226" t="s">
        <v>26</v>
      </c>
      <c r="H1818" s="226">
        <v>2</v>
      </c>
      <c r="I1818" s="226">
        <v>2</v>
      </c>
      <c r="J1818" s="226">
        <v>1</v>
      </c>
      <c r="K1818" s="226">
        <v>0</v>
      </c>
      <c r="L1818" s="226">
        <v>4</v>
      </c>
    </row>
    <row r="1819" spans="1:12" ht="10.5" customHeight="1" x14ac:dyDescent="0.3">
      <c r="A1819" s="156" t="s">
        <v>718</v>
      </c>
      <c r="B1819" s="227" t="s">
        <v>1116</v>
      </c>
      <c r="C1819" s="226" t="s">
        <v>683</v>
      </c>
      <c r="D1819" s="701" t="s">
        <v>855</v>
      </c>
      <c r="E1819" s="701"/>
      <c r="F1819" s="701"/>
      <c r="G1819" s="226" t="s">
        <v>26</v>
      </c>
      <c r="H1819" s="226">
        <v>2</v>
      </c>
      <c r="I1819" s="226">
        <v>2</v>
      </c>
      <c r="J1819" s="226">
        <v>1</v>
      </c>
      <c r="K1819" s="226">
        <v>0</v>
      </c>
      <c r="L1819" s="226">
        <v>4</v>
      </c>
    </row>
    <row r="1820" spans="1:12" ht="10.5" customHeight="1" x14ac:dyDescent="0.3">
      <c r="A1820" s="156" t="s">
        <v>719</v>
      </c>
      <c r="B1820" s="227" t="s">
        <v>739</v>
      </c>
      <c r="C1820" s="226" t="s">
        <v>684</v>
      </c>
      <c r="D1820" s="701" t="s">
        <v>738</v>
      </c>
      <c r="E1820" s="701"/>
      <c r="F1820" s="701"/>
      <c r="G1820" s="226" t="s">
        <v>26</v>
      </c>
      <c r="H1820" s="226">
        <v>2</v>
      </c>
      <c r="I1820" s="226">
        <v>2</v>
      </c>
      <c r="J1820" s="226">
        <v>1</v>
      </c>
      <c r="K1820" s="226">
        <v>0</v>
      </c>
      <c r="L1820" s="226">
        <v>4</v>
      </c>
    </row>
    <row r="1821" spans="1:12" ht="10.5" customHeight="1" x14ac:dyDescent="0.3">
      <c r="A1821" s="156" t="s">
        <v>720</v>
      </c>
      <c r="B1821" s="227" t="s">
        <v>782</v>
      </c>
      <c r="C1821" s="226" t="s">
        <v>684</v>
      </c>
      <c r="D1821" s="701" t="s">
        <v>738</v>
      </c>
      <c r="E1821" s="701"/>
      <c r="F1821" s="701"/>
      <c r="G1821" s="226" t="s">
        <v>26</v>
      </c>
      <c r="H1821" s="226">
        <v>2</v>
      </c>
      <c r="I1821" s="226">
        <v>2</v>
      </c>
      <c r="J1821" s="226">
        <v>1</v>
      </c>
      <c r="K1821" s="226">
        <v>0</v>
      </c>
      <c r="L1821" s="226">
        <v>4</v>
      </c>
    </row>
    <row r="1822" spans="1:12" ht="10.5" customHeight="1" x14ac:dyDescent="0.3">
      <c r="A1822" s="156" t="s">
        <v>721</v>
      </c>
      <c r="B1822" s="227" t="s">
        <v>784</v>
      </c>
      <c r="C1822" s="226" t="s">
        <v>684</v>
      </c>
      <c r="D1822" s="701" t="s">
        <v>738</v>
      </c>
      <c r="E1822" s="701"/>
      <c r="F1822" s="701"/>
      <c r="G1822" s="226" t="s">
        <v>26</v>
      </c>
      <c r="H1822" s="226">
        <v>2</v>
      </c>
      <c r="I1822" s="226">
        <v>2</v>
      </c>
      <c r="J1822" s="226">
        <v>1</v>
      </c>
      <c r="K1822" s="226">
        <v>0</v>
      </c>
      <c r="L1822" s="226">
        <v>4</v>
      </c>
    </row>
    <row r="1823" spans="1:12" ht="10.5" customHeight="1" x14ac:dyDescent="0.3">
      <c r="A1823" s="156" t="s">
        <v>723</v>
      </c>
      <c r="B1823" s="227" t="s">
        <v>783</v>
      </c>
      <c r="C1823" s="226" t="s">
        <v>684</v>
      </c>
      <c r="D1823" s="701" t="s">
        <v>738</v>
      </c>
      <c r="E1823" s="701"/>
      <c r="F1823" s="701"/>
      <c r="G1823" s="226" t="s">
        <v>26</v>
      </c>
      <c r="H1823" s="226">
        <v>2</v>
      </c>
      <c r="I1823" s="226">
        <v>2</v>
      </c>
      <c r="J1823" s="226">
        <v>1</v>
      </c>
      <c r="K1823" s="226">
        <v>0</v>
      </c>
      <c r="L1823" s="226">
        <v>4</v>
      </c>
    </row>
    <row r="1824" spans="1:12" ht="10.5" customHeight="1" x14ac:dyDescent="0.3">
      <c r="A1824" s="156" t="s">
        <v>733</v>
      </c>
      <c r="B1824" s="227" t="s">
        <v>804</v>
      </c>
      <c r="C1824" s="226" t="s">
        <v>684</v>
      </c>
      <c r="D1824" s="701" t="s">
        <v>738</v>
      </c>
      <c r="E1824" s="701"/>
      <c r="F1824" s="701"/>
      <c r="G1824" s="226" t="s">
        <v>26</v>
      </c>
      <c r="H1824" s="226">
        <v>2</v>
      </c>
      <c r="I1824" s="226">
        <v>2</v>
      </c>
      <c r="J1824" s="226">
        <v>1</v>
      </c>
      <c r="K1824" s="226">
        <v>0</v>
      </c>
      <c r="L1824" s="226">
        <v>4</v>
      </c>
    </row>
    <row r="1825" spans="1:12" ht="10.5" customHeight="1" x14ac:dyDescent="0.3">
      <c r="A1825" s="156" t="s">
        <v>737</v>
      </c>
      <c r="B1825" s="227" t="s">
        <v>808</v>
      </c>
      <c r="C1825" s="226" t="s">
        <v>684</v>
      </c>
      <c r="D1825" s="701" t="s">
        <v>738</v>
      </c>
      <c r="E1825" s="701"/>
      <c r="F1825" s="701"/>
      <c r="G1825" s="226" t="s">
        <v>26</v>
      </c>
      <c r="H1825" s="226">
        <v>2</v>
      </c>
      <c r="I1825" s="226">
        <v>2</v>
      </c>
      <c r="J1825" s="226">
        <v>1</v>
      </c>
      <c r="K1825" s="226">
        <v>0</v>
      </c>
      <c r="L1825" s="226">
        <v>4</v>
      </c>
    </row>
    <row r="1826" spans="1:12" ht="10.5" customHeight="1" x14ac:dyDescent="0.3">
      <c r="A1826" s="156" t="s">
        <v>777</v>
      </c>
      <c r="B1826" s="227" t="s">
        <v>814</v>
      </c>
      <c r="C1826" s="226" t="s">
        <v>684</v>
      </c>
      <c r="D1826" s="701" t="s">
        <v>738</v>
      </c>
      <c r="E1826" s="701"/>
      <c r="F1826" s="701"/>
      <c r="G1826" s="226" t="s">
        <v>26</v>
      </c>
      <c r="H1826" s="226">
        <v>2</v>
      </c>
      <c r="I1826" s="226">
        <v>2</v>
      </c>
      <c r="J1826" s="226">
        <v>1</v>
      </c>
      <c r="K1826" s="226">
        <v>0</v>
      </c>
      <c r="L1826" s="226">
        <v>4</v>
      </c>
    </row>
    <row r="1827" spans="1:12" ht="10.5" customHeight="1" x14ac:dyDescent="0.3">
      <c r="A1827" s="156" t="s">
        <v>785</v>
      </c>
      <c r="B1827" s="227" t="s">
        <v>820</v>
      </c>
      <c r="C1827" s="226" t="s">
        <v>684</v>
      </c>
      <c r="D1827" s="701" t="s">
        <v>738</v>
      </c>
      <c r="E1827" s="701"/>
      <c r="F1827" s="701"/>
      <c r="G1827" s="226" t="s">
        <v>26</v>
      </c>
      <c r="H1827" s="226">
        <v>2</v>
      </c>
      <c r="I1827" s="226">
        <v>2</v>
      </c>
      <c r="J1827" s="226">
        <v>1</v>
      </c>
      <c r="K1827" s="226">
        <v>0</v>
      </c>
      <c r="L1827" s="226">
        <v>4</v>
      </c>
    </row>
    <row r="1828" spans="1:12" ht="10.5" customHeight="1" x14ac:dyDescent="0.3">
      <c r="A1828" s="156" t="s">
        <v>798</v>
      </c>
      <c r="B1828" s="227" t="s">
        <v>834</v>
      </c>
      <c r="C1828" s="226" t="s">
        <v>684</v>
      </c>
      <c r="D1828" s="701" t="s">
        <v>738</v>
      </c>
      <c r="E1828" s="701"/>
      <c r="F1828" s="701"/>
      <c r="G1828" s="226" t="s">
        <v>26</v>
      </c>
      <c r="H1828" s="226">
        <v>2</v>
      </c>
      <c r="I1828" s="226">
        <v>2</v>
      </c>
      <c r="J1828" s="226">
        <v>1</v>
      </c>
      <c r="K1828" s="226">
        <v>0</v>
      </c>
      <c r="L1828" s="226">
        <v>4</v>
      </c>
    </row>
    <row r="1829" spans="1:12" ht="10.5" customHeight="1" x14ac:dyDescent="0.3">
      <c r="A1829" s="156" t="s">
        <v>799</v>
      </c>
      <c r="B1829" s="227" t="s">
        <v>833</v>
      </c>
      <c r="C1829" s="226" t="s">
        <v>684</v>
      </c>
      <c r="D1829" s="701" t="s">
        <v>738</v>
      </c>
      <c r="E1829" s="701"/>
      <c r="F1829" s="701"/>
      <c r="G1829" s="226" t="s">
        <v>26</v>
      </c>
      <c r="H1829" s="226">
        <v>2</v>
      </c>
      <c r="I1829" s="226">
        <v>2</v>
      </c>
      <c r="J1829" s="226">
        <v>1</v>
      </c>
      <c r="K1829" s="226">
        <v>0</v>
      </c>
      <c r="L1829" s="226">
        <v>4</v>
      </c>
    </row>
    <row r="1830" spans="1:12" ht="10.5" customHeight="1" x14ac:dyDescent="0.3">
      <c r="A1830" s="156" t="s">
        <v>803</v>
      </c>
      <c r="B1830" s="227" t="e">
        <v>#N/A</v>
      </c>
      <c r="C1830" s="226" t="s">
        <v>684</v>
      </c>
      <c r="D1830" s="701" t="s">
        <v>738</v>
      </c>
      <c r="E1830" s="701"/>
      <c r="F1830" s="701"/>
      <c r="G1830" s="226" t="s">
        <v>26</v>
      </c>
      <c r="H1830" s="226">
        <v>2</v>
      </c>
      <c r="I1830" s="226">
        <v>2</v>
      </c>
      <c r="J1830" s="226">
        <v>1</v>
      </c>
      <c r="K1830" s="226">
        <v>0</v>
      </c>
      <c r="L1830" s="226">
        <v>4</v>
      </c>
    </row>
    <row r="1831" spans="1:12" ht="10.5" customHeight="1" x14ac:dyDescent="0.3">
      <c r="A1831" s="156" t="s">
        <v>1194</v>
      </c>
      <c r="B1831" s="227" t="s">
        <v>1159</v>
      </c>
      <c r="C1831" s="226" t="s">
        <v>1195</v>
      </c>
      <c r="D1831" s="701" t="s">
        <v>1160</v>
      </c>
      <c r="E1831" s="701"/>
      <c r="F1831" s="701"/>
      <c r="G1831" s="226" t="s">
        <v>26</v>
      </c>
      <c r="H1831" s="226">
        <v>2</v>
      </c>
      <c r="I1831" s="226">
        <v>2</v>
      </c>
      <c r="J1831" s="226">
        <v>1</v>
      </c>
      <c r="K1831" s="226">
        <v>0</v>
      </c>
      <c r="L1831" s="226">
        <v>4</v>
      </c>
    </row>
    <row r="1832" spans="1:12" ht="10.5" customHeight="1" x14ac:dyDescent="0.3">
      <c r="J1832" s="701" t="s">
        <v>203</v>
      </c>
      <c r="K1832" s="701"/>
      <c r="L1832" s="226">
        <v>124</v>
      </c>
    </row>
    <row r="1833" spans="1:12" ht="10.5" customHeight="1" x14ac:dyDescent="0.3"/>
    <row r="1834" spans="1:12" ht="16.5" customHeight="1" x14ac:dyDescent="0.3">
      <c r="A1834" s="226" t="s">
        <v>11</v>
      </c>
      <c r="B1834" s="226" t="s">
        <v>271</v>
      </c>
      <c r="C1834" s="701" t="s">
        <v>35</v>
      </c>
      <c r="D1834" s="701"/>
      <c r="E1834" s="702" t="s">
        <v>489</v>
      </c>
      <c r="F1834" s="702"/>
      <c r="G1834" s="702"/>
      <c r="H1834" s="702"/>
      <c r="I1834" s="226" t="s">
        <v>105</v>
      </c>
      <c r="J1834" s="226" t="s">
        <v>124</v>
      </c>
      <c r="K1834" s="226" t="s">
        <v>13</v>
      </c>
      <c r="L1834" s="231">
        <v>454</v>
      </c>
    </row>
    <row r="1835" spans="1:12" ht="10.5" customHeight="1" x14ac:dyDescent="0.3"/>
    <row r="1836" spans="1:12" ht="10.5" customHeight="1" x14ac:dyDescent="0.3">
      <c r="A1836" s="234" t="s">
        <v>201</v>
      </c>
      <c r="B1836" s="234" t="s">
        <v>200</v>
      </c>
      <c r="C1836" s="235" t="s">
        <v>200</v>
      </c>
      <c r="D1836" s="235" t="s">
        <v>193</v>
      </c>
      <c r="E1836" s="235"/>
      <c r="F1836" s="235"/>
      <c r="G1836" s="234" t="s">
        <v>12</v>
      </c>
      <c r="H1836" s="234" t="s">
        <v>194</v>
      </c>
      <c r="I1836" s="234" t="s">
        <v>196</v>
      </c>
      <c r="J1836" s="234" t="s">
        <v>195</v>
      </c>
      <c r="K1836" s="234" t="s">
        <v>197</v>
      </c>
      <c r="L1836" s="234" t="s">
        <v>198</v>
      </c>
    </row>
    <row r="1837" spans="1:12" ht="10.5" customHeight="1" x14ac:dyDescent="0.3">
      <c r="A1837" s="226" t="s">
        <v>199</v>
      </c>
      <c r="B1837" s="226" t="s">
        <v>406</v>
      </c>
      <c r="C1837" s="226"/>
      <c r="D1837" s="701" t="s">
        <v>599</v>
      </c>
      <c r="E1837" s="701"/>
      <c r="F1837" s="701"/>
      <c r="G1837" s="226" t="s">
        <v>124</v>
      </c>
      <c r="H1837" s="226">
        <v>1</v>
      </c>
      <c r="I1837" s="226">
        <v>15130.629999999994</v>
      </c>
      <c r="J1837" s="226">
        <v>0.15</v>
      </c>
      <c r="K1837" s="226">
        <v>0.2</v>
      </c>
      <c r="L1837" s="226">
        <v>453.91889999999978</v>
      </c>
    </row>
    <row r="1838" spans="1:12" ht="10.5" customHeight="1" x14ac:dyDescent="0.3">
      <c r="J1838" s="701" t="s">
        <v>203</v>
      </c>
      <c r="K1838" s="701"/>
      <c r="L1838" s="226">
        <v>453.91889999999978</v>
      </c>
    </row>
    <row r="1839" spans="1:12" ht="10.5" customHeight="1" x14ac:dyDescent="0.3"/>
    <row r="1840" spans="1:12" ht="10.5" customHeight="1" x14ac:dyDescent="0.3">
      <c r="A1840" s="226" t="s">
        <v>11</v>
      </c>
      <c r="B1840" s="226" t="s">
        <v>272</v>
      </c>
      <c r="C1840" s="701" t="s">
        <v>35</v>
      </c>
      <c r="D1840" s="701"/>
      <c r="E1840" s="702" t="s">
        <v>491</v>
      </c>
      <c r="F1840" s="702"/>
      <c r="G1840" s="702"/>
      <c r="H1840" s="702"/>
      <c r="I1840" s="226" t="s">
        <v>105</v>
      </c>
      <c r="J1840" s="226" t="s">
        <v>12</v>
      </c>
      <c r="K1840" s="226" t="s">
        <v>13</v>
      </c>
      <c r="L1840" s="231">
        <v>422</v>
      </c>
    </row>
    <row r="1841" spans="1:15" ht="10.5" customHeight="1" x14ac:dyDescent="0.3"/>
    <row r="1842" spans="1:15" ht="10.5" customHeight="1" x14ac:dyDescent="0.3">
      <c r="A1842" s="234" t="s">
        <v>201</v>
      </c>
      <c r="B1842" s="234" t="s">
        <v>200</v>
      </c>
      <c r="C1842" s="235" t="s">
        <v>200</v>
      </c>
      <c r="D1842" s="235" t="s">
        <v>193</v>
      </c>
      <c r="E1842" s="235"/>
      <c r="F1842" s="235"/>
      <c r="G1842" s="234" t="s">
        <v>12</v>
      </c>
      <c r="H1842" s="234" t="s">
        <v>194</v>
      </c>
      <c r="I1842" s="234" t="s">
        <v>196</v>
      </c>
      <c r="J1842" s="234" t="s">
        <v>195</v>
      </c>
      <c r="K1842" s="234" t="s">
        <v>197</v>
      </c>
      <c r="L1842" s="234" t="s">
        <v>198</v>
      </c>
    </row>
    <row r="1843" spans="1:15" ht="10.5" customHeight="1" x14ac:dyDescent="0.3">
      <c r="A1843" s="156" t="s">
        <v>186</v>
      </c>
      <c r="B1843" s="227" t="s">
        <v>672</v>
      </c>
      <c r="C1843" s="226" t="s">
        <v>662</v>
      </c>
      <c r="D1843" s="701" t="s">
        <v>685</v>
      </c>
      <c r="E1843" s="701"/>
      <c r="F1843" s="701"/>
      <c r="G1843" s="226" t="s">
        <v>12</v>
      </c>
      <c r="H1843" s="226">
        <v>2</v>
      </c>
      <c r="L1843" s="226">
        <v>2</v>
      </c>
    </row>
    <row r="1844" spans="1:15" ht="10.5" customHeight="1" x14ac:dyDescent="0.3">
      <c r="A1844" s="156" t="s">
        <v>188</v>
      </c>
      <c r="B1844" s="227" t="s">
        <v>1109</v>
      </c>
      <c r="C1844" s="226" t="s">
        <v>662</v>
      </c>
      <c r="D1844" s="701" t="s">
        <v>685</v>
      </c>
      <c r="E1844" s="701"/>
      <c r="F1844" s="701"/>
      <c r="G1844" s="226" t="s">
        <v>12</v>
      </c>
      <c r="H1844" s="226">
        <v>2</v>
      </c>
      <c r="L1844" s="226">
        <v>2</v>
      </c>
    </row>
    <row r="1845" spans="1:15" ht="10.5" customHeight="1" x14ac:dyDescent="0.3">
      <c r="A1845" s="156" t="s">
        <v>484</v>
      </c>
      <c r="B1845" s="227" t="s">
        <v>675</v>
      </c>
      <c r="C1845" s="226" t="s">
        <v>662</v>
      </c>
      <c r="D1845" s="701" t="s">
        <v>685</v>
      </c>
      <c r="E1845" s="701"/>
      <c r="F1845" s="701"/>
      <c r="G1845" s="226" t="s">
        <v>12</v>
      </c>
      <c r="H1845" s="226">
        <v>2</v>
      </c>
      <c r="L1845" s="226">
        <v>2</v>
      </c>
    </row>
    <row r="1846" spans="1:15" ht="10.5" customHeight="1" x14ac:dyDescent="0.3">
      <c r="A1846" s="156" t="s">
        <v>485</v>
      </c>
      <c r="B1846" s="227" t="s">
        <v>676</v>
      </c>
      <c r="C1846" s="226" t="s">
        <v>662</v>
      </c>
      <c r="D1846" s="701" t="s">
        <v>685</v>
      </c>
      <c r="E1846" s="701"/>
      <c r="F1846" s="701"/>
      <c r="G1846" s="226" t="s">
        <v>12</v>
      </c>
      <c r="H1846" s="226">
        <v>2</v>
      </c>
      <c r="L1846" s="226">
        <v>2</v>
      </c>
    </row>
    <row r="1847" spans="1:15" ht="10.5" customHeight="1" x14ac:dyDescent="0.3">
      <c r="A1847" s="156" t="s">
        <v>486</v>
      </c>
      <c r="B1847" s="227" t="s">
        <v>698</v>
      </c>
      <c r="C1847" s="226" t="s">
        <v>662</v>
      </c>
      <c r="D1847" s="701" t="s">
        <v>685</v>
      </c>
      <c r="E1847" s="701"/>
      <c r="F1847" s="701"/>
      <c r="G1847" s="226" t="s">
        <v>12</v>
      </c>
      <c r="H1847" s="226">
        <v>2</v>
      </c>
      <c r="L1847" s="226">
        <v>2</v>
      </c>
    </row>
    <row r="1848" spans="1:15" ht="10.5" customHeight="1" x14ac:dyDescent="0.3">
      <c r="A1848" s="156" t="s">
        <v>398</v>
      </c>
      <c r="B1848" s="227" t="s">
        <v>678</v>
      </c>
      <c r="C1848" s="226" t="s">
        <v>662</v>
      </c>
      <c r="D1848" s="701" t="s">
        <v>685</v>
      </c>
      <c r="E1848" s="701"/>
      <c r="F1848" s="701"/>
      <c r="G1848" s="226" t="s">
        <v>12</v>
      </c>
      <c r="H1848" s="226">
        <v>2</v>
      </c>
      <c r="L1848" s="226">
        <v>2</v>
      </c>
    </row>
    <row r="1849" spans="1:15" ht="10.5" customHeight="1" x14ac:dyDescent="0.3">
      <c r="A1849" s="156" t="s">
        <v>529</v>
      </c>
      <c r="B1849" s="227" t="s">
        <v>679</v>
      </c>
      <c r="C1849" s="226" t="s">
        <v>662</v>
      </c>
      <c r="D1849" s="701" t="s">
        <v>685</v>
      </c>
      <c r="E1849" s="701"/>
      <c r="F1849" s="701"/>
      <c r="G1849" s="226" t="s">
        <v>12</v>
      </c>
      <c r="H1849" s="226">
        <v>2</v>
      </c>
      <c r="L1849" s="226">
        <v>2</v>
      </c>
    </row>
    <row r="1850" spans="1:15" ht="12" customHeight="1" x14ac:dyDescent="0.3">
      <c r="A1850" s="156" t="s">
        <v>532</v>
      </c>
      <c r="B1850" s="227" t="s">
        <v>885</v>
      </c>
      <c r="C1850" s="226" t="s">
        <v>662</v>
      </c>
      <c r="D1850" s="701" t="s">
        <v>685</v>
      </c>
      <c r="E1850" s="701"/>
      <c r="F1850" s="701"/>
      <c r="G1850" s="226" t="s">
        <v>12</v>
      </c>
      <c r="H1850" s="226">
        <v>2</v>
      </c>
      <c r="L1850" s="226">
        <v>2</v>
      </c>
      <c r="M1850" s="227"/>
      <c r="N1850" s="227"/>
      <c r="O1850" s="227"/>
    </row>
    <row r="1851" spans="1:15" ht="10.5" customHeight="1" x14ac:dyDescent="0.3">
      <c r="A1851" s="156" t="s">
        <v>534</v>
      </c>
      <c r="B1851" s="227" t="s">
        <v>682</v>
      </c>
      <c r="C1851" s="226" t="s">
        <v>662</v>
      </c>
      <c r="D1851" s="701" t="s">
        <v>685</v>
      </c>
      <c r="E1851" s="701"/>
      <c r="F1851" s="701"/>
      <c r="G1851" s="226" t="s">
        <v>12</v>
      </c>
      <c r="H1851" s="226">
        <v>2</v>
      </c>
      <c r="L1851" s="226">
        <v>2</v>
      </c>
    </row>
    <row r="1852" spans="1:15" ht="10.5" customHeight="1" x14ac:dyDescent="0.3">
      <c r="A1852" s="156" t="s">
        <v>537</v>
      </c>
      <c r="B1852" s="227" t="s">
        <v>1110</v>
      </c>
      <c r="C1852" s="226" t="s">
        <v>662</v>
      </c>
      <c r="D1852" s="701" t="s">
        <v>685</v>
      </c>
      <c r="E1852" s="701"/>
      <c r="F1852" s="701"/>
      <c r="G1852" s="226" t="s">
        <v>12</v>
      </c>
      <c r="H1852" s="226">
        <v>2</v>
      </c>
      <c r="L1852" s="226">
        <v>2</v>
      </c>
    </row>
    <row r="1853" spans="1:15" ht="10.5" customHeight="1" x14ac:dyDescent="0.3">
      <c r="A1853" s="156" t="s">
        <v>540</v>
      </c>
      <c r="B1853" s="227" t="s">
        <v>708</v>
      </c>
      <c r="C1853" s="226" t="s">
        <v>666</v>
      </c>
      <c r="D1853" s="701" t="s">
        <v>729</v>
      </c>
      <c r="E1853" s="701"/>
      <c r="F1853" s="701"/>
      <c r="G1853" s="226" t="s">
        <v>12</v>
      </c>
      <c r="H1853" s="226">
        <v>2</v>
      </c>
      <c r="L1853" s="226">
        <v>2</v>
      </c>
    </row>
    <row r="1854" spans="1:15" ht="10.5" customHeight="1" x14ac:dyDescent="0.3">
      <c r="A1854" s="156" t="s">
        <v>543</v>
      </c>
      <c r="B1854" s="227" t="s">
        <v>707</v>
      </c>
      <c r="C1854" s="226" t="s">
        <v>666</v>
      </c>
      <c r="D1854" s="701" t="s">
        <v>729</v>
      </c>
      <c r="E1854" s="701"/>
      <c r="F1854" s="701"/>
      <c r="G1854" s="226" t="s">
        <v>12</v>
      </c>
      <c r="H1854" s="226">
        <v>2</v>
      </c>
      <c r="L1854" s="226">
        <v>2</v>
      </c>
    </row>
    <row r="1855" spans="1:15" ht="10.5" customHeight="1" x14ac:dyDescent="0.3">
      <c r="A1855" s="156" t="s">
        <v>546</v>
      </c>
      <c r="B1855" s="227" t="s">
        <v>712</v>
      </c>
      <c r="C1855" s="226" t="s">
        <v>666</v>
      </c>
      <c r="D1855" s="701" t="s">
        <v>729</v>
      </c>
      <c r="E1855" s="701"/>
      <c r="F1855" s="701"/>
      <c r="G1855" s="226" t="s">
        <v>12</v>
      </c>
      <c r="H1855" s="226">
        <v>2</v>
      </c>
      <c r="L1855" s="226">
        <v>2</v>
      </c>
    </row>
    <row r="1856" spans="1:15" ht="10.5" customHeight="1" x14ac:dyDescent="0.3">
      <c r="A1856" s="156" t="s">
        <v>548</v>
      </c>
      <c r="B1856" s="227" t="s">
        <v>713</v>
      </c>
      <c r="C1856" s="226" t="s">
        <v>666</v>
      </c>
      <c r="D1856" s="701" t="s">
        <v>729</v>
      </c>
      <c r="E1856" s="701"/>
      <c r="F1856" s="701"/>
      <c r="G1856" s="226" t="s">
        <v>12</v>
      </c>
      <c r="H1856" s="226">
        <v>2</v>
      </c>
      <c r="L1856" s="226">
        <v>2</v>
      </c>
    </row>
    <row r="1857" spans="1:15" ht="10.5" customHeight="1" x14ac:dyDescent="0.3">
      <c r="A1857" s="156" t="s">
        <v>551</v>
      </c>
      <c r="B1857" s="227" t="s">
        <v>714</v>
      </c>
      <c r="C1857" s="226" t="s">
        <v>666</v>
      </c>
      <c r="D1857" s="701" t="s">
        <v>729</v>
      </c>
      <c r="E1857" s="701"/>
      <c r="F1857" s="701"/>
      <c r="G1857" s="226" t="s">
        <v>12</v>
      </c>
      <c r="H1857" s="226">
        <v>2</v>
      </c>
      <c r="L1857" s="226">
        <v>2</v>
      </c>
    </row>
    <row r="1858" spans="1:15" ht="10.5" customHeight="1" x14ac:dyDescent="0.3">
      <c r="A1858" s="156" t="s">
        <v>554</v>
      </c>
      <c r="B1858" s="227" t="s">
        <v>722</v>
      </c>
      <c r="C1858" s="226" t="s">
        <v>666</v>
      </c>
      <c r="D1858" s="701" t="s">
        <v>729</v>
      </c>
      <c r="E1858" s="701"/>
      <c r="F1858" s="701"/>
      <c r="G1858" s="226" t="s">
        <v>12</v>
      </c>
      <c r="H1858" s="226">
        <v>2</v>
      </c>
      <c r="L1858" s="226">
        <v>2</v>
      </c>
    </row>
    <row r="1859" spans="1:15" ht="10.5" customHeight="1" x14ac:dyDescent="0.3">
      <c r="A1859" s="156" t="s">
        <v>557</v>
      </c>
      <c r="B1859" s="227" t="s">
        <v>724</v>
      </c>
      <c r="C1859" s="226" t="s">
        <v>666</v>
      </c>
      <c r="D1859" s="701" t="s">
        <v>729</v>
      </c>
      <c r="E1859" s="701"/>
      <c r="F1859" s="701"/>
      <c r="G1859" s="226" t="s">
        <v>12</v>
      </c>
      <c r="H1859" s="226">
        <v>2</v>
      </c>
      <c r="L1859" s="226">
        <v>2</v>
      </c>
    </row>
    <row r="1860" spans="1:15" ht="10.5" customHeight="1" x14ac:dyDescent="0.3">
      <c r="A1860" s="156" t="s">
        <v>559</v>
      </c>
      <c r="B1860" s="227" t="s">
        <v>725</v>
      </c>
      <c r="C1860" s="226" t="s">
        <v>666</v>
      </c>
      <c r="D1860" s="701" t="s">
        <v>729</v>
      </c>
      <c r="E1860" s="701"/>
      <c r="F1860" s="701"/>
      <c r="G1860" s="226" t="s">
        <v>12</v>
      </c>
      <c r="H1860" s="226">
        <v>2</v>
      </c>
      <c r="L1860" s="226">
        <v>2</v>
      </c>
    </row>
    <row r="1861" spans="1:15" ht="10.5" customHeight="1" x14ac:dyDescent="0.3">
      <c r="A1861" s="156" t="s">
        <v>561</v>
      </c>
      <c r="B1861" s="227" t="s">
        <v>726</v>
      </c>
      <c r="C1861" s="226" t="s">
        <v>666</v>
      </c>
      <c r="D1861" s="701" t="s">
        <v>729</v>
      </c>
      <c r="E1861" s="701"/>
      <c r="F1861" s="701"/>
      <c r="G1861" s="226" t="s">
        <v>12</v>
      </c>
      <c r="H1861" s="226">
        <v>2</v>
      </c>
      <c r="L1861" s="226">
        <v>2</v>
      </c>
    </row>
    <row r="1862" spans="1:15" ht="10.5" customHeight="1" x14ac:dyDescent="0.3">
      <c r="A1862" s="156" t="s">
        <v>563</v>
      </c>
      <c r="B1862" s="227" t="s">
        <v>727</v>
      </c>
      <c r="C1862" s="226" t="s">
        <v>666</v>
      </c>
      <c r="D1862" s="701" t="s">
        <v>729</v>
      </c>
      <c r="E1862" s="701"/>
      <c r="F1862" s="701"/>
      <c r="G1862" s="226" t="s">
        <v>12</v>
      </c>
      <c r="H1862" s="226">
        <v>2</v>
      </c>
      <c r="L1862" s="226">
        <v>2</v>
      </c>
    </row>
    <row r="1863" spans="1:15" ht="10.5" customHeight="1" x14ac:dyDescent="0.3">
      <c r="A1863" s="156" t="s">
        <v>566</v>
      </c>
      <c r="B1863" s="227" t="s">
        <v>835</v>
      </c>
      <c r="C1863" s="226" t="s">
        <v>683</v>
      </c>
      <c r="D1863" s="701" t="s">
        <v>855</v>
      </c>
      <c r="E1863" s="701"/>
      <c r="F1863" s="701"/>
      <c r="G1863" s="226" t="s">
        <v>12</v>
      </c>
      <c r="H1863" s="226">
        <v>2</v>
      </c>
      <c r="L1863" s="226">
        <v>2</v>
      </c>
    </row>
    <row r="1864" spans="1:15" ht="10.5" customHeight="1" x14ac:dyDescent="0.3">
      <c r="A1864" s="156" t="s">
        <v>568</v>
      </c>
      <c r="B1864" s="227" t="s">
        <v>836</v>
      </c>
      <c r="C1864" s="226" t="s">
        <v>683</v>
      </c>
      <c r="D1864" s="701" t="s">
        <v>855</v>
      </c>
      <c r="E1864" s="701"/>
      <c r="F1864" s="701"/>
      <c r="G1864" s="226" t="s">
        <v>12</v>
      </c>
      <c r="H1864" s="226">
        <v>2</v>
      </c>
      <c r="L1864" s="226">
        <v>2</v>
      </c>
    </row>
    <row r="1865" spans="1:15" ht="10.5" customHeight="1" x14ac:dyDescent="0.3">
      <c r="A1865" s="156" t="s">
        <v>571</v>
      </c>
      <c r="B1865" s="227" t="s">
        <v>839</v>
      </c>
      <c r="C1865" s="226" t="s">
        <v>683</v>
      </c>
      <c r="D1865" s="701" t="s">
        <v>855</v>
      </c>
      <c r="E1865" s="701"/>
      <c r="F1865" s="701"/>
      <c r="G1865" s="226" t="s">
        <v>12</v>
      </c>
      <c r="H1865" s="226">
        <v>2</v>
      </c>
      <c r="L1865" s="226">
        <v>2</v>
      </c>
    </row>
    <row r="1866" spans="1:15" ht="10.5" customHeight="1" x14ac:dyDescent="0.3">
      <c r="A1866" s="156" t="s">
        <v>574</v>
      </c>
      <c r="B1866" s="227" t="s">
        <v>841</v>
      </c>
      <c r="C1866" s="226" t="s">
        <v>683</v>
      </c>
      <c r="D1866" s="701" t="s">
        <v>855</v>
      </c>
      <c r="E1866" s="701"/>
      <c r="F1866" s="701"/>
      <c r="G1866" s="226" t="s">
        <v>12</v>
      </c>
      <c r="H1866" s="226">
        <v>2</v>
      </c>
      <c r="L1866" s="226">
        <v>2</v>
      </c>
    </row>
    <row r="1867" spans="1:15" ht="10.5" customHeight="1" x14ac:dyDescent="0.3">
      <c r="A1867" s="156" t="s">
        <v>577</v>
      </c>
      <c r="B1867" s="227" t="s">
        <v>843</v>
      </c>
      <c r="C1867" s="226" t="s">
        <v>683</v>
      </c>
      <c r="D1867" s="701" t="s">
        <v>855</v>
      </c>
      <c r="E1867" s="701"/>
      <c r="F1867" s="701"/>
      <c r="G1867" s="226" t="s">
        <v>12</v>
      </c>
      <c r="H1867" s="226">
        <v>2</v>
      </c>
      <c r="L1867" s="226">
        <v>2</v>
      </c>
    </row>
    <row r="1868" spans="1:15" ht="10.5" customHeight="1" x14ac:dyDescent="0.3">
      <c r="A1868" s="156" t="s">
        <v>580</v>
      </c>
      <c r="B1868" s="227" t="s">
        <v>845</v>
      </c>
      <c r="C1868" s="226" t="s">
        <v>683</v>
      </c>
      <c r="D1868" s="701" t="s">
        <v>855</v>
      </c>
      <c r="E1868" s="701"/>
      <c r="F1868" s="701"/>
      <c r="G1868" s="226" t="s">
        <v>12</v>
      </c>
      <c r="H1868" s="226">
        <v>2</v>
      </c>
      <c r="L1868" s="226">
        <v>2</v>
      </c>
    </row>
    <row r="1869" spans="1:15" ht="10.5" customHeight="1" x14ac:dyDescent="0.3">
      <c r="A1869" s="156" t="s">
        <v>582</v>
      </c>
      <c r="B1869" s="227" t="s">
        <v>844</v>
      </c>
      <c r="C1869" s="226" t="s">
        <v>683</v>
      </c>
      <c r="D1869" s="701" t="s">
        <v>855</v>
      </c>
      <c r="E1869" s="701"/>
      <c r="F1869" s="701"/>
      <c r="G1869" s="226" t="s">
        <v>12</v>
      </c>
      <c r="H1869" s="226">
        <v>2</v>
      </c>
      <c r="L1869" s="226">
        <v>2</v>
      </c>
    </row>
    <row r="1870" spans="1:15" ht="10.5" customHeight="1" x14ac:dyDescent="0.3">
      <c r="A1870" s="156" t="s">
        <v>584</v>
      </c>
      <c r="B1870" s="227" t="s">
        <v>846</v>
      </c>
      <c r="C1870" s="226" t="s">
        <v>683</v>
      </c>
      <c r="D1870" s="701" t="s">
        <v>855</v>
      </c>
      <c r="E1870" s="701"/>
      <c r="F1870" s="701"/>
      <c r="G1870" s="226" t="s">
        <v>12</v>
      </c>
      <c r="H1870" s="226">
        <v>2</v>
      </c>
      <c r="L1870" s="226">
        <v>2</v>
      </c>
    </row>
    <row r="1871" spans="1:15" ht="12" customHeight="1" x14ac:dyDescent="0.3">
      <c r="A1871" s="156" t="s">
        <v>587</v>
      </c>
      <c r="B1871" s="227" t="s">
        <v>847</v>
      </c>
      <c r="C1871" s="226" t="s">
        <v>683</v>
      </c>
      <c r="D1871" s="701" t="s">
        <v>855</v>
      </c>
      <c r="E1871" s="701"/>
      <c r="F1871" s="701"/>
      <c r="G1871" s="226" t="s">
        <v>12</v>
      </c>
      <c r="H1871" s="226">
        <v>2</v>
      </c>
      <c r="L1871" s="226">
        <v>2</v>
      </c>
      <c r="M1871" s="227"/>
      <c r="N1871" s="227"/>
      <c r="O1871" s="227"/>
    </row>
    <row r="1872" spans="1:15" ht="10.5" customHeight="1" x14ac:dyDescent="0.3">
      <c r="A1872" s="156" t="s">
        <v>590</v>
      </c>
      <c r="B1872" s="227" t="s">
        <v>849</v>
      </c>
      <c r="C1872" s="226" t="s">
        <v>683</v>
      </c>
      <c r="D1872" s="701" t="s">
        <v>855</v>
      </c>
      <c r="E1872" s="701"/>
      <c r="F1872" s="701"/>
      <c r="G1872" s="226" t="s">
        <v>12</v>
      </c>
      <c r="H1872" s="226">
        <v>2</v>
      </c>
      <c r="L1872" s="226">
        <v>2</v>
      </c>
    </row>
    <row r="1873" spans="1:12" ht="10.5" customHeight="1" x14ac:dyDescent="0.3">
      <c r="A1873" s="156" t="s">
        <v>592</v>
      </c>
      <c r="B1873" s="227" t="s">
        <v>850</v>
      </c>
      <c r="C1873" s="226" t="s">
        <v>683</v>
      </c>
      <c r="D1873" s="701" t="s">
        <v>855</v>
      </c>
      <c r="E1873" s="701"/>
      <c r="F1873" s="701"/>
      <c r="G1873" s="226" t="s">
        <v>12</v>
      </c>
      <c r="H1873" s="226">
        <v>2</v>
      </c>
      <c r="L1873" s="226">
        <v>2</v>
      </c>
    </row>
    <row r="1874" spans="1:12" ht="10.5" customHeight="1" x14ac:dyDescent="0.3">
      <c r="A1874" s="156" t="s">
        <v>594</v>
      </c>
      <c r="B1874" s="227" t="s">
        <v>851</v>
      </c>
      <c r="C1874" s="226" t="s">
        <v>683</v>
      </c>
      <c r="D1874" s="701" t="s">
        <v>855</v>
      </c>
      <c r="E1874" s="701"/>
      <c r="F1874" s="701"/>
      <c r="G1874" s="226" t="s">
        <v>12</v>
      </c>
      <c r="H1874" s="226">
        <v>2</v>
      </c>
      <c r="L1874" s="226">
        <v>2</v>
      </c>
    </row>
    <row r="1875" spans="1:12" ht="10.5" customHeight="1" x14ac:dyDescent="0.3">
      <c r="A1875" s="156" t="s">
        <v>596</v>
      </c>
      <c r="B1875" s="227" t="s">
        <v>852</v>
      </c>
      <c r="C1875" s="226" t="s">
        <v>683</v>
      </c>
      <c r="D1875" s="701" t="s">
        <v>855</v>
      </c>
      <c r="E1875" s="701"/>
      <c r="F1875" s="701"/>
      <c r="G1875" s="226" t="s">
        <v>12</v>
      </c>
      <c r="H1875" s="226">
        <v>2</v>
      </c>
      <c r="L1875" s="226">
        <v>2</v>
      </c>
    </row>
    <row r="1876" spans="1:12" ht="10.5" customHeight="1" x14ac:dyDescent="0.3">
      <c r="A1876" s="156" t="s">
        <v>604</v>
      </c>
      <c r="B1876" s="227" t="s">
        <v>853</v>
      </c>
      <c r="C1876" s="226" t="s">
        <v>683</v>
      </c>
      <c r="D1876" s="701" t="s">
        <v>855</v>
      </c>
      <c r="E1876" s="701"/>
      <c r="F1876" s="701"/>
      <c r="G1876" s="226" t="s">
        <v>12</v>
      </c>
      <c r="H1876" s="226">
        <v>2</v>
      </c>
      <c r="L1876" s="226">
        <v>2</v>
      </c>
    </row>
    <row r="1877" spans="1:12" ht="10.5" customHeight="1" x14ac:dyDescent="0.3">
      <c r="A1877" s="156" t="s">
        <v>606</v>
      </c>
      <c r="B1877" s="227" t="s">
        <v>854</v>
      </c>
      <c r="C1877" s="226" t="s">
        <v>683</v>
      </c>
      <c r="D1877" s="701" t="s">
        <v>855</v>
      </c>
      <c r="E1877" s="701"/>
      <c r="F1877" s="701"/>
      <c r="G1877" s="226" t="s">
        <v>12</v>
      </c>
      <c r="H1877" s="226">
        <v>2</v>
      </c>
      <c r="L1877" s="226">
        <v>2</v>
      </c>
    </row>
    <row r="1878" spans="1:12" ht="10.5" customHeight="1" x14ac:dyDescent="0.3">
      <c r="A1878" s="156" t="s">
        <v>609</v>
      </c>
      <c r="B1878" s="227" t="s">
        <v>1114</v>
      </c>
      <c r="C1878" s="226" t="s">
        <v>683</v>
      </c>
      <c r="D1878" s="701" t="s">
        <v>855</v>
      </c>
      <c r="E1878" s="701"/>
      <c r="F1878" s="701"/>
      <c r="G1878" s="226" t="s">
        <v>12</v>
      </c>
      <c r="H1878" s="226">
        <v>2</v>
      </c>
      <c r="L1878" s="226">
        <v>2</v>
      </c>
    </row>
    <row r="1879" spans="1:12" ht="10.5" customHeight="1" x14ac:dyDescent="0.3">
      <c r="A1879" s="156" t="s">
        <v>611</v>
      </c>
      <c r="B1879" s="227" t="s">
        <v>1115</v>
      </c>
      <c r="C1879" s="226" t="s">
        <v>683</v>
      </c>
      <c r="D1879" s="701" t="s">
        <v>855</v>
      </c>
      <c r="E1879" s="701"/>
      <c r="F1879" s="701"/>
      <c r="G1879" s="226" t="s">
        <v>12</v>
      </c>
      <c r="H1879" s="226">
        <v>2</v>
      </c>
      <c r="L1879" s="226">
        <v>2</v>
      </c>
    </row>
    <row r="1880" spans="1:12" ht="10.5" customHeight="1" x14ac:dyDescent="0.3">
      <c r="A1880" s="156" t="s">
        <v>613</v>
      </c>
      <c r="B1880" s="227" t="s">
        <v>851</v>
      </c>
      <c r="C1880" s="226" t="s">
        <v>683</v>
      </c>
      <c r="D1880" s="701" t="s">
        <v>855</v>
      </c>
      <c r="E1880" s="701"/>
      <c r="F1880" s="701"/>
      <c r="G1880" s="226" t="s">
        <v>12</v>
      </c>
      <c r="H1880" s="226">
        <v>2</v>
      </c>
      <c r="L1880" s="226">
        <v>2</v>
      </c>
    </row>
    <row r="1881" spans="1:12" ht="10.5" customHeight="1" x14ac:dyDescent="0.3">
      <c r="A1881" s="156" t="s">
        <v>616</v>
      </c>
      <c r="B1881" s="227" t="s">
        <v>734</v>
      </c>
      <c r="C1881" s="226" t="s">
        <v>684</v>
      </c>
      <c r="D1881" s="701" t="s">
        <v>738</v>
      </c>
      <c r="E1881" s="701"/>
      <c r="F1881" s="701"/>
      <c r="G1881" s="226" t="s">
        <v>12</v>
      </c>
      <c r="H1881" s="226">
        <v>2</v>
      </c>
      <c r="L1881" s="226">
        <v>2</v>
      </c>
    </row>
    <row r="1882" spans="1:12" ht="10.5" customHeight="1" x14ac:dyDescent="0.3">
      <c r="A1882" s="156" t="s">
        <v>618</v>
      </c>
      <c r="B1882" s="227" t="s">
        <v>735</v>
      </c>
      <c r="C1882" s="226" t="s">
        <v>684</v>
      </c>
      <c r="D1882" s="701" t="s">
        <v>738</v>
      </c>
      <c r="E1882" s="701"/>
      <c r="F1882" s="701"/>
      <c r="G1882" s="226" t="s">
        <v>12</v>
      </c>
      <c r="H1882" s="226">
        <v>2</v>
      </c>
      <c r="L1882" s="226">
        <v>2</v>
      </c>
    </row>
    <row r="1883" spans="1:12" ht="10.5" customHeight="1" x14ac:dyDescent="0.3">
      <c r="A1883" s="156" t="s">
        <v>620</v>
      </c>
      <c r="B1883" s="227" t="s">
        <v>736</v>
      </c>
      <c r="C1883" s="226" t="s">
        <v>684</v>
      </c>
      <c r="D1883" s="701" t="s">
        <v>738</v>
      </c>
      <c r="E1883" s="701"/>
      <c r="F1883" s="701"/>
      <c r="G1883" s="226" t="s">
        <v>12</v>
      </c>
      <c r="H1883" s="226">
        <v>2</v>
      </c>
      <c r="L1883" s="226">
        <v>2</v>
      </c>
    </row>
    <row r="1884" spans="1:12" ht="10.5" customHeight="1" x14ac:dyDescent="0.3">
      <c r="A1884" s="156" t="s">
        <v>623</v>
      </c>
      <c r="B1884" s="227" t="s">
        <v>755</v>
      </c>
      <c r="C1884" s="226" t="s">
        <v>684</v>
      </c>
      <c r="D1884" s="701" t="s">
        <v>738</v>
      </c>
      <c r="E1884" s="701"/>
      <c r="F1884" s="701"/>
      <c r="G1884" s="226" t="s">
        <v>12</v>
      </c>
      <c r="H1884" s="226">
        <v>2</v>
      </c>
      <c r="L1884" s="226">
        <v>2</v>
      </c>
    </row>
    <row r="1885" spans="1:12" ht="10.5" customHeight="1" x14ac:dyDescent="0.3">
      <c r="A1885" s="156" t="s">
        <v>625</v>
      </c>
      <c r="B1885" s="227" t="s">
        <v>758</v>
      </c>
      <c r="C1885" s="226" t="s">
        <v>684</v>
      </c>
      <c r="D1885" s="701" t="s">
        <v>738</v>
      </c>
      <c r="E1885" s="701"/>
      <c r="F1885" s="701"/>
      <c r="G1885" s="226" t="s">
        <v>12</v>
      </c>
      <c r="H1885" s="226">
        <v>2</v>
      </c>
      <c r="L1885" s="226">
        <v>2</v>
      </c>
    </row>
    <row r="1886" spans="1:12" ht="10.5" customHeight="1" x14ac:dyDescent="0.3">
      <c r="A1886" s="156" t="s">
        <v>627</v>
      </c>
      <c r="B1886" s="227" t="s">
        <v>761</v>
      </c>
      <c r="C1886" s="226" t="s">
        <v>684</v>
      </c>
      <c r="D1886" s="701" t="s">
        <v>738</v>
      </c>
      <c r="E1886" s="701"/>
      <c r="F1886" s="701"/>
      <c r="G1886" s="226" t="s">
        <v>12</v>
      </c>
      <c r="H1886" s="226">
        <v>2</v>
      </c>
      <c r="L1886" s="226">
        <v>2</v>
      </c>
    </row>
    <row r="1887" spans="1:12" ht="10.5" customHeight="1" x14ac:dyDescent="0.3">
      <c r="A1887" s="156" t="s">
        <v>629</v>
      </c>
      <c r="B1887" s="227" t="s">
        <v>752</v>
      </c>
      <c r="C1887" s="226" t="s">
        <v>684</v>
      </c>
      <c r="D1887" s="701" t="s">
        <v>738</v>
      </c>
      <c r="E1887" s="701"/>
      <c r="F1887" s="701"/>
      <c r="G1887" s="226" t="s">
        <v>12</v>
      </c>
      <c r="H1887" s="226">
        <v>2</v>
      </c>
      <c r="L1887" s="226">
        <v>2</v>
      </c>
    </row>
    <row r="1888" spans="1:12" ht="10.5" customHeight="1" x14ac:dyDescent="0.3">
      <c r="A1888" s="156" t="s">
        <v>631</v>
      </c>
      <c r="B1888" s="227" t="s">
        <v>759</v>
      </c>
      <c r="C1888" s="226" t="s">
        <v>684</v>
      </c>
      <c r="D1888" s="701" t="s">
        <v>738</v>
      </c>
      <c r="E1888" s="701"/>
      <c r="F1888" s="701"/>
      <c r="G1888" s="226" t="s">
        <v>12</v>
      </c>
      <c r="H1888" s="226">
        <v>2</v>
      </c>
      <c r="L1888" s="226">
        <v>2</v>
      </c>
    </row>
    <row r="1889" spans="1:15" ht="10.5" customHeight="1" x14ac:dyDescent="0.3">
      <c r="A1889" s="156" t="s">
        <v>633</v>
      </c>
      <c r="B1889" s="227" t="s">
        <v>760</v>
      </c>
      <c r="C1889" s="226" t="s">
        <v>684</v>
      </c>
      <c r="D1889" s="701" t="s">
        <v>738</v>
      </c>
      <c r="E1889" s="701"/>
      <c r="F1889" s="701"/>
      <c r="G1889" s="226" t="s">
        <v>12</v>
      </c>
      <c r="H1889" s="226">
        <v>2</v>
      </c>
      <c r="L1889" s="226">
        <v>2</v>
      </c>
    </row>
    <row r="1890" spans="1:15" ht="12" customHeight="1" x14ac:dyDescent="0.3">
      <c r="A1890" s="156" t="s">
        <v>639</v>
      </c>
      <c r="B1890" s="227" t="s">
        <v>792</v>
      </c>
      <c r="C1890" s="226" t="s">
        <v>684</v>
      </c>
      <c r="D1890" s="701" t="s">
        <v>738</v>
      </c>
      <c r="E1890" s="701"/>
      <c r="F1890" s="701"/>
      <c r="G1890" s="226" t="s">
        <v>12</v>
      </c>
      <c r="H1890" s="226">
        <v>2</v>
      </c>
      <c r="L1890" s="226">
        <v>2</v>
      </c>
      <c r="M1890" s="227"/>
      <c r="N1890" s="227"/>
      <c r="O1890" s="227"/>
    </row>
    <row r="1891" spans="1:15" ht="10.5" customHeight="1" x14ac:dyDescent="0.3">
      <c r="A1891" s="156" t="s">
        <v>641</v>
      </c>
      <c r="B1891" s="227" t="s">
        <v>778</v>
      </c>
      <c r="C1891" s="226" t="s">
        <v>684</v>
      </c>
      <c r="D1891" s="701" t="s">
        <v>738</v>
      </c>
      <c r="E1891" s="701"/>
      <c r="F1891" s="701"/>
      <c r="G1891" s="226" t="s">
        <v>12</v>
      </c>
      <c r="H1891" s="226">
        <v>2</v>
      </c>
      <c r="L1891" s="226">
        <v>2</v>
      </c>
    </row>
    <row r="1892" spans="1:15" ht="10.5" customHeight="1" x14ac:dyDescent="0.3">
      <c r="A1892" s="156" t="s">
        <v>643</v>
      </c>
      <c r="B1892" s="227" t="s">
        <v>779</v>
      </c>
      <c r="C1892" s="226" t="s">
        <v>684</v>
      </c>
      <c r="D1892" s="701" t="s">
        <v>738</v>
      </c>
      <c r="E1892" s="701"/>
      <c r="F1892" s="701"/>
      <c r="G1892" s="226" t="s">
        <v>12</v>
      </c>
      <c r="H1892" s="226">
        <v>2</v>
      </c>
      <c r="L1892" s="226">
        <v>2</v>
      </c>
    </row>
    <row r="1893" spans="1:15" ht="10.5" customHeight="1" x14ac:dyDescent="0.3">
      <c r="A1893" s="156" t="s">
        <v>645</v>
      </c>
      <c r="B1893" s="227" t="s">
        <v>780</v>
      </c>
      <c r="C1893" s="226" t="s">
        <v>684</v>
      </c>
      <c r="D1893" s="701" t="s">
        <v>738</v>
      </c>
      <c r="E1893" s="701"/>
      <c r="F1893" s="701"/>
      <c r="G1893" s="226" t="s">
        <v>12</v>
      </c>
      <c r="H1893" s="226">
        <v>2</v>
      </c>
      <c r="L1893" s="226">
        <v>2</v>
      </c>
    </row>
    <row r="1894" spans="1:15" ht="10.5" customHeight="1" x14ac:dyDescent="0.3">
      <c r="A1894" s="156" t="s">
        <v>647</v>
      </c>
      <c r="B1894" s="227" t="s">
        <v>781</v>
      </c>
      <c r="C1894" s="226" t="s">
        <v>684</v>
      </c>
      <c r="D1894" s="701" t="s">
        <v>738</v>
      </c>
      <c r="E1894" s="701"/>
      <c r="F1894" s="701"/>
      <c r="G1894" s="226" t="s">
        <v>12</v>
      </c>
      <c r="H1894" s="226">
        <v>2</v>
      </c>
      <c r="L1894" s="226">
        <v>2</v>
      </c>
    </row>
    <row r="1895" spans="1:15" ht="10.5" customHeight="1" x14ac:dyDescent="0.3">
      <c r="A1895" s="156" t="s">
        <v>650</v>
      </c>
      <c r="B1895" s="227" t="s">
        <v>793</v>
      </c>
      <c r="C1895" s="226" t="s">
        <v>684</v>
      </c>
      <c r="D1895" s="701" t="s">
        <v>738</v>
      </c>
      <c r="E1895" s="701"/>
      <c r="F1895" s="701"/>
      <c r="G1895" s="226" t="s">
        <v>12</v>
      </c>
      <c r="H1895" s="226">
        <v>2</v>
      </c>
      <c r="L1895" s="226">
        <v>2</v>
      </c>
    </row>
    <row r="1896" spans="1:15" ht="10.5" customHeight="1" x14ac:dyDescent="0.3">
      <c r="A1896" s="156" t="s">
        <v>652</v>
      </c>
      <c r="B1896" s="227" t="s">
        <v>794</v>
      </c>
      <c r="C1896" s="226" t="s">
        <v>684</v>
      </c>
      <c r="D1896" s="701" t="s">
        <v>738</v>
      </c>
      <c r="E1896" s="701"/>
      <c r="F1896" s="701"/>
      <c r="G1896" s="226" t="s">
        <v>12</v>
      </c>
      <c r="H1896" s="226">
        <v>2</v>
      </c>
      <c r="L1896" s="226">
        <v>2</v>
      </c>
    </row>
    <row r="1897" spans="1:15" ht="10.5" customHeight="1" x14ac:dyDescent="0.3">
      <c r="A1897" s="156" t="s">
        <v>654</v>
      </c>
      <c r="B1897" s="227" t="s">
        <v>795</v>
      </c>
      <c r="C1897" s="226" t="s">
        <v>684</v>
      </c>
      <c r="D1897" s="701" t="s">
        <v>738</v>
      </c>
      <c r="E1897" s="701"/>
      <c r="F1897" s="701"/>
      <c r="G1897" s="226" t="s">
        <v>12</v>
      </c>
      <c r="H1897" s="226">
        <v>2</v>
      </c>
      <c r="L1897" s="226">
        <v>2</v>
      </c>
    </row>
    <row r="1898" spans="1:15" ht="10.5" customHeight="1" x14ac:dyDescent="0.3">
      <c r="A1898" s="156" t="s">
        <v>656</v>
      </c>
      <c r="B1898" s="227" t="s">
        <v>796</v>
      </c>
      <c r="C1898" s="226" t="s">
        <v>684</v>
      </c>
      <c r="D1898" s="701" t="s">
        <v>738</v>
      </c>
      <c r="E1898" s="701"/>
      <c r="F1898" s="701"/>
      <c r="G1898" s="226" t="s">
        <v>12</v>
      </c>
      <c r="H1898" s="226">
        <v>2</v>
      </c>
      <c r="L1898" s="226">
        <v>2</v>
      </c>
    </row>
    <row r="1899" spans="1:15" ht="10.5" customHeight="1" x14ac:dyDescent="0.3">
      <c r="A1899" s="156" t="s">
        <v>658</v>
      </c>
      <c r="B1899" s="227" t="s">
        <v>797</v>
      </c>
      <c r="C1899" s="226" t="s">
        <v>684</v>
      </c>
      <c r="D1899" s="701" t="s">
        <v>738</v>
      </c>
      <c r="E1899" s="701"/>
      <c r="F1899" s="701"/>
      <c r="G1899" s="226" t="s">
        <v>12</v>
      </c>
      <c r="H1899" s="226">
        <v>2</v>
      </c>
      <c r="L1899" s="226">
        <v>2</v>
      </c>
    </row>
    <row r="1900" spans="1:15" ht="10.5" customHeight="1" x14ac:dyDescent="0.3">
      <c r="A1900" s="156" t="s">
        <v>661</v>
      </c>
      <c r="B1900" s="227" t="s">
        <v>800</v>
      </c>
      <c r="C1900" s="226" t="s">
        <v>684</v>
      </c>
      <c r="D1900" s="701" t="s">
        <v>738</v>
      </c>
      <c r="E1900" s="701"/>
      <c r="F1900" s="701"/>
      <c r="G1900" s="226" t="s">
        <v>12</v>
      </c>
      <c r="H1900" s="226">
        <v>2</v>
      </c>
      <c r="L1900" s="226">
        <v>2</v>
      </c>
    </row>
    <row r="1901" spans="1:15" ht="10.5" customHeight="1" x14ac:dyDescent="0.3">
      <c r="A1901" s="156" t="s">
        <v>687</v>
      </c>
      <c r="B1901" s="227" t="s">
        <v>801</v>
      </c>
      <c r="C1901" s="226" t="s">
        <v>684</v>
      </c>
      <c r="D1901" s="701" t="s">
        <v>738</v>
      </c>
      <c r="E1901" s="701"/>
      <c r="F1901" s="701"/>
      <c r="G1901" s="226" t="s">
        <v>12</v>
      </c>
      <c r="H1901" s="226">
        <v>2</v>
      </c>
      <c r="L1901" s="226">
        <v>2</v>
      </c>
    </row>
    <row r="1902" spans="1:15" ht="10.5" customHeight="1" x14ac:dyDescent="0.3">
      <c r="A1902" s="156" t="s">
        <v>689</v>
      </c>
      <c r="B1902" s="227" t="s">
        <v>802</v>
      </c>
      <c r="C1902" s="226" t="s">
        <v>684</v>
      </c>
      <c r="D1902" s="701" t="s">
        <v>738</v>
      </c>
      <c r="E1902" s="701"/>
      <c r="F1902" s="701"/>
      <c r="G1902" s="226" t="s">
        <v>12</v>
      </c>
      <c r="H1902" s="226">
        <v>2</v>
      </c>
      <c r="L1902" s="226">
        <v>2</v>
      </c>
    </row>
    <row r="1903" spans="1:15" ht="10.5" customHeight="1" x14ac:dyDescent="0.3">
      <c r="A1903" s="156" t="s">
        <v>692</v>
      </c>
      <c r="B1903" s="227" t="s">
        <v>805</v>
      </c>
      <c r="C1903" s="226" t="s">
        <v>684</v>
      </c>
      <c r="D1903" s="701" t="s">
        <v>738</v>
      </c>
      <c r="E1903" s="701"/>
      <c r="F1903" s="701"/>
      <c r="G1903" s="226" t="s">
        <v>12</v>
      </c>
      <c r="H1903" s="226">
        <v>2</v>
      </c>
      <c r="L1903" s="226">
        <v>2</v>
      </c>
    </row>
    <row r="1904" spans="1:15" ht="10.5" customHeight="1" x14ac:dyDescent="0.3">
      <c r="A1904" s="156" t="s">
        <v>694</v>
      </c>
      <c r="B1904" s="227" t="s">
        <v>806</v>
      </c>
      <c r="C1904" s="226" t="s">
        <v>684</v>
      </c>
      <c r="D1904" s="701" t="s">
        <v>738</v>
      </c>
      <c r="E1904" s="701"/>
      <c r="F1904" s="701"/>
      <c r="G1904" s="226" t="s">
        <v>12</v>
      </c>
      <c r="H1904" s="226">
        <v>2</v>
      </c>
      <c r="L1904" s="226">
        <v>2</v>
      </c>
    </row>
    <row r="1905" spans="1:15" ht="10.5" customHeight="1" x14ac:dyDescent="0.3">
      <c r="A1905" s="156" t="s">
        <v>696</v>
      </c>
      <c r="B1905" s="227" t="s">
        <v>807</v>
      </c>
      <c r="C1905" s="226" t="s">
        <v>684</v>
      </c>
      <c r="D1905" s="701" t="s">
        <v>738</v>
      </c>
      <c r="E1905" s="701"/>
      <c r="F1905" s="701"/>
      <c r="G1905" s="226" t="s">
        <v>12</v>
      </c>
      <c r="H1905" s="226">
        <v>2</v>
      </c>
      <c r="L1905" s="226">
        <v>2</v>
      </c>
    </row>
    <row r="1906" spans="1:15" ht="10.5" customHeight="1" x14ac:dyDescent="0.3">
      <c r="A1906" s="156" t="s">
        <v>700</v>
      </c>
      <c r="B1906" s="227" t="s">
        <v>809</v>
      </c>
      <c r="C1906" s="226" t="s">
        <v>684</v>
      </c>
      <c r="D1906" s="701" t="s">
        <v>738</v>
      </c>
      <c r="E1906" s="701"/>
      <c r="F1906" s="701"/>
      <c r="G1906" s="226" t="s">
        <v>12</v>
      </c>
      <c r="H1906" s="226">
        <v>2</v>
      </c>
      <c r="L1906" s="226">
        <v>2</v>
      </c>
    </row>
    <row r="1907" spans="1:15" ht="12" customHeight="1" x14ac:dyDescent="0.3">
      <c r="A1907" s="156" t="s">
        <v>702</v>
      </c>
      <c r="B1907" s="227" t="s">
        <v>810</v>
      </c>
      <c r="C1907" s="226" t="s">
        <v>684</v>
      </c>
      <c r="D1907" s="701" t="s">
        <v>738</v>
      </c>
      <c r="E1907" s="701"/>
      <c r="F1907" s="701"/>
      <c r="G1907" s="226" t="s">
        <v>12</v>
      </c>
      <c r="H1907" s="226">
        <v>2</v>
      </c>
      <c r="L1907" s="226">
        <v>2</v>
      </c>
      <c r="M1907" s="227"/>
      <c r="N1907" s="227"/>
      <c r="O1907" s="227"/>
    </row>
    <row r="1908" spans="1:15" ht="10.5" customHeight="1" x14ac:dyDescent="0.3">
      <c r="A1908" s="156" t="s">
        <v>704</v>
      </c>
      <c r="B1908" s="227" t="s">
        <v>811</v>
      </c>
      <c r="C1908" s="226" t="s">
        <v>684</v>
      </c>
      <c r="D1908" s="701" t="s">
        <v>738</v>
      </c>
      <c r="E1908" s="701"/>
      <c r="F1908" s="701"/>
      <c r="G1908" s="226" t="s">
        <v>12</v>
      </c>
      <c r="H1908" s="226">
        <v>2</v>
      </c>
      <c r="L1908" s="226">
        <v>2</v>
      </c>
    </row>
    <row r="1909" spans="1:15" ht="10.5" customHeight="1" x14ac:dyDescent="0.3">
      <c r="A1909" s="156" t="s">
        <v>706</v>
      </c>
      <c r="B1909" s="227" t="s">
        <v>812</v>
      </c>
      <c r="C1909" s="226" t="s">
        <v>684</v>
      </c>
      <c r="D1909" s="701" t="s">
        <v>738</v>
      </c>
      <c r="E1909" s="701"/>
      <c r="F1909" s="701"/>
      <c r="G1909" s="226" t="s">
        <v>12</v>
      </c>
      <c r="H1909" s="226">
        <v>2</v>
      </c>
      <c r="L1909" s="226">
        <v>2</v>
      </c>
    </row>
    <row r="1910" spans="1:15" ht="10.5" customHeight="1" x14ac:dyDescent="0.3">
      <c r="A1910" s="156" t="s">
        <v>731</v>
      </c>
      <c r="B1910" s="227" t="s">
        <v>813</v>
      </c>
      <c r="C1910" s="226" t="s">
        <v>684</v>
      </c>
      <c r="D1910" s="701" t="s">
        <v>738</v>
      </c>
      <c r="E1910" s="701"/>
      <c r="F1910" s="701"/>
      <c r="G1910" s="226" t="s">
        <v>12</v>
      </c>
      <c r="H1910" s="226">
        <v>2</v>
      </c>
      <c r="L1910" s="226">
        <v>2</v>
      </c>
    </row>
    <row r="1911" spans="1:15" ht="10.5" customHeight="1" x14ac:dyDescent="0.3">
      <c r="A1911" s="156" t="s">
        <v>741</v>
      </c>
      <c r="B1911" s="227" t="s">
        <v>815</v>
      </c>
      <c r="C1911" s="226" t="s">
        <v>684</v>
      </c>
      <c r="D1911" s="701" t="s">
        <v>738</v>
      </c>
      <c r="E1911" s="701"/>
      <c r="F1911" s="701"/>
      <c r="G1911" s="226" t="s">
        <v>12</v>
      </c>
      <c r="H1911" s="226">
        <v>2</v>
      </c>
      <c r="L1911" s="226">
        <v>2</v>
      </c>
    </row>
    <row r="1912" spans="1:15" ht="10.5" customHeight="1" x14ac:dyDescent="0.3">
      <c r="A1912" s="156" t="s">
        <v>743</v>
      </c>
      <c r="B1912" s="227" t="s">
        <v>816</v>
      </c>
      <c r="C1912" s="226" t="s">
        <v>684</v>
      </c>
      <c r="D1912" s="701" t="s">
        <v>738</v>
      </c>
      <c r="E1912" s="701"/>
      <c r="F1912" s="701"/>
      <c r="G1912" s="226" t="s">
        <v>12</v>
      </c>
      <c r="H1912" s="226">
        <v>2</v>
      </c>
      <c r="L1912" s="226">
        <v>2</v>
      </c>
    </row>
    <row r="1913" spans="1:15" ht="10.5" customHeight="1" x14ac:dyDescent="0.3">
      <c r="A1913" s="156" t="s">
        <v>745</v>
      </c>
      <c r="B1913" s="227" t="s">
        <v>817</v>
      </c>
      <c r="C1913" s="226" t="s">
        <v>684</v>
      </c>
      <c r="D1913" s="701" t="s">
        <v>738</v>
      </c>
      <c r="E1913" s="701"/>
      <c r="F1913" s="701"/>
      <c r="G1913" s="226" t="s">
        <v>12</v>
      </c>
      <c r="H1913" s="226">
        <v>2</v>
      </c>
      <c r="L1913" s="226">
        <v>2</v>
      </c>
    </row>
    <row r="1914" spans="1:15" ht="10.5" customHeight="1" x14ac:dyDescent="0.3">
      <c r="A1914" s="156" t="s">
        <v>747</v>
      </c>
      <c r="B1914" s="227" t="s">
        <v>818</v>
      </c>
      <c r="C1914" s="226" t="s">
        <v>684</v>
      </c>
      <c r="D1914" s="701" t="s">
        <v>738</v>
      </c>
      <c r="E1914" s="701"/>
      <c r="F1914" s="701"/>
      <c r="G1914" s="226" t="s">
        <v>12</v>
      </c>
      <c r="H1914" s="226">
        <v>2</v>
      </c>
      <c r="L1914" s="226">
        <v>2</v>
      </c>
    </row>
    <row r="1915" spans="1:15" ht="10.5" customHeight="1" x14ac:dyDescent="0.3">
      <c r="A1915" s="156" t="s">
        <v>749</v>
      </c>
      <c r="B1915" s="227" t="s">
        <v>819</v>
      </c>
      <c r="C1915" s="226" t="s">
        <v>684</v>
      </c>
      <c r="D1915" s="701" t="s">
        <v>738</v>
      </c>
      <c r="E1915" s="701"/>
      <c r="F1915" s="701"/>
      <c r="G1915" s="226" t="s">
        <v>12</v>
      </c>
      <c r="H1915" s="226">
        <v>2</v>
      </c>
      <c r="L1915" s="226">
        <v>2</v>
      </c>
    </row>
    <row r="1916" spans="1:15" x14ac:dyDescent="0.3">
      <c r="A1916" s="156" t="s">
        <v>753</v>
      </c>
      <c r="B1916" s="227" t="s">
        <v>821</v>
      </c>
      <c r="C1916" s="226" t="s">
        <v>684</v>
      </c>
      <c r="D1916" s="701" t="s">
        <v>738</v>
      </c>
      <c r="E1916" s="701"/>
      <c r="F1916" s="701"/>
      <c r="G1916" s="226" t="s">
        <v>12</v>
      </c>
      <c r="H1916" s="226">
        <v>2</v>
      </c>
      <c r="L1916" s="226">
        <v>2</v>
      </c>
    </row>
    <row r="1917" spans="1:15" x14ac:dyDescent="0.3">
      <c r="A1917" s="156" t="s">
        <v>756</v>
      </c>
      <c r="B1917" s="227" t="s">
        <v>822</v>
      </c>
      <c r="C1917" s="226" t="s">
        <v>684</v>
      </c>
      <c r="D1917" s="701" t="s">
        <v>738</v>
      </c>
      <c r="E1917" s="701"/>
      <c r="F1917" s="701"/>
      <c r="G1917" s="226" t="s">
        <v>12</v>
      </c>
      <c r="H1917" s="226">
        <v>2</v>
      </c>
      <c r="L1917" s="226">
        <v>2</v>
      </c>
    </row>
    <row r="1918" spans="1:15" x14ac:dyDescent="0.3">
      <c r="A1918" s="156" t="s">
        <v>762</v>
      </c>
      <c r="B1918" s="227" t="s">
        <v>823</v>
      </c>
      <c r="C1918" s="226" t="s">
        <v>684</v>
      </c>
      <c r="D1918" s="701" t="s">
        <v>738</v>
      </c>
      <c r="E1918" s="701"/>
      <c r="F1918" s="701"/>
      <c r="G1918" s="226" t="s">
        <v>12</v>
      </c>
      <c r="H1918" s="226">
        <v>2</v>
      </c>
      <c r="L1918" s="226">
        <v>2</v>
      </c>
    </row>
    <row r="1919" spans="1:15" x14ac:dyDescent="0.3">
      <c r="A1919" s="156" t="s">
        <v>764</v>
      </c>
      <c r="B1919" s="227" t="s">
        <v>824</v>
      </c>
      <c r="C1919" s="226" t="s">
        <v>684</v>
      </c>
      <c r="D1919" s="701" t="s">
        <v>738</v>
      </c>
      <c r="E1919" s="701"/>
      <c r="F1919" s="701"/>
      <c r="G1919" s="226" t="s">
        <v>12</v>
      </c>
      <c r="H1919" s="226">
        <v>2</v>
      </c>
      <c r="L1919" s="226">
        <v>2</v>
      </c>
    </row>
    <row r="1920" spans="1:15" x14ac:dyDescent="0.3">
      <c r="A1920" s="156" t="s">
        <v>766</v>
      </c>
      <c r="B1920" s="227" t="s">
        <v>825</v>
      </c>
      <c r="C1920" s="226" t="s">
        <v>684</v>
      </c>
      <c r="D1920" s="701" t="s">
        <v>738</v>
      </c>
      <c r="E1920" s="701"/>
      <c r="F1920" s="701"/>
      <c r="G1920" s="226" t="s">
        <v>12</v>
      </c>
      <c r="H1920" s="226">
        <v>2</v>
      </c>
      <c r="L1920" s="226">
        <v>2</v>
      </c>
    </row>
    <row r="1921" spans="1:12" x14ac:dyDescent="0.3">
      <c r="A1921" s="156" t="s">
        <v>768</v>
      </c>
      <c r="B1921" s="227" t="s">
        <v>826</v>
      </c>
      <c r="C1921" s="226" t="s">
        <v>684</v>
      </c>
      <c r="D1921" s="701" t="s">
        <v>738</v>
      </c>
      <c r="E1921" s="701"/>
      <c r="F1921" s="701"/>
      <c r="G1921" s="226" t="s">
        <v>12</v>
      </c>
      <c r="H1921" s="226">
        <v>2</v>
      </c>
      <c r="L1921" s="226">
        <v>2</v>
      </c>
    </row>
    <row r="1922" spans="1:12" x14ac:dyDescent="0.3">
      <c r="A1922" s="156" t="s">
        <v>771</v>
      </c>
      <c r="B1922" s="227" t="s">
        <v>827</v>
      </c>
      <c r="C1922" s="226" t="s">
        <v>684</v>
      </c>
      <c r="D1922" s="701" t="s">
        <v>738</v>
      </c>
      <c r="E1922" s="701"/>
      <c r="F1922" s="701"/>
      <c r="G1922" s="226" t="s">
        <v>12</v>
      </c>
      <c r="H1922" s="226">
        <v>2</v>
      </c>
      <c r="L1922" s="226">
        <v>2</v>
      </c>
    </row>
    <row r="1923" spans="1:12" x14ac:dyDescent="0.3">
      <c r="A1923" s="156" t="s">
        <v>773</v>
      </c>
      <c r="B1923" s="227" t="s">
        <v>828</v>
      </c>
      <c r="C1923" s="226" t="s">
        <v>684</v>
      </c>
      <c r="D1923" s="701" t="s">
        <v>738</v>
      </c>
      <c r="E1923" s="701"/>
      <c r="F1923" s="701"/>
      <c r="G1923" s="226" t="s">
        <v>12</v>
      </c>
      <c r="H1923" s="226">
        <v>2</v>
      </c>
      <c r="L1923" s="226">
        <v>2</v>
      </c>
    </row>
    <row r="1924" spans="1:12" x14ac:dyDescent="0.3">
      <c r="A1924" s="156" t="s">
        <v>775</v>
      </c>
      <c r="B1924" s="227" t="s">
        <v>829</v>
      </c>
      <c r="C1924" s="226" t="s">
        <v>684</v>
      </c>
      <c r="D1924" s="701" t="s">
        <v>738</v>
      </c>
      <c r="E1924" s="701"/>
      <c r="F1924" s="701"/>
      <c r="G1924" s="226" t="s">
        <v>12</v>
      </c>
      <c r="H1924" s="226">
        <v>2</v>
      </c>
      <c r="L1924" s="226">
        <v>2</v>
      </c>
    </row>
    <row r="1925" spans="1:12" x14ac:dyDescent="0.3">
      <c r="A1925" s="156" t="s">
        <v>786</v>
      </c>
      <c r="B1925" s="227" t="s">
        <v>830</v>
      </c>
      <c r="C1925" s="226" t="s">
        <v>684</v>
      </c>
      <c r="D1925" s="701" t="s">
        <v>738</v>
      </c>
      <c r="E1925" s="701"/>
      <c r="F1925" s="701"/>
      <c r="G1925" s="226" t="s">
        <v>12</v>
      </c>
      <c r="H1925" s="226">
        <v>2</v>
      </c>
      <c r="L1925" s="226">
        <v>2</v>
      </c>
    </row>
    <row r="1926" spans="1:12" x14ac:dyDescent="0.3">
      <c r="A1926" s="156" t="s">
        <v>788</v>
      </c>
      <c r="B1926" s="227" t="s">
        <v>831</v>
      </c>
      <c r="C1926" s="226" t="s">
        <v>684</v>
      </c>
      <c r="D1926" s="701" t="s">
        <v>738</v>
      </c>
      <c r="E1926" s="701"/>
      <c r="F1926" s="701"/>
      <c r="G1926" s="226" t="s">
        <v>12</v>
      </c>
      <c r="H1926" s="226">
        <v>2</v>
      </c>
      <c r="L1926" s="226">
        <v>2</v>
      </c>
    </row>
    <row r="1927" spans="1:12" x14ac:dyDescent="0.3">
      <c r="A1927" s="156" t="s">
        <v>790</v>
      </c>
      <c r="B1927" s="227" t="s">
        <v>832</v>
      </c>
      <c r="C1927" s="226" t="s">
        <v>684</v>
      </c>
      <c r="D1927" s="701" t="s">
        <v>738</v>
      </c>
      <c r="E1927" s="701"/>
      <c r="F1927" s="701"/>
      <c r="G1927" s="226" t="s">
        <v>12</v>
      </c>
      <c r="H1927" s="226">
        <v>2</v>
      </c>
      <c r="L1927" s="226">
        <v>2</v>
      </c>
    </row>
    <row r="1928" spans="1:12" x14ac:dyDescent="0.3">
      <c r="A1928" s="156" t="s">
        <v>1162</v>
      </c>
      <c r="B1928" s="227" t="s">
        <v>1127</v>
      </c>
      <c r="C1928" s="226" t="s">
        <v>1195</v>
      </c>
      <c r="D1928" s="701" t="s">
        <v>1160</v>
      </c>
      <c r="E1928" s="701"/>
      <c r="F1928" s="701"/>
      <c r="G1928" s="226" t="s">
        <v>12</v>
      </c>
      <c r="H1928" s="226">
        <v>2</v>
      </c>
      <c r="L1928" s="226">
        <v>2</v>
      </c>
    </row>
    <row r="1929" spans="1:12" x14ac:dyDescent="0.3">
      <c r="A1929" s="156" t="s">
        <v>1164</v>
      </c>
      <c r="B1929" s="227" t="s">
        <v>1129</v>
      </c>
      <c r="C1929" s="226" t="s">
        <v>1195</v>
      </c>
      <c r="D1929" s="701" t="s">
        <v>1160</v>
      </c>
      <c r="E1929" s="701"/>
      <c r="F1929" s="701"/>
      <c r="G1929" s="226" t="s">
        <v>12</v>
      </c>
      <c r="H1929" s="226">
        <v>2</v>
      </c>
      <c r="L1929" s="226">
        <v>2</v>
      </c>
    </row>
    <row r="1930" spans="1:12" x14ac:dyDescent="0.3">
      <c r="A1930" s="156" t="s">
        <v>1166</v>
      </c>
      <c r="B1930" s="227" t="s">
        <v>1131</v>
      </c>
      <c r="C1930" s="226" t="s">
        <v>1195</v>
      </c>
      <c r="D1930" s="701" t="s">
        <v>1160</v>
      </c>
      <c r="E1930" s="701"/>
      <c r="F1930" s="701"/>
      <c r="G1930" s="226" t="s">
        <v>12</v>
      </c>
      <c r="H1930" s="226">
        <v>2</v>
      </c>
      <c r="L1930" s="226">
        <v>2</v>
      </c>
    </row>
    <row r="1931" spans="1:12" x14ac:dyDescent="0.3">
      <c r="A1931" s="156" t="s">
        <v>1168</v>
      </c>
      <c r="B1931" s="227" t="s">
        <v>1133</v>
      </c>
      <c r="C1931" s="226" t="s">
        <v>1195</v>
      </c>
      <c r="D1931" s="701" t="s">
        <v>1160</v>
      </c>
      <c r="E1931" s="701"/>
      <c r="F1931" s="701"/>
      <c r="G1931" s="226" t="s">
        <v>12</v>
      </c>
      <c r="H1931" s="226">
        <v>2</v>
      </c>
      <c r="L1931" s="226">
        <v>2</v>
      </c>
    </row>
    <row r="1932" spans="1:12" x14ac:dyDescent="0.3">
      <c r="A1932" s="156" t="s">
        <v>1170</v>
      </c>
      <c r="B1932" s="227" t="s">
        <v>1135</v>
      </c>
      <c r="C1932" s="226" t="s">
        <v>1195</v>
      </c>
      <c r="D1932" s="701" t="s">
        <v>1160</v>
      </c>
      <c r="E1932" s="701"/>
      <c r="F1932" s="701"/>
      <c r="G1932" s="226" t="s">
        <v>12</v>
      </c>
      <c r="H1932" s="226">
        <v>2</v>
      </c>
      <c r="L1932" s="226">
        <v>2</v>
      </c>
    </row>
    <row r="1933" spans="1:12" x14ac:dyDescent="0.3">
      <c r="A1933" s="156" t="s">
        <v>1172</v>
      </c>
      <c r="B1933" s="227" t="s">
        <v>1137</v>
      </c>
      <c r="C1933" s="226" t="s">
        <v>1195</v>
      </c>
      <c r="D1933" s="701" t="s">
        <v>1160</v>
      </c>
      <c r="E1933" s="701"/>
      <c r="F1933" s="701"/>
      <c r="G1933" s="226" t="s">
        <v>12</v>
      </c>
      <c r="H1933" s="226">
        <v>2</v>
      </c>
      <c r="L1933" s="226">
        <v>2</v>
      </c>
    </row>
    <row r="1934" spans="1:12" x14ac:dyDescent="0.3">
      <c r="A1934" s="156" t="s">
        <v>1174</v>
      </c>
      <c r="B1934" s="227" t="s">
        <v>1139</v>
      </c>
      <c r="C1934" s="226" t="s">
        <v>1195</v>
      </c>
      <c r="D1934" s="701" t="s">
        <v>1160</v>
      </c>
      <c r="E1934" s="701"/>
      <c r="F1934" s="701"/>
      <c r="G1934" s="226" t="s">
        <v>12</v>
      </c>
      <c r="H1934" s="226">
        <v>2</v>
      </c>
      <c r="L1934" s="226">
        <v>2</v>
      </c>
    </row>
    <row r="1935" spans="1:12" x14ac:dyDescent="0.3">
      <c r="A1935" s="156" t="s">
        <v>1176</v>
      </c>
      <c r="B1935" s="227" t="s">
        <v>1141</v>
      </c>
      <c r="C1935" s="226" t="s">
        <v>1195</v>
      </c>
      <c r="D1935" s="701" t="s">
        <v>1160</v>
      </c>
      <c r="E1935" s="701"/>
      <c r="F1935" s="701"/>
      <c r="G1935" s="226" t="s">
        <v>12</v>
      </c>
      <c r="H1935" s="226">
        <v>2</v>
      </c>
      <c r="L1935" s="226">
        <v>2</v>
      </c>
    </row>
    <row r="1936" spans="1:12" x14ac:dyDescent="0.3">
      <c r="A1936" s="156" t="s">
        <v>1178</v>
      </c>
      <c r="B1936" s="227" t="s">
        <v>1143</v>
      </c>
      <c r="C1936" s="226" t="s">
        <v>1195</v>
      </c>
      <c r="D1936" s="701" t="s">
        <v>1160</v>
      </c>
      <c r="E1936" s="701"/>
      <c r="F1936" s="701"/>
      <c r="G1936" s="226" t="s">
        <v>12</v>
      </c>
      <c r="H1936" s="226">
        <v>2</v>
      </c>
      <c r="L1936" s="226">
        <v>2</v>
      </c>
    </row>
    <row r="1937" spans="1:12" x14ac:dyDescent="0.3">
      <c r="A1937" s="156" t="s">
        <v>1180</v>
      </c>
      <c r="B1937" s="227" t="s">
        <v>1145</v>
      </c>
      <c r="C1937" s="226" t="s">
        <v>1195</v>
      </c>
      <c r="D1937" s="701" t="s">
        <v>1160</v>
      </c>
      <c r="E1937" s="701"/>
      <c r="F1937" s="701"/>
      <c r="G1937" s="226" t="s">
        <v>12</v>
      </c>
      <c r="H1937" s="226">
        <v>2</v>
      </c>
      <c r="L1937" s="226">
        <v>2</v>
      </c>
    </row>
    <row r="1938" spans="1:12" x14ac:dyDescent="0.3">
      <c r="A1938" s="156" t="s">
        <v>1182</v>
      </c>
      <c r="B1938" s="227" t="s">
        <v>1147</v>
      </c>
      <c r="C1938" s="226" t="s">
        <v>1195</v>
      </c>
      <c r="D1938" s="701" t="s">
        <v>1160</v>
      </c>
      <c r="E1938" s="701"/>
      <c r="F1938" s="701"/>
      <c r="G1938" s="226" t="s">
        <v>12</v>
      </c>
      <c r="H1938" s="226">
        <v>2</v>
      </c>
      <c r="L1938" s="226">
        <v>2</v>
      </c>
    </row>
    <row r="1939" spans="1:12" x14ac:dyDescent="0.3">
      <c r="A1939" s="156" t="s">
        <v>1184</v>
      </c>
      <c r="B1939" s="227" t="s">
        <v>1149</v>
      </c>
      <c r="C1939" s="226" t="s">
        <v>1195</v>
      </c>
      <c r="D1939" s="701" t="s">
        <v>1160</v>
      </c>
      <c r="E1939" s="701"/>
      <c r="F1939" s="701"/>
      <c r="G1939" s="226" t="s">
        <v>12</v>
      </c>
      <c r="H1939" s="226">
        <v>2</v>
      </c>
      <c r="L1939" s="226">
        <v>2</v>
      </c>
    </row>
    <row r="1940" spans="1:12" x14ac:dyDescent="0.3">
      <c r="A1940" s="156" t="s">
        <v>1186</v>
      </c>
      <c r="B1940" s="227" t="s">
        <v>1151</v>
      </c>
      <c r="C1940" s="226" t="s">
        <v>1195</v>
      </c>
      <c r="D1940" s="701" t="s">
        <v>1160</v>
      </c>
      <c r="E1940" s="701"/>
      <c r="F1940" s="701"/>
      <c r="G1940" s="226" t="s">
        <v>12</v>
      </c>
      <c r="H1940" s="226">
        <v>2</v>
      </c>
      <c r="L1940" s="226">
        <v>2</v>
      </c>
    </row>
    <row r="1941" spans="1:12" x14ac:dyDescent="0.3">
      <c r="A1941" s="156" t="s">
        <v>1188</v>
      </c>
      <c r="B1941" s="227" t="s">
        <v>1153</v>
      </c>
      <c r="C1941" s="226" t="s">
        <v>1195</v>
      </c>
      <c r="D1941" s="701" t="s">
        <v>1160</v>
      </c>
      <c r="E1941" s="701"/>
      <c r="F1941" s="701"/>
      <c r="G1941" s="226" t="s">
        <v>12</v>
      </c>
      <c r="H1941" s="226">
        <v>2</v>
      </c>
      <c r="L1941" s="226">
        <v>2</v>
      </c>
    </row>
    <row r="1942" spans="1:12" x14ac:dyDescent="0.3">
      <c r="A1942" s="156" t="s">
        <v>1190</v>
      </c>
      <c r="B1942" s="227" t="s">
        <v>1155</v>
      </c>
      <c r="C1942" s="226" t="s">
        <v>1195</v>
      </c>
      <c r="D1942" s="701" t="s">
        <v>1160</v>
      </c>
      <c r="E1942" s="701"/>
      <c r="F1942" s="701"/>
      <c r="G1942" s="226" t="s">
        <v>12</v>
      </c>
      <c r="H1942" s="226">
        <v>2</v>
      </c>
      <c r="L1942" s="226">
        <v>2</v>
      </c>
    </row>
    <row r="1943" spans="1:12" x14ac:dyDescent="0.3">
      <c r="A1943" s="156" t="s">
        <v>1192</v>
      </c>
      <c r="B1943" s="227" t="s">
        <v>1157</v>
      </c>
      <c r="C1943" s="226" t="s">
        <v>1195</v>
      </c>
      <c r="D1943" s="701" t="s">
        <v>1160</v>
      </c>
      <c r="E1943" s="701"/>
      <c r="F1943" s="701"/>
      <c r="G1943" s="226" t="s">
        <v>12</v>
      </c>
      <c r="H1943" s="226">
        <v>2</v>
      </c>
      <c r="L1943" s="226">
        <v>2</v>
      </c>
    </row>
    <row r="1944" spans="1:12" x14ac:dyDescent="0.3">
      <c r="A1944" s="226" t="s">
        <v>199</v>
      </c>
      <c r="B1944" s="226" t="s">
        <v>990</v>
      </c>
      <c r="C1944" s="226" t="s">
        <v>442</v>
      </c>
      <c r="D1944" s="701" t="s">
        <v>599</v>
      </c>
      <c r="E1944" s="701"/>
      <c r="F1944" s="701"/>
      <c r="G1944" s="226" t="s">
        <v>12</v>
      </c>
      <c r="H1944" s="226">
        <v>60</v>
      </c>
      <c r="L1944" s="226">
        <v>60</v>
      </c>
    </row>
    <row r="1945" spans="1:12" x14ac:dyDescent="0.3">
      <c r="A1945" s="226" t="s">
        <v>199</v>
      </c>
      <c r="B1945" s="226" t="s">
        <v>991</v>
      </c>
      <c r="C1945" s="226" t="s">
        <v>442</v>
      </c>
      <c r="D1945" s="701" t="s">
        <v>599</v>
      </c>
      <c r="E1945" s="701"/>
      <c r="F1945" s="701"/>
      <c r="G1945" s="226" t="s">
        <v>12</v>
      </c>
      <c r="H1945" s="226">
        <v>160</v>
      </c>
      <c r="L1945" s="226">
        <v>160</v>
      </c>
    </row>
    <row r="1946" spans="1:12" x14ac:dyDescent="0.3">
      <c r="J1946" s="701" t="s">
        <v>203</v>
      </c>
      <c r="K1946" s="701"/>
      <c r="L1946" s="226">
        <v>422</v>
      </c>
    </row>
  </sheetData>
  <autoFilter ref="A15:L283" xr:uid="{00000000-0009-0000-0000-000003000000}"/>
  <mergeCells count="1660">
    <mergeCell ref="J1642:K1642"/>
    <mergeCell ref="C1626:D1626"/>
    <mergeCell ref="C1634:D1634"/>
    <mergeCell ref="C1622:D1622"/>
    <mergeCell ref="E1622:H1622"/>
    <mergeCell ref="C1624:D1624"/>
    <mergeCell ref="C1625:D1625"/>
    <mergeCell ref="C1627:D1627"/>
    <mergeCell ref="J1628:K1628"/>
    <mergeCell ref="C1630:D1630"/>
    <mergeCell ref="E1630:H1630"/>
    <mergeCell ref="C1632:D1632"/>
    <mergeCell ref="C1633:D1633"/>
    <mergeCell ref="C1635:D1635"/>
    <mergeCell ref="J1636:K1636"/>
    <mergeCell ref="C1638:D1638"/>
    <mergeCell ref="E1638:H1638"/>
    <mergeCell ref="C1640:D1640"/>
    <mergeCell ref="D1937:F1937"/>
    <mergeCell ref="D1941:F1941"/>
    <mergeCell ref="D1942:F1942"/>
    <mergeCell ref="D1943:F1943"/>
    <mergeCell ref="D1933:F1933"/>
    <mergeCell ref="D1934:F1934"/>
    <mergeCell ref="D1935:F1935"/>
    <mergeCell ref="D1936:F1936"/>
    <mergeCell ref="D1938:F1938"/>
    <mergeCell ref="D1939:F1939"/>
    <mergeCell ref="D1940:F1940"/>
    <mergeCell ref="D1138:F1138"/>
    <mergeCell ref="D1139:F1139"/>
    <mergeCell ref="D1140:F1140"/>
    <mergeCell ref="D1141:F1141"/>
    <mergeCell ref="D1142:F1142"/>
    <mergeCell ref="D1739:F1739"/>
    <mergeCell ref="D1740:F1740"/>
    <mergeCell ref="D1741:F1741"/>
    <mergeCell ref="D1742:F1742"/>
    <mergeCell ref="D1743:F1743"/>
    <mergeCell ref="D1744:F1744"/>
    <mergeCell ref="D1745:F1745"/>
    <mergeCell ref="D1746:F1746"/>
    <mergeCell ref="D1747:F1747"/>
    <mergeCell ref="C1641:D1641"/>
    <mergeCell ref="D1748:F1748"/>
    <mergeCell ref="D1795:F1795"/>
    <mergeCell ref="D1830:F1830"/>
    <mergeCell ref="D1928:F1928"/>
    <mergeCell ref="D1929:F1929"/>
    <mergeCell ref="D1930:F1930"/>
    <mergeCell ref="D1931:F1931"/>
    <mergeCell ref="D1932:F1932"/>
    <mergeCell ref="C1610:D1610"/>
    <mergeCell ref="C1611:D1611"/>
    <mergeCell ref="C1612:D1612"/>
    <mergeCell ref="C1613:D1613"/>
    <mergeCell ref="C1614:D1614"/>
    <mergeCell ref="C1615:D1615"/>
    <mergeCell ref="C1616:D1616"/>
    <mergeCell ref="C1617:D1617"/>
    <mergeCell ref="C1618:D1618"/>
    <mergeCell ref="C1619:D1619"/>
    <mergeCell ref="D1732:F1732"/>
    <mergeCell ref="D1733:F1733"/>
    <mergeCell ref="D1734:F1734"/>
    <mergeCell ref="D1735:F1735"/>
    <mergeCell ref="D1736:F1736"/>
    <mergeCell ref="D1737:F1737"/>
    <mergeCell ref="D1738:F1738"/>
    <mergeCell ref="D1783:F1783"/>
    <mergeCell ref="D1784:F1784"/>
    <mergeCell ref="D1785:F1785"/>
    <mergeCell ref="D1802:F1802"/>
    <mergeCell ref="C1751:D1751"/>
    <mergeCell ref="D1786:F1786"/>
    <mergeCell ref="D1787:F1787"/>
    <mergeCell ref="D1788:F1788"/>
    <mergeCell ref="D1779:F1779"/>
    <mergeCell ref="D1853:F1853"/>
    <mergeCell ref="D1854:F1854"/>
    <mergeCell ref="D1855:F1855"/>
    <mergeCell ref="D1856:F1856"/>
    <mergeCell ref="D1372:F1372"/>
    <mergeCell ref="D1407:F1407"/>
    <mergeCell ref="D1442:F1442"/>
    <mergeCell ref="D1477:F1477"/>
    <mergeCell ref="D1432:F1432"/>
    <mergeCell ref="D1357:F1357"/>
    <mergeCell ref="D1358:F1358"/>
    <mergeCell ref="D1359:F1359"/>
    <mergeCell ref="D1378:F1378"/>
    <mergeCell ref="D1380:F1380"/>
    <mergeCell ref="D1381:F1381"/>
    <mergeCell ref="D1382:F1382"/>
    <mergeCell ref="D1384:F1384"/>
    <mergeCell ref="D1390:F1390"/>
    <mergeCell ref="D1368:F1368"/>
    <mergeCell ref="D1371:F1371"/>
    <mergeCell ref="D1347:F1347"/>
    <mergeCell ref="D1348:F1348"/>
    <mergeCell ref="D1362:F1362"/>
    <mergeCell ref="D1363:F1363"/>
    <mergeCell ref="D1398:F1398"/>
    <mergeCell ref="D1461:F1461"/>
    <mergeCell ref="D1360:F1360"/>
    <mergeCell ref="D1361:F1361"/>
    <mergeCell ref="D1419:F1419"/>
    <mergeCell ref="D1420:F1420"/>
    <mergeCell ref="D1392:F1392"/>
    <mergeCell ref="D1427:F1427"/>
    <mergeCell ref="D1462:F1462"/>
    <mergeCell ref="D1496:F1496"/>
    <mergeCell ref="D1498:F1498"/>
    <mergeCell ref="D1322:F1322"/>
    <mergeCell ref="D1323:F1323"/>
    <mergeCell ref="D1324:F1324"/>
    <mergeCell ref="D1148:F1148"/>
    <mergeCell ref="D1149:F1149"/>
    <mergeCell ref="D1150:F1150"/>
    <mergeCell ref="D1153:F1153"/>
    <mergeCell ref="D1154:F1154"/>
    <mergeCell ref="D1283:F1283"/>
    <mergeCell ref="D1253:F1253"/>
    <mergeCell ref="C1114:D1114"/>
    <mergeCell ref="E1114:H1114"/>
    <mergeCell ref="D1197:F1197"/>
    <mergeCell ref="D1122:F1122"/>
    <mergeCell ref="D1107:F1107"/>
    <mergeCell ref="D1241:F1241"/>
    <mergeCell ref="D1208:F1208"/>
    <mergeCell ref="D1234:F1234"/>
    <mergeCell ref="D1492:F1492"/>
    <mergeCell ref="D1493:F1493"/>
    <mergeCell ref="D1494:F1494"/>
    <mergeCell ref="D1396:F1396"/>
    <mergeCell ref="D1404:F1404"/>
    <mergeCell ref="D1405:F1405"/>
    <mergeCell ref="D1294:F1294"/>
    <mergeCell ref="D1303:F1303"/>
    <mergeCell ref="D1304:F1304"/>
    <mergeCell ref="D1305:F1305"/>
    <mergeCell ref="D1271:F1271"/>
    <mergeCell ref="D1272:F1272"/>
    <mergeCell ref="B1198:C1198"/>
    <mergeCell ref="D1198:F1198"/>
    <mergeCell ref="B1199:C1199"/>
    <mergeCell ref="D1199:F1199"/>
    <mergeCell ref="B1200:C1200"/>
    <mergeCell ref="D924:F924"/>
    <mergeCell ref="D925:F925"/>
    <mergeCell ref="D926:F926"/>
    <mergeCell ref="D819:F819"/>
    <mergeCell ref="D820:F820"/>
    <mergeCell ref="D821:F821"/>
    <mergeCell ref="D822:F822"/>
    <mergeCell ref="D823:F823"/>
    <mergeCell ref="D824:F824"/>
    <mergeCell ref="D825:F825"/>
    <mergeCell ref="D826:F826"/>
    <mergeCell ref="D827:F827"/>
    <mergeCell ref="D828:F828"/>
    <mergeCell ref="D829:F829"/>
    <mergeCell ref="B1188:C1188"/>
    <mergeCell ref="B1189:C1189"/>
    <mergeCell ref="D1151:F1151"/>
    <mergeCell ref="D1152:F1152"/>
    <mergeCell ref="D920:F920"/>
    <mergeCell ref="D854:F854"/>
    <mergeCell ref="D868:F868"/>
    <mergeCell ref="D912:F912"/>
    <mergeCell ref="D913:F913"/>
    <mergeCell ref="D886:F886"/>
    <mergeCell ref="D1113:F1113"/>
    <mergeCell ref="D887:F887"/>
    <mergeCell ref="D888:F888"/>
    <mergeCell ref="J1755:K1755"/>
    <mergeCell ref="C1757:D1757"/>
    <mergeCell ref="E1757:H1757"/>
    <mergeCell ref="D1448:F1448"/>
    <mergeCell ref="D1647:F1647"/>
    <mergeCell ref="C1340:D1340"/>
    <mergeCell ref="J1408:K1408"/>
    <mergeCell ref="D1513:F1513"/>
    <mergeCell ref="C1410:D1410"/>
    <mergeCell ref="E1410:H1410"/>
    <mergeCell ref="B1190:C1190"/>
    <mergeCell ref="D1190:F1190"/>
    <mergeCell ref="B1191:C1191"/>
    <mergeCell ref="D727:F727"/>
    <mergeCell ref="E1644:H1644"/>
    <mergeCell ref="E948:H948"/>
    <mergeCell ref="D1421:F1421"/>
    <mergeCell ref="D1422:F1422"/>
    <mergeCell ref="D1423:F1423"/>
    <mergeCell ref="D1424:F1424"/>
    <mergeCell ref="D1312:F1312"/>
    <mergeCell ref="D1318:F1318"/>
    <mergeCell ref="D1287:F1287"/>
    <mergeCell ref="D1288:F1288"/>
    <mergeCell ref="D1289:F1289"/>
    <mergeCell ref="D1240:F1240"/>
    <mergeCell ref="D832:F832"/>
    <mergeCell ref="D833:F833"/>
    <mergeCell ref="D869:F869"/>
    <mergeCell ref="D870:F870"/>
    <mergeCell ref="D839:F839"/>
    <mergeCell ref="D840:F840"/>
    <mergeCell ref="J1183:K1183"/>
    <mergeCell ref="C836:D836"/>
    <mergeCell ref="E836:H836"/>
    <mergeCell ref="D698:F698"/>
    <mergeCell ref="D605:F605"/>
    <mergeCell ref="D815:F815"/>
    <mergeCell ref="D816:F816"/>
    <mergeCell ref="J834:K834"/>
    <mergeCell ref="D945:F945"/>
    <mergeCell ref="J1143:K1143"/>
    <mergeCell ref="J1129:K1129"/>
    <mergeCell ref="C942:D942"/>
    <mergeCell ref="E942:H942"/>
    <mergeCell ref="B698:C698"/>
    <mergeCell ref="C1480:D1480"/>
    <mergeCell ref="E1480:H1480"/>
    <mergeCell ref="D689:F689"/>
    <mergeCell ref="C1145:D1145"/>
    <mergeCell ref="E1145:H1145"/>
    <mergeCell ref="D838:F838"/>
    <mergeCell ref="C948:D948"/>
    <mergeCell ref="D640:F640"/>
    <mergeCell ref="D641:F641"/>
    <mergeCell ref="D642:F642"/>
    <mergeCell ref="D696:F696"/>
    <mergeCell ref="D817:F817"/>
    <mergeCell ref="D818:F818"/>
    <mergeCell ref="D726:F726"/>
    <mergeCell ref="D844:F844"/>
    <mergeCell ref="D845:F845"/>
    <mergeCell ref="D846:F846"/>
    <mergeCell ref="D847:F847"/>
    <mergeCell ref="D1502:F1502"/>
    <mergeCell ref="D865:F865"/>
    <mergeCell ref="D866:F866"/>
    <mergeCell ref="D1353:F1353"/>
    <mergeCell ref="D585:F585"/>
    <mergeCell ref="D586:F586"/>
    <mergeCell ref="D604:F604"/>
    <mergeCell ref="D848:F848"/>
    <mergeCell ref="D849:F849"/>
    <mergeCell ref="D850:F850"/>
    <mergeCell ref="D629:F629"/>
    <mergeCell ref="D630:F630"/>
    <mergeCell ref="D631:F631"/>
    <mergeCell ref="D632:F632"/>
    <mergeCell ref="D633:F633"/>
    <mergeCell ref="D634:F634"/>
    <mergeCell ref="D635:F635"/>
    <mergeCell ref="D636:F636"/>
    <mergeCell ref="D637:F637"/>
    <mergeCell ref="D638:F638"/>
    <mergeCell ref="D639:F639"/>
    <mergeCell ref="D1105:F1105"/>
    <mergeCell ref="D1106:F1106"/>
    <mergeCell ref="D1264:F1264"/>
    <mergeCell ref="D1108:F1108"/>
    <mergeCell ref="D1109:F1109"/>
    <mergeCell ref="D1110:F1110"/>
    <mergeCell ref="E699:H699"/>
    <mergeCell ref="D916:F916"/>
    <mergeCell ref="D917:F917"/>
    <mergeCell ref="D918:F918"/>
    <mergeCell ref="D919:F919"/>
    <mergeCell ref="J1796:K1796"/>
    <mergeCell ref="C1798:D1798"/>
    <mergeCell ref="E1798:H1798"/>
    <mergeCell ref="D1342:F1342"/>
    <mergeCell ref="D1760:F1760"/>
    <mergeCell ref="D1754:F1754"/>
    <mergeCell ref="C1763:D1763"/>
    <mergeCell ref="E1763:H1763"/>
    <mergeCell ref="D1753:F1753"/>
    <mergeCell ref="C1375:D1375"/>
    <mergeCell ref="E1340:H1340"/>
    <mergeCell ref="E1751:H1751"/>
    <mergeCell ref="E1375:H1375"/>
    <mergeCell ref="C1516:D1516"/>
    <mergeCell ref="E1516:H1516"/>
    <mergeCell ref="D1512:F1512"/>
    <mergeCell ref="C1604:D1604"/>
    <mergeCell ref="C1605:D1605"/>
    <mergeCell ref="C1606:D1606"/>
    <mergeCell ref="C1607:D1607"/>
    <mergeCell ref="C1608:D1608"/>
    <mergeCell ref="C1609:D1609"/>
    <mergeCell ref="C1541:D1541"/>
    <mergeCell ref="C1542:D1542"/>
    <mergeCell ref="C1543:D1543"/>
    <mergeCell ref="C1544:D1544"/>
    <mergeCell ref="C1545:D1545"/>
    <mergeCell ref="D1349:F1349"/>
    <mergeCell ref="D1350:F1350"/>
    <mergeCell ref="D1351:F1351"/>
    <mergeCell ref="D1352:F1352"/>
    <mergeCell ref="D1501:F1501"/>
    <mergeCell ref="D288:F288"/>
    <mergeCell ref="D298:F298"/>
    <mergeCell ref="D358:F358"/>
    <mergeCell ref="D378:F378"/>
    <mergeCell ref="D395:F395"/>
    <mergeCell ref="D402:F402"/>
    <mergeCell ref="D391:F391"/>
    <mergeCell ref="D392:F392"/>
    <mergeCell ref="D393:F393"/>
    <mergeCell ref="D389:F389"/>
    <mergeCell ref="D359:F359"/>
    <mergeCell ref="D360:F360"/>
    <mergeCell ref="D361:F361"/>
    <mergeCell ref="D362:F362"/>
    <mergeCell ref="D363:F363"/>
    <mergeCell ref="D375:F375"/>
    <mergeCell ref="D376:F376"/>
    <mergeCell ref="D303:F303"/>
    <mergeCell ref="D304:F304"/>
    <mergeCell ref="D305:F305"/>
    <mergeCell ref="D306:F306"/>
    <mergeCell ref="D307:F307"/>
    <mergeCell ref="D308:F308"/>
    <mergeCell ref="D309:F309"/>
    <mergeCell ref="D356:F356"/>
    <mergeCell ref="D357:F357"/>
    <mergeCell ref="D380:F380"/>
    <mergeCell ref="D367:F367"/>
    <mergeCell ref="D368:F368"/>
    <mergeCell ref="D369:F369"/>
    <mergeCell ref="D364:F364"/>
    <mergeCell ref="D377:F377"/>
    <mergeCell ref="J661:K661"/>
    <mergeCell ref="J654:K654"/>
    <mergeCell ref="B950:C950"/>
    <mergeCell ref="D685:F685"/>
    <mergeCell ref="D686:F686"/>
    <mergeCell ref="D650:F650"/>
    <mergeCell ref="D651:F651"/>
    <mergeCell ref="D690:F690"/>
    <mergeCell ref="C663:D663"/>
    <mergeCell ref="D691:F691"/>
    <mergeCell ref="D692:F692"/>
    <mergeCell ref="D693:F693"/>
    <mergeCell ref="D694:F694"/>
    <mergeCell ref="D695:F695"/>
    <mergeCell ref="D851:F851"/>
    <mergeCell ref="D778:F778"/>
    <mergeCell ref="D812:F812"/>
    <mergeCell ref="D787:F787"/>
    <mergeCell ref="D797:F797"/>
    <mergeCell ref="D798:F798"/>
    <mergeCell ref="D813:F813"/>
    <mergeCell ref="D830:F830"/>
    <mergeCell ref="D831:F831"/>
    <mergeCell ref="D781:F781"/>
    <mergeCell ref="D782:F782"/>
    <mergeCell ref="D783:F783"/>
    <mergeCell ref="D784:F784"/>
    <mergeCell ref="D884:F884"/>
    <mergeCell ref="D885:F885"/>
    <mergeCell ref="D927:F927"/>
    <mergeCell ref="J946:K946"/>
    <mergeCell ref="J940:K940"/>
    <mergeCell ref="D296:F296"/>
    <mergeCell ref="D317:F317"/>
    <mergeCell ref="D318:F318"/>
    <mergeCell ref="D319:F319"/>
    <mergeCell ref="D702:F702"/>
    <mergeCell ref="D1:L1"/>
    <mergeCell ref="I9:L9"/>
    <mergeCell ref="C10:D10"/>
    <mergeCell ref="C11:D11"/>
    <mergeCell ref="C12:D12"/>
    <mergeCell ref="C2:D3"/>
    <mergeCell ref="C4:D4"/>
    <mergeCell ref="C5:D5"/>
    <mergeCell ref="I7:L7"/>
    <mergeCell ref="F7:H7"/>
    <mergeCell ref="C7:E7"/>
    <mergeCell ref="E10:L10"/>
    <mergeCell ref="E11:L11"/>
    <mergeCell ref="J520:K520"/>
    <mergeCell ref="C522:D522"/>
    <mergeCell ref="E522:H522"/>
    <mergeCell ref="C285:D285"/>
    <mergeCell ref="D701:F701"/>
    <mergeCell ref="E285:H285"/>
    <mergeCell ref="D287:F287"/>
    <mergeCell ref="D302:F302"/>
    <mergeCell ref="J643:K643"/>
    <mergeCell ref="C645:D645"/>
    <mergeCell ref="D301:F301"/>
    <mergeCell ref="B524:C524"/>
    <mergeCell ref="D688:F688"/>
    <mergeCell ref="D687:F687"/>
    <mergeCell ref="B287:C287"/>
    <mergeCell ref="D311:F311"/>
    <mergeCell ref="D297:F297"/>
    <mergeCell ref="D299:F299"/>
    <mergeCell ref="D300:F300"/>
    <mergeCell ref="D325:F325"/>
    <mergeCell ref="D326:F326"/>
    <mergeCell ref="D310:F310"/>
    <mergeCell ref="A2:B5"/>
    <mergeCell ref="E2:L2"/>
    <mergeCell ref="E3:L3"/>
    <mergeCell ref="E4:L4"/>
    <mergeCell ref="E5:L5"/>
    <mergeCell ref="A13:B13"/>
    <mergeCell ref="E13:L13"/>
    <mergeCell ref="A12:B12"/>
    <mergeCell ref="E12:L12"/>
    <mergeCell ref="A7:B7"/>
    <mergeCell ref="C13:D13"/>
    <mergeCell ref="A9:B9"/>
    <mergeCell ref="A10:B10"/>
    <mergeCell ref="A11:B11"/>
    <mergeCell ref="D321:F321"/>
    <mergeCell ref="D312:F312"/>
    <mergeCell ref="D313:F313"/>
    <mergeCell ref="D294:F294"/>
    <mergeCell ref="D295:F295"/>
    <mergeCell ref="A14:L14"/>
    <mergeCell ref="C9:E9"/>
    <mergeCell ref="F9:H9"/>
    <mergeCell ref="D289:F289"/>
    <mergeCell ref="D290:F290"/>
    <mergeCell ref="D291:F291"/>
    <mergeCell ref="D292:F292"/>
    <mergeCell ref="D293:F293"/>
    <mergeCell ref="J1946:K1946"/>
    <mergeCell ref="J1838:K1838"/>
    <mergeCell ref="D648:F648"/>
    <mergeCell ref="C699:D699"/>
    <mergeCell ref="D647:F647"/>
    <mergeCell ref="D658:F658"/>
    <mergeCell ref="C1185:D1185"/>
    <mergeCell ref="E1185:H1185"/>
    <mergeCell ref="J1761:K1761"/>
    <mergeCell ref="J1832:K1832"/>
    <mergeCell ref="C1834:D1834"/>
    <mergeCell ref="E1834:H1834"/>
    <mergeCell ref="D1944:F1944"/>
    <mergeCell ref="D1945:F1945"/>
    <mergeCell ref="J1443:K1443"/>
    <mergeCell ref="C1445:D1445"/>
    <mergeCell ref="D1483:F1483"/>
    <mergeCell ref="J1749:K1749"/>
    <mergeCell ref="E1445:H1445"/>
    <mergeCell ref="J1478:K1478"/>
    <mergeCell ref="E663:H663"/>
    <mergeCell ref="J1620:K1620"/>
    <mergeCell ref="J1514:K1514"/>
    <mergeCell ref="C1644:D1644"/>
    <mergeCell ref="D1759:F1759"/>
    <mergeCell ref="J1373:K1373"/>
    <mergeCell ref="J1082:K1082"/>
    <mergeCell ref="D320:F320"/>
    <mergeCell ref="D332:F332"/>
    <mergeCell ref="D314:F314"/>
    <mergeCell ref="D315:F315"/>
    <mergeCell ref="D316:F316"/>
    <mergeCell ref="D327:F327"/>
    <mergeCell ref="D328:F328"/>
    <mergeCell ref="D329:F329"/>
    <mergeCell ref="D330:F330"/>
    <mergeCell ref="D331:F331"/>
    <mergeCell ref="D322:F322"/>
    <mergeCell ref="D323:F323"/>
    <mergeCell ref="D374:F374"/>
    <mergeCell ref="D352:F352"/>
    <mergeCell ref="D353:F353"/>
    <mergeCell ref="D354:F354"/>
    <mergeCell ref="D355:F355"/>
    <mergeCell ref="D349:F349"/>
    <mergeCell ref="D350:F350"/>
    <mergeCell ref="D351:F351"/>
    <mergeCell ref="D365:F365"/>
    <mergeCell ref="D366:F366"/>
    <mergeCell ref="D489:F489"/>
    <mergeCell ref="D490:F490"/>
    <mergeCell ref="D491:F491"/>
    <mergeCell ref="D492:F492"/>
    <mergeCell ref="D493:F493"/>
    <mergeCell ref="D382:F382"/>
    <mergeCell ref="D347:F347"/>
    <mergeCell ref="D348:F348"/>
    <mergeCell ref="D333:F333"/>
    <mergeCell ref="D334:F334"/>
    <mergeCell ref="D335:F335"/>
    <mergeCell ref="D336:F336"/>
    <mergeCell ref="D388:F388"/>
    <mergeCell ref="D440:F440"/>
    <mergeCell ref="D452:F452"/>
    <mergeCell ref="D453:F453"/>
    <mergeCell ref="D454:F454"/>
    <mergeCell ref="D455:F455"/>
    <mergeCell ref="D427:F427"/>
    <mergeCell ref="D426:F426"/>
    <mergeCell ref="D410:F410"/>
    <mergeCell ref="D419:F419"/>
    <mergeCell ref="D384:F384"/>
    <mergeCell ref="D385:F385"/>
    <mergeCell ref="D386:F386"/>
    <mergeCell ref="D387:F387"/>
    <mergeCell ref="D436:F436"/>
    <mergeCell ref="D437:F437"/>
    <mergeCell ref="D438:F438"/>
    <mergeCell ref="D442:F442"/>
    <mergeCell ref="D443:F443"/>
    <mergeCell ref="D459:F459"/>
    <mergeCell ref="D678:F678"/>
    <mergeCell ref="D679:F679"/>
    <mergeCell ref="D680:F680"/>
    <mergeCell ref="D488:F488"/>
    <mergeCell ref="D430:F430"/>
    <mergeCell ref="D431:F431"/>
    <mergeCell ref="D324:F324"/>
    <mergeCell ref="D406:F406"/>
    <mergeCell ref="D342:F342"/>
    <mergeCell ref="D343:F343"/>
    <mergeCell ref="D344:F344"/>
    <mergeCell ref="D345:F345"/>
    <mergeCell ref="D346:F346"/>
    <mergeCell ref="D337:F337"/>
    <mergeCell ref="D338:F338"/>
    <mergeCell ref="D339:F339"/>
    <mergeCell ref="D340:F340"/>
    <mergeCell ref="D341:F341"/>
    <mergeCell ref="D379:F379"/>
    <mergeCell ref="D381:F381"/>
    <mergeCell ref="D372:F372"/>
    <mergeCell ref="D373:F373"/>
    <mergeCell ref="D487:F487"/>
    <mergeCell ref="D407:F407"/>
    <mergeCell ref="D408:F408"/>
    <mergeCell ref="D409:F409"/>
    <mergeCell ref="D414:F414"/>
    <mergeCell ref="D415:F415"/>
    <mergeCell ref="D416:F416"/>
    <mergeCell ref="D417:F417"/>
    <mergeCell ref="D418:F418"/>
    <mergeCell ref="D423:F423"/>
    <mergeCell ref="D649:F649"/>
    <mergeCell ref="C1084:D1084"/>
    <mergeCell ref="E1084:H1084"/>
    <mergeCell ref="D370:F370"/>
    <mergeCell ref="D371:F371"/>
    <mergeCell ref="D433:F433"/>
    <mergeCell ref="D434:F434"/>
    <mergeCell ref="D456:F456"/>
    <mergeCell ref="D400:F400"/>
    <mergeCell ref="D1837:F1837"/>
    <mergeCell ref="D494:F494"/>
    <mergeCell ref="D495:F495"/>
    <mergeCell ref="D496:F496"/>
    <mergeCell ref="D497:F497"/>
    <mergeCell ref="D498:F498"/>
    <mergeCell ref="D383:F383"/>
    <mergeCell ref="D399:F399"/>
    <mergeCell ref="D424:F424"/>
    <mergeCell ref="D435:F435"/>
    <mergeCell ref="D396:F396"/>
    <mergeCell ref="D432:F432"/>
    <mergeCell ref="D403:F403"/>
    <mergeCell ref="D404:F404"/>
    <mergeCell ref="D397:F397"/>
    <mergeCell ref="D398:F398"/>
    <mergeCell ref="D484:F484"/>
    <mergeCell ref="D485:F485"/>
    <mergeCell ref="D478:F478"/>
    <mergeCell ref="D479:F479"/>
    <mergeCell ref="D460:F460"/>
    <mergeCell ref="D465:F465"/>
    <mergeCell ref="D466:F466"/>
    <mergeCell ref="D420:F420"/>
    <mergeCell ref="D421:F421"/>
    <mergeCell ref="D422:F422"/>
    <mergeCell ref="D441:F441"/>
    <mergeCell ref="D449:F449"/>
    <mergeCell ref="D450:F450"/>
    <mergeCell ref="D451:F451"/>
    <mergeCell ref="D444:F444"/>
    <mergeCell ref="D445:F445"/>
    <mergeCell ref="D446:F446"/>
    <mergeCell ref="D447:F447"/>
    <mergeCell ref="D448:F448"/>
    <mergeCell ref="D411:F411"/>
    <mergeCell ref="D412:F412"/>
    <mergeCell ref="D413:F413"/>
    <mergeCell ref="D401:F401"/>
    <mergeCell ref="D390:F390"/>
    <mergeCell ref="D394:F394"/>
    <mergeCell ref="D425:F425"/>
    <mergeCell ref="D534:F534"/>
    <mergeCell ref="D568:F568"/>
    <mergeCell ref="D569:F569"/>
    <mergeCell ref="D674:F674"/>
    <mergeCell ref="D785:F785"/>
    <mergeCell ref="D786:F786"/>
    <mergeCell ref="D665:F665"/>
    <mergeCell ref="D428:F428"/>
    <mergeCell ref="D405:F405"/>
    <mergeCell ref="D429:F429"/>
    <mergeCell ref="D457:F457"/>
    <mergeCell ref="D458:F458"/>
    <mergeCell ref="D461:F461"/>
    <mergeCell ref="D462:F462"/>
    <mergeCell ref="D463:F463"/>
    <mergeCell ref="D464:F464"/>
    <mergeCell ref="D439:F439"/>
    <mergeCell ref="D480:F480"/>
    <mergeCell ref="D486:F486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81:F481"/>
    <mergeCell ref="D482:F482"/>
    <mergeCell ref="D483:F483"/>
    <mergeCell ref="D652:F652"/>
    <mergeCell ref="D517:F517"/>
    <mergeCell ref="D518:F518"/>
    <mergeCell ref="D519:F519"/>
    <mergeCell ref="D561:F561"/>
    <mergeCell ref="D572:F572"/>
    <mergeCell ref="D524:F524"/>
    <mergeCell ref="E645:H645"/>
    <mergeCell ref="D515:F515"/>
    <mergeCell ref="D539:F539"/>
    <mergeCell ref="D551:F551"/>
    <mergeCell ref="D531:F531"/>
    <mergeCell ref="D532:F532"/>
    <mergeCell ref="D467:F467"/>
    <mergeCell ref="D499:F499"/>
    <mergeCell ref="D500:F500"/>
    <mergeCell ref="D501:F501"/>
    <mergeCell ref="D502:F502"/>
    <mergeCell ref="D503:F503"/>
    <mergeCell ref="D504:F504"/>
    <mergeCell ref="D505:F505"/>
    <mergeCell ref="D506:F506"/>
    <mergeCell ref="D507:F507"/>
    <mergeCell ref="D516:F516"/>
    <mergeCell ref="D529:F529"/>
    <mergeCell ref="D530:F530"/>
    <mergeCell ref="D559:F559"/>
    <mergeCell ref="D560:F560"/>
    <mergeCell ref="D552:F552"/>
    <mergeCell ref="D553:F553"/>
    <mergeCell ref="D554:F554"/>
    <mergeCell ref="D555:F555"/>
    <mergeCell ref="D508:F508"/>
    <mergeCell ref="D509:F509"/>
    <mergeCell ref="D510:F510"/>
    <mergeCell ref="D511:F511"/>
    <mergeCell ref="D512:F512"/>
    <mergeCell ref="D513:F513"/>
    <mergeCell ref="D514:F514"/>
    <mergeCell ref="D535:F535"/>
    <mergeCell ref="D536:F536"/>
    <mergeCell ref="D537:F537"/>
    <mergeCell ref="D538:F538"/>
    <mergeCell ref="D525:F525"/>
    <mergeCell ref="D526:F526"/>
    <mergeCell ref="D527:F527"/>
    <mergeCell ref="D528:F528"/>
    <mergeCell ref="D624:F624"/>
    <mergeCell ref="D564:F564"/>
    <mergeCell ref="D547:F547"/>
    <mergeCell ref="D548:F548"/>
    <mergeCell ref="D549:F549"/>
    <mergeCell ref="D550:F550"/>
    <mergeCell ref="D580:F580"/>
    <mergeCell ref="D563:F563"/>
    <mergeCell ref="D610:F610"/>
    <mergeCell ref="D611:F611"/>
    <mergeCell ref="D612:F612"/>
    <mergeCell ref="D613:F613"/>
    <mergeCell ref="D593:F593"/>
    <mergeCell ref="D557:F557"/>
    <mergeCell ref="D558:F558"/>
    <mergeCell ref="D556:F556"/>
    <mergeCell ref="D533:F533"/>
    <mergeCell ref="D1510:F1510"/>
    <mergeCell ref="D1511:F1511"/>
    <mergeCell ref="D1499:F1499"/>
    <mergeCell ref="D1426:F1426"/>
    <mergeCell ref="D1428:F1428"/>
    <mergeCell ref="D1464:F1464"/>
    <mergeCell ref="D1397:F1397"/>
    <mergeCell ref="D1403:F1403"/>
    <mergeCell ref="D859:F859"/>
    <mergeCell ref="D860:F860"/>
    <mergeCell ref="D861:F861"/>
    <mergeCell ref="D862:F862"/>
    <mergeCell ref="D863:F863"/>
    <mergeCell ref="D864:F864"/>
    <mergeCell ref="D1364:F1364"/>
    <mergeCell ref="D1365:F1365"/>
    <mergeCell ref="D1366:F1366"/>
    <mergeCell ref="D1367:F1367"/>
    <mergeCell ref="D1369:F1369"/>
    <mergeCell ref="D1379:F1379"/>
    <mergeCell ref="D1495:F1495"/>
    <mergeCell ref="D1385:F1385"/>
    <mergeCell ref="D1387:F1387"/>
    <mergeCell ref="D1388:F1388"/>
    <mergeCell ref="D1389:F1389"/>
    <mergeCell ref="D1394:F1394"/>
    <mergeCell ref="D1395:F1395"/>
    <mergeCell ref="D1413:F1413"/>
    <mergeCell ref="D938:F938"/>
    <mergeCell ref="D939:F939"/>
    <mergeCell ref="D1206:F1206"/>
    <mergeCell ref="D1207:F1207"/>
    <mergeCell ref="C1574:D1574"/>
    <mergeCell ref="C1575:D1575"/>
    <mergeCell ref="C1540:D1540"/>
    <mergeCell ref="C1530:D1530"/>
    <mergeCell ref="C1531:D1531"/>
    <mergeCell ref="D1429:F1429"/>
    <mergeCell ref="D1430:F1430"/>
    <mergeCell ref="D1431:F1431"/>
    <mergeCell ref="D1433:F1433"/>
    <mergeCell ref="D1434:F1434"/>
    <mergeCell ref="D1435:F1435"/>
    <mergeCell ref="D1436:F1436"/>
    <mergeCell ref="D1437:F1437"/>
    <mergeCell ref="D1438:F1438"/>
    <mergeCell ref="C1518:D1518"/>
    <mergeCell ref="D1470:F1470"/>
    <mergeCell ref="D1471:F1471"/>
    <mergeCell ref="D1472:F1472"/>
    <mergeCell ref="D1473:F1473"/>
    <mergeCell ref="D1474:F1474"/>
    <mergeCell ref="D1489:F1489"/>
    <mergeCell ref="D1484:F1484"/>
    <mergeCell ref="D1485:F1485"/>
    <mergeCell ref="D1486:F1486"/>
    <mergeCell ref="D1467:F1467"/>
    <mergeCell ref="D1491:F1491"/>
    <mergeCell ref="C1552:D1552"/>
    <mergeCell ref="C1553:D1553"/>
    <mergeCell ref="D1500:F1500"/>
    <mergeCell ref="C1527:D1527"/>
    <mergeCell ref="C1528:D1528"/>
    <mergeCell ref="D1509:F1509"/>
    <mergeCell ref="J1201:K1201"/>
    <mergeCell ref="C1203:D1203"/>
    <mergeCell ref="E1203:H1203"/>
    <mergeCell ref="C1194:D1194"/>
    <mergeCell ref="E1194:H1194"/>
    <mergeCell ref="D1188:F1188"/>
    <mergeCell ref="D1290:F1290"/>
    <mergeCell ref="D1282:F1282"/>
    <mergeCell ref="D1200:F1200"/>
    <mergeCell ref="D1284:F1284"/>
    <mergeCell ref="D1285:F1285"/>
    <mergeCell ref="D1286:F1286"/>
    <mergeCell ref="C1590:D1590"/>
    <mergeCell ref="C1591:D1591"/>
    <mergeCell ref="C1592:D1592"/>
    <mergeCell ref="C1582:D1582"/>
    <mergeCell ref="C1583:D1583"/>
    <mergeCell ref="C1584:D1584"/>
    <mergeCell ref="C1585:D1585"/>
    <mergeCell ref="C1580:D1580"/>
    <mergeCell ref="C1581:D1581"/>
    <mergeCell ref="C1586:D1586"/>
    <mergeCell ref="C1576:D1576"/>
    <mergeCell ref="C1577:D1577"/>
    <mergeCell ref="C1578:D1578"/>
    <mergeCell ref="C1562:D1562"/>
    <mergeCell ref="C1563:D1563"/>
    <mergeCell ref="C1564:D1564"/>
    <mergeCell ref="B1197:C1197"/>
    <mergeCell ref="C1587:D1587"/>
    <mergeCell ref="C1588:D1588"/>
    <mergeCell ref="C1589:D1589"/>
    <mergeCell ref="J1338:K1338"/>
    <mergeCell ref="D1319:F1319"/>
    <mergeCell ref="D1320:F1320"/>
    <mergeCell ref="C1594:D1594"/>
    <mergeCell ref="C1595:D1595"/>
    <mergeCell ref="C1598:D1598"/>
    <mergeCell ref="C1599:D1599"/>
    <mergeCell ref="C1600:D1600"/>
    <mergeCell ref="C1601:D1601"/>
    <mergeCell ref="C1602:D1602"/>
    <mergeCell ref="C1603:D1603"/>
    <mergeCell ref="C1519:D1519"/>
    <mergeCell ref="C1520:D1520"/>
    <mergeCell ref="C1521:D1521"/>
    <mergeCell ref="C1522:D1522"/>
    <mergeCell ref="C1526:D1526"/>
    <mergeCell ref="D1490:F1490"/>
    <mergeCell ref="C1572:D1572"/>
    <mergeCell ref="C1573:D1573"/>
    <mergeCell ref="C1529:D1529"/>
    <mergeCell ref="D1487:F1487"/>
    <mergeCell ref="D1488:F1488"/>
    <mergeCell ref="C1534:D1534"/>
    <mergeCell ref="C1535:D1535"/>
    <mergeCell ref="C1536:D1536"/>
    <mergeCell ref="C1537:D1537"/>
    <mergeCell ref="C1538:D1538"/>
    <mergeCell ref="C1539:D1539"/>
    <mergeCell ref="D1391:F1391"/>
    <mergeCell ref="D1393:F1393"/>
    <mergeCell ref="D1321:F1321"/>
    <mergeCell ref="D1370:F1370"/>
    <mergeCell ref="J1192:K1192"/>
    <mergeCell ref="D1165:F1165"/>
    <mergeCell ref="D1166:F1166"/>
    <mergeCell ref="D1179:F1179"/>
    <mergeCell ref="D1180:F1180"/>
    <mergeCell ref="D1181:F1181"/>
    <mergeCell ref="D1345:F1345"/>
    <mergeCell ref="D1346:F1346"/>
    <mergeCell ref="D1296:F1296"/>
    <mergeCell ref="D1297:F1297"/>
    <mergeCell ref="D1298:F1298"/>
    <mergeCell ref="D1291:F1291"/>
    <mergeCell ref="D1317:F1317"/>
    <mergeCell ref="D1275:F1275"/>
    <mergeCell ref="D1276:F1276"/>
    <mergeCell ref="D1277:F1277"/>
    <mergeCell ref="D1209:F1209"/>
    <mergeCell ref="D1210:F1210"/>
    <mergeCell ref="D1211:F1211"/>
    <mergeCell ref="D1212:F1212"/>
    <mergeCell ref="D1243:F1243"/>
    <mergeCell ref="D1244:F1244"/>
    <mergeCell ref="D1182:F1182"/>
    <mergeCell ref="D1205:F1205"/>
    <mergeCell ref="D1189:F1189"/>
    <mergeCell ref="D1191:F1191"/>
    <mergeCell ref="D1235:F1235"/>
    <mergeCell ref="D1236:F1236"/>
    <mergeCell ref="D1218:F1218"/>
    <mergeCell ref="D1254:F1254"/>
    <mergeCell ref="D1255:F1255"/>
    <mergeCell ref="D1263:F1263"/>
    <mergeCell ref="J1112:K1112"/>
    <mergeCell ref="D683:F683"/>
    <mergeCell ref="D684:F684"/>
    <mergeCell ref="D590:F590"/>
    <mergeCell ref="D591:F591"/>
    <mergeCell ref="J697:K697"/>
    <mergeCell ref="D703:F703"/>
    <mergeCell ref="D704:F704"/>
    <mergeCell ref="D705:F705"/>
    <mergeCell ref="D706:F706"/>
    <mergeCell ref="D707:F707"/>
    <mergeCell ref="D708:F708"/>
    <mergeCell ref="D709:F709"/>
    <mergeCell ref="D669:F669"/>
    <mergeCell ref="D720:F720"/>
    <mergeCell ref="D721:F721"/>
    <mergeCell ref="D722:F722"/>
    <mergeCell ref="D723:F723"/>
    <mergeCell ref="D592:F592"/>
    <mergeCell ref="D670:F670"/>
    <mergeCell ref="D671:F671"/>
    <mergeCell ref="D672:F672"/>
    <mergeCell ref="D673:F673"/>
    <mergeCell ref="D606:F606"/>
    <mergeCell ref="D598:F598"/>
    <mergeCell ref="D599:F599"/>
    <mergeCell ref="D600:F600"/>
    <mergeCell ref="D601:F601"/>
    <mergeCell ref="D602:F602"/>
    <mergeCell ref="D603:F603"/>
    <mergeCell ref="D681:F681"/>
    <mergeCell ref="D867:F867"/>
    <mergeCell ref="D889:F889"/>
    <mergeCell ref="D890:F890"/>
    <mergeCell ref="D871:F871"/>
    <mergeCell ref="D872:F872"/>
    <mergeCell ref="D873:F873"/>
    <mergeCell ref="D874:F874"/>
    <mergeCell ref="D875:F875"/>
    <mergeCell ref="D876:F876"/>
    <mergeCell ref="D877:F877"/>
    <mergeCell ref="D878:F878"/>
    <mergeCell ref="D879:F879"/>
    <mergeCell ref="D880:F880"/>
    <mergeCell ref="D881:F881"/>
    <mergeCell ref="D882:F882"/>
    <mergeCell ref="D901:F901"/>
    <mergeCell ref="D883:F883"/>
    <mergeCell ref="D899:F899"/>
    <mergeCell ref="D897:F897"/>
    <mergeCell ref="D896:F896"/>
    <mergeCell ref="D891:F891"/>
    <mergeCell ref="D892:F892"/>
    <mergeCell ref="D902:F902"/>
    <mergeCell ref="D903:F903"/>
    <mergeCell ref="D904:F904"/>
    <mergeCell ref="D905:F905"/>
    <mergeCell ref="D898:F898"/>
    <mergeCell ref="D906:F906"/>
    <mergeCell ref="D893:F893"/>
    <mergeCell ref="D894:F894"/>
    <mergeCell ref="D895:F895"/>
    <mergeCell ref="D909:F909"/>
    <mergeCell ref="D1094:F1094"/>
    <mergeCell ref="D1042:F1042"/>
    <mergeCell ref="D1043:F1043"/>
    <mergeCell ref="D1044:F1044"/>
    <mergeCell ref="D1072:F1072"/>
    <mergeCell ref="D1029:F1029"/>
    <mergeCell ref="D1030:F1030"/>
    <mergeCell ref="D1031:F1031"/>
    <mergeCell ref="D994:F994"/>
    <mergeCell ref="D995:F995"/>
    <mergeCell ref="D996:F996"/>
    <mergeCell ref="D997:F997"/>
    <mergeCell ref="D998:F998"/>
    <mergeCell ref="D999:F999"/>
    <mergeCell ref="D1000:F1000"/>
    <mergeCell ref="D1001:F1001"/>
    <mergeCell ref="D1093:F1093"/>
    <mergeCell ref="D928:F928"/>
    <mergeCell ref="D929:F929"/>
    <mergeCell ref="D930:F930"/>
    <mergeCell ref="D931:F931"/>
    <mergeCell ref="D932:F932"/>
    <mergeCell ref="D933:F933"/>
    <mergeCell ref="D934:F934"/>
    <mergeCell ref="D935:F935"/>
    <mergeCell ref="D936:F936"/>
    <mergeCell ref="D937:F937"/>
    <mergeCell ref="D1242:F1242"/>
    <mergeCell ref="D976:F976"/>
    <mergeCell ref="D1857:F1857"/>
    <mergeCell ref="D1858:F1858"/>
    <mergeCell ref="D1859:F1859"/>
    <mergeCell ref="D1860:F1860"/>
    <mergeCell ref="D1475:F1475"/>
    <mergeCell ref="D1476:F1476"/>
    <mergeCell ref="D1503:F1503"/>
    <mergeCell ref="D1504:F1504"/>
    <mergeCell ref="D1505:F1505"/>
    <mergeCell ref="D1506:F1506"/>
    <mergeCell ref="D1507:F1507"/>
    <mergeCell ref="D1508:F1508"/>
    <mergeCell ref="D1406:F1406"/>
    <mergeCell ref="D1414:F1414"/>
    <mergeCell ref="D1415:F1415"/>
    <mergeCell ref="D1418:F1418"/>
    <mergeCell ref="D1417:F1417"/>
    <mergeCell ref="D1416:F1416"/>
    <mergeCell ref="D1425:F1425"/>
    <mergeCell ref="D1648:F1648"/>
    <mergeCell ref="D1649:F1649"/>
    <mergeCell ref="D1650:F1650"/>
    <mergeCell ref="D1651:F1651"/>
    <mergeCell ref="D1652:F1652"/>
    <mergeCell ref="D1653:F1653"/>
    <mergeCell ref="D1654:F1654"/>
    <mergeCell ref="D1771:F1771"/>
    <mergeCell ref="D1772:F1772"/>
    <mergeCell ref="D1773:F1773"/>
    <mergeCell ref="D984:F984"/>
    <mergeCell ref="D1774:F1774"/>
    <mergeCell ref="D1775:F1775"/>
    <mergeCell ref="D1776:F1776"/>
    <mergeCell ref="D1862:F1862"/>
    <mergeCell ref="D1863:F1863"/>
    <mergeCell ref="D1864:F1864"/>
    <mergeCell ref="D1843:F1843"/>
    <mergeCell ref="D1844:F1844"/>
    <mergeCell ref="D1845:F1845"/>
    <mergeCell ref="D1846:F1846"/>
    <mergeCell ref="D1829:F1829"/>
    <mergeCell ref="D1831:F1831"/>
    <mergeCell ref="D1439:F1439"/>
    <mergeCell ref="D1440:F1440"/>
    <mergeCell ref="D1441:F1441"/>
    <mergeCell ref="D1848:F1848"/>
    <mergeCell ref="D1849:F1849"/>
    <mergeCell ref="D1850:F1850"/>
    <mergeCell ref="D1852:F1852"/>
    <mergeCell ref="D1803:F1803"/>
    <mergeCell ref="D1804:F1804"/>
    <mergeCell ref="D1805:F1805"/>
    <mergeCell ref="D1801:F1801"/>
    <mergeCell ref="D1766:F1766"/>
    <mergeCell ref="D1767:F1767"/>
    <mergeCell ref="D1768:F1768"/>
    <mergeCell ref="D1769:F1769"/>
    <mergeCell ref="D1226:F1226"/>
    <mergeCell ref="D1227:F1227"/>
    <mergeCell ref="D1228:F1228"/>
    <mergeCell ref="D1229:F1229"/>
    <mergeCell ref="D1230:F1230"/>
    <mergeCell ref="D1231:F1231"/>
    <mergeCell ref="D1232:F1232"/>
    <mergeCell ref="D1233:F1233"/>
    <mergeCell ref="D1306:F1306"/>
    <mergeCell ref="D1307:F1307"/>
    <mergeCell ref="D1299:F1299"/>
    <mergeCell ref="D1300:F1300"/>
    <mergeCell ref="D1301:F1301"/>
    <mergeCell ref="D1302:F1302"/>
    <mergeCell ref="D1295:F1295"/>
    <mergeCell ref="D1292:F1292"/>
    <mergeCell ref="D1293:F1293"/>
    <mergeCell ref="D1273:F1273"/>
    <mergeCell ref="D1266:F1266"/>
    <mergeCell ref="D1267:F1267"/>
    <mergeCell ref="D1268:F1268"/>
    <mergeCell ref="D1269:F1269"/>
    <mergeCell ref="D1246:F1246"/>
    <mergeCell ref="D1247:F1247"/>
    <mergeCell ref="D1248:F1248"/>
    <mergeCell ref="D1249:F1249"/>
    <mergeCell ref="D1250:F1250"/>
    <mergeCell ref="D1251:F1251"/>
    <mergeCell ref="D1252:F1252"/>
    <mergeCell ref="D1256:F1256"/>
    <mergeCell ref="D1257:F1257"/>
    <mergeCell ref="D1258:F1258"/>
    <mergeCell ref="D1343:F1343"/>
    <mergeCell ref="D1279:F1279"/>
    <mergeCell ref="D1354:F1354"/>
    <mergeCell ref="D1327:F1327"/>
    <mergeCell ref="D1328:F1328"/>
    <mergeCell ref="D1329:F1329"/>
    <mergeCell ref="D1330:F1330"/>
    <mergeCell ref="D1331:F1331"/>
    <mergeCell ref="D1332:F1332"/>
    <mergeCell ref="D1333:F1333"/>
    <mergeCell ref="D1334:F1334"/>
    <mergeCell ref="D1335:F1335"/>
    <mergeCell ref="D1355:F1355"/>
    <mergeCell ref="D1281:F1281"/>
    <mergeCell ref="D1278:F1278"/>
    <mergeCell ref="D1274:F1274"/>
    <mergeCell ref="D1270:F1270"/>
    <mergeCell ref="D1308:F1308"/>
    <mergeCell ref="D1309:F1309"/>
    <mergeCell ref="D1310:F1310"/>
    <mergeCell ref="D1311:F1311"/>
    <mergeCell ref="D1325:F1325"/>
    <mergeCell ref="D1326:F1326"/>
    <mergeCell ref="D1259:F1259"/>
    <mergeCell ref="D1260:F1260"/>
    <mergeCell ref="D1261:F1261"/>
    <mergeCell ref="D1262:F1262"/>
    <mergeCell ref="D1344:F1344"/>
    <mergeCell ref="D1336:F1336"/>
    <mergeCell ref="D1337:F1337"/>
    <mergeCell ref="D983:F983"/>
    <mergeCell ref="D900:F900"/>
    <mergeCell ref="D972:F972"/>
    <mergeCell ref="D973:F973"/>
    <mergeCell ref="D1028:F1028"/>
    <mergeCell ref="D964:F964"/>
    <mergeCell ref="D988:F988"/>
    <mergeCell ref="D1080:F1080"/>
    <mergeCell ref="D1081:F1081"/>
    <mergeCell ref="D1041:F1041"/>
    <mergeCell ref="D1026:F1026"/>
    <mergeCell ref="D1073:F1073"/>
    <mergeCell ref="D1027:F1027"/>
    <mergeCell ref="D1008:F1008"/>
    <mergeCell ref="D1009:F1009"/>
    <mergeCell ref="D1010:F1010"/>
    <mergeCell ref="D1078:F1078"/>
    <mergeCell ref="D985:F985"/>
    <mergeCell ref="D986:F986"/>
    <mergeCell ref="D987:F987"/>
    <mergeCell ref="D989:F989"/>
    <mergeCell ref="D990:F990"/>
    <mergeCell ref="D991:F991"/>
    <mergeCell ref="D992:F992"/>
    <mergeCell ref="D993:F993"/>
    <mergeCell ref="D981:F981"/>
    <mergeCell ref="D982:F982"/>
    <mergeCell ref="D922:F922"/>
    <mergeCell ref="D923:F923"/>
    <mergeCell ref="D907:F907"/>
    <mergeCell ref="D908:F908"/>
    <mergeCell ref="D1046:F1046"/>
    <mergeCell ref="D1399:F1399"/>
    <mergeCell ref="D1400:F1400"/>
    <mergeCell ref="D1401:F1401"/>
    <mergeCell ref="D1402:F1402"/>
    <mergeCell ref="D1383:F1383"/>
    <mergeCell ref="D1213:F1213"/>
    <mergeCell ref="D1214:F1214"/>
    <mergeCell ref="D1215:F1215"/>
    <mergeCell ref="D1216:F1216"/>
    <mergeCell ref="D1217:F1217"/>
    <mergeCell ref="D1219:F1219"/>
    <mergeCell ref="D1220:F1220"/>
    <mergeCell ref="D1221:F1221"/>
    <mergeCell ref="D1222:F1222"/>
    <mergeCell ref="D1223:F1223"/>
    <mergeCell ref="D1224:F1224"/>
    <mergeCell ref="D1225:F1225"/>
    <mergeCell ref="D1386:F1386"/>
    <mergeCell ref="D1245:F1245"/>
    <mergeCell ref="D1313:F1313"/>
    <mergeCell ref="D1314:F1314"/>
    <mergeCell ref="D1315:F1315"/>
    <mergeCell ref="D1316:F1316"/>
    <mergeCell ref="D1280:F1280"/>
    <mergeCell ref="D1356:F1356"/>
    <mergeCell ref="D1265:F1265"/>
    <mergeCell ref="D855:F855"/>
    <mergeCell ref="D856:F856"/>
    <mergeCell ref="D857:F857"/>
    <mergeCell ref="D858:F858"/>
    <mergeCell ref="D573:F573"/>
    <mergeCell ref="D574:F574"/>
    <mergeCell ref="D575:F575"/>
    <mergeCell ref="D576:F576"/>
    <mergeCell ref="D577:F577"/>
    <mergeCell ref="D578:F578"/>
    <mergeCell ref="D566:F566"/>
    <mergeCell ref="D567:F567"/>
    <mergeCell ref="D540:F540"/>
    <mergeCell ref="D541:F541"/>
    <mergeCell ref="D542:F542"/>
    <mergeCell ref="D543:F543"/>
    <mergeCell ref="D570:F570"/>
    <mergeCell ref="D764:F764"/>
    <mergeCell ref="D765:F765"/>
    <mergeCell ref="D766:F766"/>
    <mergeCell ref="D579:F579"/>
    <mergeCell ref="D581:F581"/>
    <mergeCell ref="D582:F582"/>
    <mergeCell ref="D583:F583"/>
    <mergeCell ref="D584:F584"/>
    <mergeCell ref="D544:F544"/>
    <mergeCell ref="D545:F545"/>
    <mergeCell ref="D546:F546"/>
    <mergeCell ref="D565:F565"/>
    <mergeCell ref="D571:F571"/>
    <mergeCell ref="D562:F562"/>
    <mergeCell ref="D667:F667"/>
    <mergeCell ref="D668:F668"/>
    <mergeCell ref="D607:F607"/>
    <mergeCell ref="D608:F608"/>
    <mergeCell ref="D609:F609"/>
    <mergeCell ref="D587:F587"/>
    <mergeCell ref="D594:F594"/>
    <mergeCell ref="D595:F595"/>
    <mergeCell ref="D596:F596"/>
    <mergeCell ref="D597:F597"/>
    <mergeCell ref="D588:F588"/>
    <mergeCell ref="D666:F666"/>
    <mergeCell ref="D589:F589"/>
    <mergeCell ref="C656:D656"/>
    <mergeCell ref="E656:H656"/>
    <mergeCell ref="D659:F659"/>
    <mergeCell ref="D660:F660"/>
    <mergeCell ref="D622:F622"/>
    <mergeCell ref="D623:F623"/>
    <mergeCell ref="D625:F625"/>
    <mergeCell ref="D626:F626"/>
    <mergeCell ref="D627:F627"/>
    <mergeCell ref="D628:F628"/>
    <mergeCell ref="D614:F614"/>
    <mergeCell ref="D615:F615"/>
    <mergeCell ref="D616:F616"/>
    <mergeCell ref="D617:F617"/>
    <mergeCell ref="D618:F618"/>
    <mergeCell ref="D619:F619"/>
    <mergeCell ref="D620:F620"/>
    <mergeCell ref="D621:F621"/>
    <mergeCell ref="D653:F653"/>
    <mergeCell ref="D675:F675"/>
    <mergeCell ref="D676:F676"/>
    <mergeCell ref="D677:F677"/>
    <mergeCell ref="D728:F728"/>
    <mergeCell ref="D729:F729"/>
    <mergeCell ref="D730:F730"/>
    <mergeCell ref="D731:F731"/>
    <mergeCell ref="D732:F732"/>
    <mergeCell ref="D733:F733"/>
    <mergeCell ref="D734:F734"/>
    <mergeCell ref="D735:F735"/>
    <mergeCell ref="D736:F736"/>
    <mergeCell ref="D759:F759"/>
    <mergeCell ref="D710:F710"/>
    <mergeCell ref="D745:F745"/>
    <mergeCell ref="D746:F746"/>
    <mergeCell ref="D747:F747"/>
    <mergeCell ref="D748:F748"/>
    <mergeCell ref="D749:F749"/>
    <mergeCell ref="D724:F724"/>
    <mergeCell ref="D725:F725"/>
    <mergeCell ref="D712:F712"/>
    <mergeCell ref="D713:F713"/>
    <mergeCell ref="D714:F714"/>
    <mergeCell ref="D715:F715"/>
    <mergeCell ref="D716:F716"/>
    <mergeCell ref="D717:F717"/>
    <mergeCell ref="D718:F718"/>
    <mergeCell ref="D719:F719"/>
    <mergeCell ref="D682:F682"/>
    <mergeCell ref="D737:F737"/>
    <mergeCell ref="D738:F738"/>
    <mergeCell ref="D809:F809"/>
    <mergeCell ref="D810:F810"/>
    <mergeCell ref="D811:F811"/>
    <mergeCell ref="D803:F803"/>
    <mergeCell ref="D779:F779"/>
    <mergeCell ref="D780:F780"/>
    <mergeCell ref="D776:F776"/>
    <mergeCell ref="D777:F777"/>
    <mergeCell ref="D767:F767"/>
    <mergeCell ref="D768:F768"/>
    <mergeCell ref="D769:F769"/>
    <mergeCell ref="D770:F770"/>
    <mergeCell ref="D771:F771"/>
    <mergeCell ref="D772:F772"/>
    <mergeCell ref="D773:F773"/>
    <mergeCell ref="D774:F774"/>
    <mergeCell ref="D775:F775"/>
    <mergeCell ref="D750:F750"/>
    <mergeCell ref="D751:F751"/>
    <mergeCell ref="D841:F841"/>
    <mergeCell ref="D842:F842"/>
    <mergeCell ref="D843:F843"/>
    <mergeCell ref="D852:F852"/>
    <mergeCell ref="D853:F853"/>
    <mergeCell ref="D1468:F1468"/>
    <mergeCell ref="D1469:F1469"/>
    <mergeCell ref="D1449:F1449"/>
    <mergeCell ref="D1450:F1450"/>
    <mergeCell ref="D1451:F1451"/>
    <mergeCell ref="D1452:F1452"/>
    <mergeCell ref="D1453:F1453"/>
    <mergeCell ref="D1454:F1454"/>
    <mergeCell ref="D1455:F1455"/>
    <mergeCell ref="D1456:F1456"/>
    <mergeCell ref="D1457:F1457"/>
    <mergeCell ref="D1458:F1458"/>
    <mergeCell ref="D1459:F1459"/>
    <mergeCell ref="D1460:F1460"/>
    <mergeCell ref="D1465:F1465"/>
    <mergeCell ref="D1466:F1466"/>
    <mergeCell ref="D1463:F1463"/>
    <mergeCell ref="D974:F974"/>
    <mergeCell ref="D975:F975"/>
    <mergeCell ref="D977:F977"/>
    <mergeCell ref="D978:F978"/>
    <mergeCell ref="D979:F979"/>
    <mergeCell ref="D980:F980"/>
    <mergeCell ref="D1039:F1039"/>
    <mergeCell ref="D1040:F1040"/>
    <mergeCell ref="D1655:F1655"/>
    <mergeCell ref="D1656:F1656"/>
    <mergeCell ref="C1523:D1523"/>
    <mergeCell ref="C1524:D1524"/>
    <mergeCell ref="C1525:D1525"/>
    <mergeCell ref="C1565:D1565"/>
    <mergeCell ref="C1566:D1566"/>
    <mergeCell ref="C1567:D1567"/>
    <mergeCell ref="C1568:D1568"/>
    <mergeCell ref="C1569:D1569"/>
    <mergeCell ref="C1570:D1570"/>
    <mergeCell ref="C1571:D1571"/>
    <mergeCell ref="C1579:D1579"/>
    <mergeCell ref="C1546:D1546"/>
    <mergeCell ref="C1554:D1554"/>
    <mergeCell ref="C1555:D1555"/>
    <mergeCell ref="C1556:D1556"/>
    <mergeCell ref="C1532:D1532"/>
    <mergeCell ref="C1533:D1533"/>
    <mergeCell ref="C1593:D1593"/>
    <mergeCell ref="C1557:D1557"/>
    <mergeCell ref="C1558:D1558"/>
    <mergeCell ref="C1559:D1559"/>
    <mergeCell ref="C1560:D1560"/>
    <mergeCell ref="C1561:D1561"/>
    <mergeCell ref="C1547:D1547"/>
    <mergeCell ref="C1596:D1596"/>
    <mergeCell ref="C1597:D1597"/>
    <mergeCell ref="C1548:D1548"/>
    <mergeCell ref="C1549:D1549"/>
    <mergeCell ref="C1550:D1550"/>
    <mergeCell ref="C1551:D1551"/>
    <mergeCell ref="D1657:F1657"/>
    <mergeCell ref="D1658:F1658"/>
    <mergeCell ref="D1659:F1659"/>
    <mergeCell ref="D1660:F1660"/>
    <mergeCell ref="D1661:F1661"/>
    <mergeCell ref="D1662:F1662"/>
    <mergeCell ref="D1663:F1663"/>
    <mergeCell ref="D1664:F1664"/>
    <mergeCell ref="D1665:F1665"/>
    <mergeCell ref="D1666:F1666"/>
    <mergeCell ref="D1667:F1667"/>
    <mergeCell ref="D1668:F1668"/>
    <mergeCell ref="D1669:F1669"/>
    <mergeCell ref="D1670:F1670"/>
    <mergeCell ref="D1671:F1671"/>
    <mergeCell ref="D1672:F1672"/>
    <mergeCell ref="D1673:F1673"/>
    <mergeCell ref="D1674:F1674"/>
    <mergeCell ref="D1675:F1675"/>
    <mergeCell ref="D1676:F1676"/>
    <mergeCell ref="D1677:F1677"/>
    <mergeCell ref="D1678:F1678"/>
    <mergeCell ref="D1679:F1679"/>
    <mergeCell ref="D1680:F1680"/>
    <mergeCell ref="D1681:F1681"/>
    <mergeCell ref="D1682:F1682"/>
    <mergeCell ref="D1683:F1683"/>
    <mergeCell ref="D1684:F1684"/>
    <mergeCell ref="D1685:F1685"/>
    <mergeCell ref="D1686:F1686"/>
    <mergeCell ref="D1687:F1687"/>
    <mergeCell ref="D1688:F1688"/>
    <mergeCell ref="D1689:F1689"/>
    <mergeCell ref="D1690:F1690"/>
    <mergeCell ref="D1808:F1808"/>
    <mergeCell ref="D1809:F1809"/>
    <mergeCell ref="D1810:F1810"/>
    <mergeCell ref="D1811:F1811"/>
    <mergeCell ref="D1812:F1812"/>
    <mergeCell ref="D1815:F1815"/>
    <mergeCell ref="D1816:F1816"/>
    <mergeCell ref="D1817:F1817"/>
    <mergeCell ref="D1818:F1818"/>
    <mergeCell ref="D1819:F1819"/>
    <mergeCell ref="D1820:F1820"/>
    <mergeCell ref="D1691:F1691"/>
    <mergeCell ref="D1692:F1692"/>
    <mergeCell ref="D1693:F1693"/>
    <mergeCell ref="D1694:F1694"/>
    <mergeCell ref="D1695:F1695"/>
    <mergeCell ref="D1696:F1696"/>
    <mergeCell ref="D1697:F1697"/>
    <mergeCell ref="D1698:F1698"/>
    <mergeCell ref="D1699:F1699"/>
    <mergeCell ref="D1700:F1700"/>
    <mergeCell ref="D1701:F1701"/>
    <mergeCell ref="D1702:F1702"/>
    <mergeCell ref="D1703:F1703"/>
    <mergeCell ref="D1704:F1704"/>
    <mergeCell ref="D1705:F1705"/>
    <mergeCell ref="D1706:F1706"/>
    <mergeCell ref="D1707:F1707"/>
    <mergeCell ref="D1708:F1708"/>
    <mergeCell ref="D1709:F1709"/>
    <mergeCell ref="D1710:F1710"/>
    <mergeCell ref="D1711:F1711"/>
    <mergeCell ref="D1712:F1712"/>
    <mergeCell ref="D1713:F1713"/>
    <mergeCell ref="D1714:F1714"/>
    <mergeCell ref="D1715:F1715"/>
    <mergeCell ref="D1716:F1716"/>
    <mergeCell ref="D1717:F1717"/>
    <mergeCell ref="D1718:F1718"/>
    <mergeCell ref="D1719:F1719"/>
    <mergeCell ref="D1720:F1720"/>
    <mergeCell ref="D1721:F1721"/>
    <mergeCell ref="D1722:F1722"/>
    <mergeCell ref="D1723:F1723"/>
    <mergeCell ref="D1724:F1724"/>
    <mergeCell ref="D1851:F1851"/>
    <mergeCell ref="D1793:F1793"/>
    <mergeCell ref="D1865:F1865"/>
    <mergeCell ref="D1866:F1866"/>
    <mergeCell ref="D1725:F1725"/>
    <mergeCell ref="D1726:F1726"/>
    <mergeCell ref="D1727:F1727"/>
    <mergeCell ref="D1728:F1728"/>
    <mergeCell ref="D1729:F1729"/>
    <mergeCell ref="D1730:F1730"/>
    <mergeCell ref="D1731:F1731"/>
    <mergeCell ref="D1794:F1794"/>
    <mergeCell ref="D1789:F1789"/>
    <mergeCell ref="D1790:F1790"/>
    <mergeCell ref="D1821:F1821"/>
    <mergeCell ref="D1822:F1822"/>
    <mergeCell ref="D1823:F1823"/>
    <mergeCell ref="D1824:F1824"/>
    <mergeCell ref="D1825:F1825"/>
    <mergeCell ref="D1826:F1826"/>
    <mergeCell ref="D1827:F1827"/>
    <mergeCell ref="D1861:F1861"/>
    <mergeCell ref="D1778:F1778"/>
    <mergeCell ref="D1780:F1780"/>
    <mergeCell ref="D1781:F1781"/>
    <mergeCell ref="D1782:F1782"/>
    <mergeCell ref="D1777:F1777"/>
    <mergeCell ref="D1791:F1791"/>
    <mergeCell ref="D1792:F1792"/>
    <mergeCell ref="D1770:F1770"/>
    <mergeCell ref="E1840:H1840"/>
    <mergeCell ref="C1840:D1840"/>
    <mergeCell ref="D1867:F1867"/>
    <mergeCell ref="D1868:F1868"/>
    <mergeCell ref="D1869:F1869"/>
    <mergeCell ref="D1870:F1870"/>
    <mergeCell ref="D1871:F1871"/>
    <mergeCell ref="D1872:F1872"/>
    <mergeCell ref="D1873:F1873"/>
    <mergeCell ref="D1874:F1874"/>
    <mergeCell ref="D1875:F1875"/>
    <mergeCell ref="D1876:F1876"/>
    <mergeCell ref="D1877:F1877"/>
    <mergeCell ref="D1901:F1901"/>
    <mergeCell ref="D1878:F1878"/>
    <mergeCell ref="D1879:F1879"/>
    <mergeCell ref="D1880:F1880"/>
    <mergeCell ref="D1881:F1881"/>
    <mergeCell ref="D1882:F1882"/>
    <mergeCell ref="D1883:F1883"/>
    <mergeCell ref="D1884:F1884"/>
    <mergeCell ref="D1885:F1885"/>
    <mergeCell ref="D1886:F1886"/>
    <mergeCell ref="D1887:F1887"/>
    <mergeCell ref="D1888:F1888"/>
    <mergeCell ref="D1889:F1889"/>
    <mergeCell ref="D1890:F1890"/>
    <mergeCell ref="D1891:F1891"/>
    <mergeCell ref="D1892:F1892"/>
    <mergeCell ref="D1893:F1893"/>
    <mergeCell ref="D1894:F1894"/>
    <mergeCell ref="D1895:F1895"/>
    <mergeCell ref="D1896:F1896"/>
    <mergeCell ref="D1897:F1897"/>
    <mergeCell ref="D1898:F1898"/>
    <mergeCell ref="D1899:F1899"/>
    <mergeCell ref="D1900:F1900"/>
    <mergeCell ref="D1902:F1902"/>
    <mergeCell ref="D1903:F1903"/>
    <mergeCell ref="D1904:F1904"/>
    <mergeCell ref="D1905:F1905"/>
    <mergeCell ref="D1906:F1906"/>
    <mergeCell ref="D1907:F1907"/>
    <mergeCell ref="D1908:F1908"/>
    <mergeCell ref="D1909:F1909"/>
    <mergeCell ref="D1926:F1926"/>
    <mergeCell ref="D1927:F1927"/>
    <mergeCell ref="D1910:F1910"/>
    <mergeCell ref="D1911:F1911"/>
    <mergeCell ref="D1912:F1912"/>
    <mergeCell ref="D1913:F1913"/>
    <mergeCell ref="D1914:F1914"/>
    <mergeCell ref="D1915:F1915"/>
    <mergeCell ref="D1916:F1916"/>
    <mergeCell ref="D1917:F1917"/>
    <mergeCell ref="D1918:F1918"/>
    <mergeCell ref="D1919:F1919"/>
    <mergeCell ref="D1920:F1920"/>
    <mergeCell ref="D1921:F1921"/>
    <mergeCell ref="D1922:F1922"/>
    <mergeCell ref="D1923:F1923"/>
    <mergeCell ref="D1924:F1924"/>
    <mergeCell ref="D1925:F1925"/>
    <mergeCell ref="D711:F711"/>
    <mergeCell ref="D807:F807"/>
    <mergeCell ref="D910:F910"/>
    <mergeCell ref="D911:F911"/>
    <mergeCell ref="D1004:F1004"/>
    <mergeCell ref="D1005:F1005"/>
    <mergeCell ref="D1237:F1237"/>
    <mergeCell ref="D1238:F1238"/>
    <mergeCell ref="D1239:F1239"/>
    <mergeCell ref="D1088:F1088"/>
    <mergeCell ref="D1089:F1089"/>
    <mergeCell ref="D1090:F1090"/>
    <mergeCell ref="D1091:F1091"/>
    <mergeCell ref="D1096:F1096"/>
    <mergeCell ref="D1097:F1097"/>
    <mergeCell ref="D1104:F1104"/>
    <mergeCell ref="D1120:F1120"/>
    <mergeCell ref="D1121:F1121"/>
    <mergeCell ref="D1061:F1061"/>
    <mergeCell ref="D1062:F1062"/>
    <mergeCell ref="D1063:F1063"/>
    <mergeCell ref="D1064:F1064"/>
    <mergeCell ref="D1065:F1065"/>
    <mergeCell ref="D1172:F1172"/>
    <mergeCell ref="D1173:F1173"/>
    <mergeCell ref="D1174:F1174"/>
    <mergeCell ref="D1125:F1125"/>
    <mergeCell ref="D1126:F1126"/>
    <mergeCell ref="D951:F951"/>
    <mergeCell ref="D952:F952"/>
    <mergeCell ref="D914:F914"/>
    <mergeCell ref="D1067:F1067"/>
    <mergeCell ref="D1176:F1176"/>
    <mergeCell ref="D1047:F1047"/>
    <mergeCell ref="B1116:C1116"/>
    <mergeCell ref="D1119:F1119"/>
    <mergeCell ref="D1117:F1117"/>
    <mergeCell ref="D1847:F1847"/>
    <mergeCell ref="D1813:F1813"/>
    <mergeCell ref="D1814:F1814"/>
    <mergeCell ref="D1497:F1497"/>
    <mergeCell ref="D1111:F1111"/>
    <mergeCell ref="D1118:F1118"/>
    <mergeCell ref="D1079:F1079"/>
    <mergeCell ref="D1123:F1123"/>
    <mergeCell ref="D1124:F1124"/>
    <mergeCell ref="D1056:F1056"/>
    <mergeCell ref="D1057:F1057"/>
    <mergeCell ref="D1058:F1058"/>
    <mergeCell ref="D1059:F1059"/>
    <mergeCell ref="D1060:F1060"/>
    <mergeCell ref="D1828:F1828"/>
    <mergeCell ref="D1806:F1806"/>
    <mergeCell ref="D1807:F1807"/>
    <mergeCell ref="D1177:F1177"/>
    <mergeCell ref="D1178:F1178"/>
    <mergeCell ref="D1169:F1169"/>
    <mergeCell ref="D1170:F1170"/>
    <mergeCell ref="D1171:F1171"/>
    <mergeCell ref="D1175:F1175"/>
    <mergeCell ref="D1158:F1158"/>
    <mergeCell ref="D1159:F1159"/>
    <mergeCell ref="D1160:F1160"/>
    <mergeCell ref="D1161:F1161"/>
    <mergeCell ref="D1014:F1014"/>
    <mergeCell ref="D1015:F1015"/>
    <mergeCell ref="D1017:F1017"/>
    <mergeCell ref="D1018:F1018"/>
    <mergeCell ref="D1019:F1019"/>
    <mergeCell ref="D1020:F1020"/>
    <mergeCell ref="D1021:F1021"/>
    <mergeCell ref="D1022:F1022"/>
    <mergeCell ref="D1023:F1023"/>
    <mergeCell ref="D760:F760"/>
    <mergeCell ref="D761:F761"/>
    <mergeCell ref="D814:F814"/>
    <mergeCell ref="D788:F788"/>
    <mergeCell ref="D789:F789"/>
    <mergeCell ref="D790:F790"/>
    <mergeCell ref="D791:F791"/>
    <mergeCell ref="D792:F792"/>
    <mergeCell ref="D793:F793"/>
    <mergeCell ref="D794:F794"/>
    <mergeCell ref="D795:F795"/>
    <mergeCell ref="D796:F796"/>
    <mergeCell ref="D799:F799"/>
    <mergeCell ref="D800:F800"/>
    <mergeCell ref="D801:F801"/>
    <mergeCell ref="D802:F802"/>
    <mergeCell ref="D804:F804"/>
    <mergeCell ref="D954:F954"/>
    <mergeCell ref="D955:F955"/>
    <mergeCell ref="D956:F956"/>
    <mergeCell ref="D805:F805"/>
    <mergeCell ref="D806:F806"/>
    <mergeCell ref="D808:F808"/>
    <mergeCell ref="D1162:F1162"/>
    <mergeCell ref="D1163:F1163"/>
    <mergeCell ref="D1164:F1164"/>
    <mergeCell ref="D1134:F1134"/>
    <mergeCell ref="D1135:F1135"/>
    <mergeCell ref="D1136:F1136"/>
    <mergeCell ref="D1137:F1137"/>
    <mergeCell ref="D1167:F1167"/>
    <mergeCell ref="D1168:F1168"/>
    <mergeCell ref="D1127:F1127"/>
    <mergeCell ref="D1128:F1128"/>
    <mergeCell ref="D1055:F1055"/>
    <mergeCell ref="D1092:F1092"/>
    <mergeCell ref="D1087:F1087"/>
    <mergeCell ref="D1101:F1101"/>
    <mergeCell ref="D1100:F1100"/>
    <mergeCell ref="D1099:F1099"/>
    <mergeCell ref="D1098:F1098"/>
    <mergeCell ref="D1066:F1066"/>
    <mergeCell ref="D1102:F1102"/>
    <mergeCell ref="D1103:F1103"/>
    <mergeCell ref="D1157:F1157"/>
    <mergeCell ref="D1068:F1068"/>
    <mergeCell ref="D1095:F1095"/>
    <mergeCell ref="C1131:D1131"/>
    <mergeCell ref="E1131:H1131"/>
    <mergeCell ref="B1113:C1113"/>
    <mergeCell ref="D1155:F1155"/>
    <mergeCell ref="D1156:F1156"/>
    <mergeCell ref="D739:F739"/>
    <mergeCell ref="D740:F740"/>
    <mergeCell ref="D741:F741"/>
    <mergeCell ref="D742:F742"/>
    <mergeCell ref="D743:F743"/>
    <mergeCell ref="D744:F744"/>
    <mergeCell ref="D762:F762"/>
    <mergeCell ref="D763:F763"/>
    <mergeCell ref="D1069:F1069"/>
    <mergeCell ref="D1070:F1070"/>
    <mergeCell ref="D1071:F1071"/>
    <mergeCell ref="D1045:F1045"/>
    <mergeCell ref="D965:F965"/>
    <mergeCell ref="D966:F966"/>
    <mergeCell ref="D967:F967"/>
    <mergeCell ref="D968:F968"/>
    <mergeCell ref="D969:F969"/>
    <mergeCell ref="D970:F970"/>
    <mergeCell ref="D971:F971"/>
    <mergeCell ref="D1016:F1016"/>
    <mergeCell ref="D915:F915"/>
    <mergeCell ref="D953:F953"/>
    <mergeCell ref="D752:F752"/>
    <mergeCell ref="D753:F753"/>
    <mergeCell ref="D754:F754"/>
    <mergeCell ref="D755:F755"/>
    <mergeCell ref="D756:F756"/>
    <mergeCell ref="D757:F757"/>
    <mergeCell ref="D758:F758"/>
    <mergeCell ref="D921:F921"/>
    <mergeCell ref="D1048:F1048"/>
    <mergeCell ref="D1049:F1049"/>
    <mergeCell ref="D957:F957"/>
    <mergeCell ref="D958:F958"/>
    <mergeCell ref="D959:F959"/>
    <mergeCell ref="D960:F960"/>
    <mergeCell ref="D961:F961"/>
    <mergeCell ref="D962:F962"/>
    <mergeCell ref="D963:F963"/>
    <mergeCell ref="D1024:F1024"/>
    <mergeCell ref="D1025:F1025"/>
    <mergeCell ref="D1074:F1074"/>
    <mergeCell ref="D1075:F1075"/>
    <mergeCell ref="D1076:F1076"/>
    <mergeCell ref="D1077:F1077"/>
    <mergeCell ref="D1002:F1002"/>
    <mergeCell ref="D1003:F1003"/>
    <mergeCell ref="D1006:F1006"/>
    <mergeCell ref="D1007:F1007"/>
    <mergeCell ref="D1050:F1050"/>
    <mergeCell ref="D1051:F1051"/>
    <mergeCell ref="D1052:F1052"/>
    <mergeCell ref="D1053:F1053"/>
    <mergeCell ref="D1054:F1054"/>
    <mergeCell ref="D1032:F1032"/>
    <mergeCell ref="D1033:F1033"/>
    <mergeCell ref="D1034:F1034"/>
    <mergeCell ref="D1035:F1035"/>
    <mergeCell ref="D1036:F1036"/>
    <mergeCell ref="D1037:F1037"/>
    <mergeCell ref="D1038:F1038"/>
    <mergeCell ref="D1011:F1011"/>
    <mergeCell ref="D1012:F1012"/>
    <mergeCell ref="D1013:F1013"/>
  </mergeCells>
  <phoneticPr fontId="25" type="noConversion"/>
  <hyperlinks>
    <hyperlink ref="B1519" r:id="rId1" display="1Ø1/2@,3 AMBAS CARAS" xr:uid="{00000000-0004-0000-0300-000000000000}"/>
    <hyperlink ref="B1520:B1603" r:id="rId2" display="1Ø1/2@,3 AMBAS CARAS" xr:uid="{00000000-0004-0000-0300-000001000000}"/>
    <hyperlink ref="B1580:B1603" r:id="rId3" display="1Ø1/2@,3 AMBAS CARAS" xr:uid="{00000000-0004-0000-0300-000002000000}"/>
    <hyperlink ref="B1597:B1603" r:id="rId4" display="1Ø1/2@,3 AMBAS CARAS" xr:uid="{00000000-0004-0000-0300-000003000000}"/>
    <hyperlink ref="B1532:B1579" r:id="rId5" display="1Ø1/2@,3 AMBAS CARAS" xr:uid="{00000000-0004-0000-0300-000004000000}"/>
    <hyperlink ref="B1571:B1579" r:id="rId6" display="1Ø1/2@,3 AMBAS CARAS" xr:uid="{00000000-0004-0000-0300-000005000000}"/>
    <hyperlink ref="B1551:B1570" r:id="rId7" display="1Ø1/2@,3 AMBAS CARAS" xr:uid="{00000000-0004-0000-0300-000006000000}"/>
    <hyperlink ref="B1523:B1525" r:id="rId8" display="1Ø1/2@,3 AMBAS CARAS" xr:uid="{00000000-0004-0000-0300-000007000000}"/>
    <hyperlink ref="B1604" r:id="rId9" display="1Ø1/2@,3 AMBAS CARAS" xr:uid="{00000000-0004-0000-0300-000008000000}"/>
    <hyperlink ref="B1605" r:id="rId10" display="1Ø1/2@,3 AMBAS CARAS" xr:uid="{00000000-0004-0000-0300-000009000000}"/>
    <hyperlink ref="B1606" r:id="rId11" display="1Ø1/2@,3 AMBAS CARAS" xr:uid="{00000000-0004-0000-0300-00000A000000}"/>
    <hyperlink ref="B1607" r:id="rId12" display="1Ø1/2@,3 AMBAS CARAS" xr:uid="{00000000-0004-0000-0300-00000B000000}"/>
    <hyperlink ref="B1608" r:id="rId13" display="1Ø1/2@,3 AMBAS CARAS" xr:uid="{00000000-0004-0000-0300-00000C000000}"/>
    <hyperlink ref="B1609" r:id="rId14" display="1Ø1/2@,3 AMBAS CARAS" xr:uid="{00000000-0004-0000-0300-00000D000000}"/>
    <hyperlink ref="B1610" r:id="rId15" display="1Ø1/2@,3 AMBAS CARAS" xr:uid="{00000000-0004-0000-0300-00000E000000}"/>
    <hyperlink ref="B1611" r:id="rId16" display="1Ø1/2@,3 AMBAS CARAS" xr:uid="{00000000-0004-0000-0300-00000F000000}"/>
    <hyperlink ref="B1612" r:id="rId17" display="1Ø1/2@,3 AMBAS CARAS" xr:uid="{00000000-0004-0000-0300-000010000000}"/>
    <hyperlink ref="B1613" r:id="rId18" display="1Ø1/2@,3 AMBAS CARAS" xr:uid="{00000000-0004-0000-0300-000011000000}"/>
    <hyperlink ref="B1614" r:id="rId19" display="1Ø1/2@,3 AMBAS CARAS" xr:uid="{00000000-0004-0000-0300-000012000000}"/>
    <hyperlink ref="B1615" r:id="rId20" display="1Ø1/2@,3 AMBAS CARAS" xr:uid="{00000000-0004-0000-0300-000013000000}"/>
    <hyperlink ref="B1616" r:id="rId21" display="1Ø1/2@,3 AMBAS CARAS" xr:uid="{00000000-0004-0000-0300-000014000000}"/>
    <hyperlink ref="B1617" r:id="rId22" display="1Ø1/2@,3 AMBAS CARAS" xr:uid="{00000000-0004-0000-0300-000015000000}"/>
    <hyperlink ref="B1618" r:id="rId23" display="1Ø1/2@,3 AMBAS CARAS" xr:uid="{00000000-0004-0000-0300-000016000000}"/>
    <hyperlink ref="B1619" r:id="rId24" display="1Ø1/2@,3 AMBAS CARAS" xr:uid="{00000000-0004-0000-0300-000017000000}"/>
  </hyperlinks>
  <pageMargins left="0.70866141732283472" right="0.51181102362204722" top="0.62992125984251968" bottom="0.78740157480314965" header="0.43307086614173229" footer="0.55118110236220474"/>
  <pageSetup scale="77" orientation="portrait" r:id="rId25"/>
  <rowBreaks count="2" manualBreakCount="2">
    <brk id="284" max="16383" man="1"/>
    <brk id="644" max="16383" man="1"/>
  </rowBreaks>
  <colBreaks count="1" manualBreakCount="1">
    <brk id="12" max="1048575" man="1"/>
  </colBreaks>
  <drawing r:id="rId2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40"/>
  <sheetViews>
    <sheetView showGridLines="0" view="pageBreakPreview" topLeftCell="A1220" zoomScale="84" zoomScaleNormal="100" zoomScaleSheetLayoutView="84" workbookViewId="0">
      <selection activeCell="F1249" sqref="F1249"/>
    </sheetView>
  </sheetViews>
  <sheetFormatPr baseColWidth="10" defaultColWidth="11.44140625" defaultRowHeight="10.199999999999999" x14ac:dyDescent="0.3"/>
  <cols>
    <col min="1" max="1" width="12.109375" style="430" customWidth="1"/>
    <col min="2" max="2" width="9.44140625" style="352" customWidth="1"/>
    <col min="3" max="3" width="29.33203125" style="430" customWidth="1"/>
    <col min="4" max="4" width="14.5546875" style="436" customWidth="1"/>
    <col min="5" max="5" width="9.33203125" style="430" customWidth="1"/>
    <col min="6" max="7" width="13.5546875" style="430" customWidth="1"/>
    <col min="8" max="8" width="10.6640625" style="430" customWidth="1"/>
    <col min="9" max="9" width="12.44140625" style="430" customWidth="1"/>
    <col min="10" max="10" width="4.44140625" style="430" hidden="1" customWidth="1"/>
    <col min="11" max="11" width="0" style="431" hidden="1" customWidth="1"/>
    <col min="12" max="16384" width="11.44140625" style="430"/>
  </cols>
  <sheetData>
    <row r="1" spans="1:9" ht="38.25" customHeight="1" x14ac:dyDescent="0.3">
      <c r="A1" s="381"/>
      <c r="B1" s="382" t="s">
        <v>463</v>
      </c>
      <c r="C1" s="730"/>
      <c r="D1" s="730"/>
      <c r="E1" s="730"/>
      <c r="F1" s="730"/>
      <c r="G1" s="730"/>
      <c r="H1" s="730"/>
      <c r="I1" s="731"/>
    </row>
    <row r="2" spans="1:9" ht="9.75" customHeight="1" x14ac:dyDescent="0.3">
      <c r="A2" s="738"/>
      <c r="B2" s="739"/>
      <c r="C2" s="740"/>
      <c r="E2" s="759" t="s">
        <v>60</v>
      </c>
      <c r="F2" s="759"/>
      <c r="G2" s="759"/>
      <c r="H2" s="759"/>
      <c r="I2" s="760"/>
    </row>
    <row r="3" spans="1:9" ht="12" customHeight="1" x14ac:dyDescent="0.3">
      <c r="A3" s="738"/>
      <c r="B3" s="739"/>
      <c r="C3" s="740"/>
      <c r="E3" s="759" t="s">
        <v>61</v>
      </c>
      <c r="F3" s="759"/>
      <c r="G3" s="759"/>
      <c r="H3" s="759"/>
      <c r="I3" s="760"/>
    </row>
    <row r="4" spans="1:9" ht="12" customHeight="1" x14ac:dyDescent="0.3">
      <c r="A4" s="738"/>
      <c r="B4" s="739"/>
      <c r="D4" s="447" t="s">
        <v>281</v>
      </c>
      <c r="E4" s="759" t="s">
        <v>1061</v>
      </c>
      <c r="F4" s="759"/>
      <c r="G4" s="759"/>
      <c r="H4" s="759"/>
      <c r="I4" s="760"/>
    </row>
    <row r="5" spans="1:9" ht="12" customHeight="1" x14ac:dyDescent="0.3">
      <c r="A5" s="738"/>
      <c r="B5" s="739"/>
      <c r="D5" s="447" t="s">
        <v>280</v>
      </c>
      <c r="E5" s="759" t="s">
        <v>1062</v>
      </c>
      <c r="F5" s="759"/>
      <c r="G5" s="759"/>
      <c r="H5" s="759"/>
      <c r="I5" s="760"/>
    </row>
    <row r="6" spans="1:9" ht="10.5" customHeight="1" x14ac:dyDescent="0.3">
      <c r="A6" s="433"/>
      <c r="I6" s="434"/>
    </row>
    <row r="7" spans="1:9" ht="9" customHeight="1" x14ac:dyDescent="0.3">
      <c r="A7" s="749" t="s">
        <v>21</v>
      </c>
      <c r="B7" s="750"/>
      <c r="C7" s="383" t="str">
        <f>+E4</f>
        <v>DISTRITO DE TURBO</v>
      </c>
      <c r="D7" s="710" t="s">
        <v>390</v>
      </c>
      <c r="E7" s="710"/>
      <c r="F7" s="710"/>
      <c r="G7" s="751" t="str">
        <f>+E3</f>
        <v>DEPARTAMENTO DE ANTIOQUIA</v>
      </c>
      <c r="H7" s="751"/>
      <c r="I7" s="752"/>
    </row>
    <row r="8" spans="1:9" ht="9" customHeight="1" x14ac:dyDescent="0.3">
      <c r="A8" s="384"/>
      <c r="B8" s="385"/>
      <c r="C8" s="385"/>
      <c r="D8" s="448"/>
      <c r="E8" s="386"/>
      <c r="F8" s="386"/>
      <c r="G8" s="386"/>
      <c r="H8" s="386"/>
      <c r="I8" s="387"/>
    </row>
    <row r="9" spans="1:9" ht="11.25" customHeight="1" x14ac:dyDescent="0.3">
      <c r="A9" s="741" t="s">
        <v>20</v>
      </c>
      <c r="B9" s="742"/>
      <c r="C9" s="388" t="s">
        <v>1108</v>
      </c>
      <c r="D9" s="753" t="s">
        <v>10</v>
      </c>
      <c r="E9" s="754"/>
      <c r="F9" s="755"/>
      <c r="G9" s="756">
        <f>'AJUSTE PRESUPUESTO'!H9</f>
        <v>45152</v>
      </c>
      <c r="H9" s="757"/>
      <c r="I9" s="758"/>
    </row>
    <row r="10" spans="1:9" ht="11.25" customHeight="1" x14ac:dyDescent="0.3">
      <c r="A10" s="741" t="s">
        <v>8</v>
      </c>
      <c r="B10" s="742"/>
      <c r="C10" s="389" t="s">
        <v>64</v>
      </c>
      <c r="D10" s="743" t="s">
        <v>1061</v>
      </c>
      <c r="E10" s="744"/>
      <c r="F10" s="744"/>
      <c r="G10" s="744"/>
      <c r="H10" s="744"/>
      <c r="I10" s="745"/>
    </row>
    <row r="11" spans="1:9" ht="11.25" customHeight="1" x14ac:dyDescent="0.3">
      <c r="A11" s="741" t="s">
        <v>7</v>
      </c>
      <c r="B11" s="742"/>
      <c r="C11" s="389" t="s">
        <v>63</v>
      </c>
      <c r="D11" s="743" t="s">
        <v>1117</v>
      </c>
      <c r="E11" s="744"/>
      <c r="F11" s="744"/>
      <c r="G11" s="744"/>
      <c r="H11" s="744"/>
      <c r="I11" s="745"/>
    </row>
    <row r="12" spans="1:9" ht="11.25" customHeight="1" x14ac:dyDescent="0.3">
      <c r="A12" s="741" t="s">
        <v>9</v>
      </c>
      <c r="B12" s="742"/>
      <c r="C12" s="389" t="s">
        <v>62</v>
      </c>
      <c r="D12" s="743" t="s">
        <v>1035</v>
      </c>
      <c r="E12" s="744"/>
      <c r="F12" s="744"/>
      <c r="G12" s="744"/>
      <c r="H12" s="744"/>
      <c r="I12" s="745"/>
    </row>
    <row r="13" spans="1:9" ht="11.25" customHeight="1" x14ac:dyDescent="0.3">
      <c r="A13" s="741" t="s">
        <v>66</v>
      </c>
      <c r="B13" s="742"/>
      <c r="C13" s="389" t="s">
        <v>65</v>
      </c>
      <c r="D13" s="743" t="s">
        <v>67</v>
      </c>
      <c r="E13" s="744"/>
      <c r="F13" s="744"/>
      <c r="G13" s="744"/>
      <c r="H13" s="744"/>
      <c r="I13" s="745"/>
    </row>
    <row r="14" spans="1:9" ht="11.25" customHeight="1" x14ac:dyDescent="0.3">
      <c r="A14" s="741" t="s">
        <v>24</v>
      </c>
      <c r="B14" s="742"/>
      <c r="C14" s="746"/>
      <c r="D14" s="747"/>
      <c r="E14" s="747"/>
      <c r="F14" s="747"/>
      <c r="G14" s="747"/>
      <c r="H14" s="747"/>
      <c r="I14" s="748"/>
    </row>
    <row r="15" spans="1:9" ht="12.75" customHeight="1" x14ac:dyDescent="0.3">
      <c r="A15" s="725" t="s">
        <v>68</v>
      </c>
      <c r="B15" s="726"/>
      <c r="C15" s="726"/>
      <c r="D15" s="726"/>
      <c r="E15" s="726"/>
      <c r="F15" s="726"/>
      <c r="G15" s="726"/>
      <c r="H15" s="726"/>
      <c r="I15" s="727"/>
    </row>
    <row r="16" spans="1:9" ht="19.2" customHeight="1" x14ac:dyDescent="0.3">
      <c r="A16" s="390" t="s">
        <v>69</v>
      </c>
      <c r="B16" s="391" t="s">
        <v>25</v>
      </c>
      <c r="C16" s="710" t="s">
        <v>70</v>
      </c>
      <c r="D16" s="721" t="str">
        <f>VLOOKUP(B16,'AJUSTE PRESUPUESTO'!$A$17:$I$21,3,FALSE)</f>
        <v>Localización, replanteo y plano récord, en sección completa de vía, incluyendo andes, cordones y sección de calzada</v>
      </c>
      <c r="E16" s="721"/>
      <c r="F16" s="721"/>
      <c r="G16" s="721"/>
      <c r="H16" s="721"/>
      <c r="I16" s="732"/>
    </row>
    <row r="17" spans="1:9" ht="12" customHeight="1" x14ac:dyDescent="0.3">
      <c r="A17" s="390" t="s">
        <v>71</v>
      </c>
      <c r="B17" s="435" t="s">
        <v>117</v>
      </c>
      <c r="C17" s="710"/>
      <c r="D17" s="355" t="s">
        <v>12</v>
      </c>
      <c r="E17" s="392" t="s">
        <v>129</v>
      </c>
      <c r="F17" s="392" t="s">
        <v>13</v>
      </c>
      <c r="G17" s="392">
        <f>VLOOKUP(B17,PRESUPUESTO!B18:I22,5,FALSE)</f>
        <v>9031</v>
      </c>
      <c r="H17" s="393" t="s">
        <v>27</v>
      </c>
      <c r="I17" s="394">
        <f>+I40</f>
        <v>1421</v>
      </c>
    </row>
    <row r="18" spans="1:9" ht="12.75" customHeight="1" x14ac:dyDescent="0.3">
      <c r="A18" s="395" t="s">
        <v>14</v>
      </c>
      <c r="B18" s="386"/>
      <c r="C18" s="352"/>
      <c r="D18" s="417"/>
      <c r="E18" s="352"/>
      <c r="F18" s="352"/>
      <c r="G18" s="352"/>
      <c r="H18" s="352"/>
      <c r="I18" s="396"/>
    </row>
    <row r="19" spans="1:9" ht="12.75" customHeight="1" x14ac:dyDescent="0.3">
      <c r="A19" s="720" t="s">
        <v>19</v>
      </c>
      <c r="B19" s="712"/>
      <c r="C19" s="712"/>
      <c r="D19" s="712"/>
      <c r="E19" s="712"/>
      <c r="F19" s="350" t="s">
        <v>28</v>
      </c>
      <c r="G19" s="350" t="s">
        <v>29</v>
      </c>
      <c r="H19" s="350" t="s">
        <v>30</v>
      </c>
      <c r="I19" s="713"/>
    </row>
    <row r="20" spans="1:9" ht="12.75" customHeight="1" x14ac:dyDescent="0.3">
      <c r="A20" s="397" t="s">
        <v>1</v>
      </c>
      <c r="B20" s="398" t="s">
        <v>74</v>
      </c>
      <c r="C20" s="721" t="str">
        <f>IF($A20="EQUI",VLOOKUP($B20,EQUI!B$16:G$37,2,FALSE),IF($A20="TRAN",VLOOKUP($B20,TRAN!$B$16:$G$26,2,FALSE),IF($A20="MAT",VLOOKUP($B20,'MAT1'!$B$16:$G$43,2,FALSE),IF($A20="MDEO",VLOOKUP($B20,MDEO!$B$16:$P$27,2,FALSE)))))</f>
        <v xml:space="preserve">Estación total localización </v>
      </c>
      <c r="D20" s="721"/>
      <c r="E20" s="721"/>
      <c r="F20" s="355">
        <f>IF($A20="EQUI",VLOOKUP($B20,EQUI!B$16:G$36,4,FALSE),IF($A20="TRAN",VLOOKUP($B20,TRAN!$B$16:$G$26,4,FALSE),IF($A20="MAT",VLOOKUP($B20,'MAT1'!$B$16:$G$43,4,FALSE),IF($A20="MDEO",VLOOKUP($B20,MDEO!$B$16:$P$27,4,FALSE)))))</f>
        <v>80000</v>
      </c>
      <c r="G20" s="399">
        <v>8.3798882681564244E-3</v>
      </c>
      <c r="H20" s="400">
        <f>+F20*G20</f>
        <v>670.39106145251401</v>
      </c>
      <c r="I20" s="713"/>
    </row>
    <row r="21" spans="1:9" ht="12.75" customHeight="1" x14ac:dyDescent="0.3">
      <c r="A21" s="401"/>
      <c r="C21" s="352"/>
      <c r="D21" s="417"/>
      <c r="E21" s="352"/>
      <c r="F21" s="413" t="s">
        <v>32</v>
      </c>
      <c r="G21" s="402" t="str">
        <f>+B16</f>
        <v>1.1</v>
      </c>
      <c r="H21" s="402" t="s">
        <v>33</v>
      </c>
      <c r="I21" s="396">
        <f>SUM(H20:H20)</f>
        <v>670.39106145251401</v>
      </c>
    </row>
    <row r="22" spans="1:9" ht="12.75" customHeight="1" x14ac:dyDescent="0.3">
      <c r="A22" s="395" t="s">
        <v>34</v>
      </c>
      <c r="B22" s="386"/>
      <c r="C22" s="352"/>
      <c r="D22" s="417"/>
      <c r="E22" s="352"/>
      <c r="F22" s="352"/>
      <c r="G22" s="352"/>
      <c r="H22" s="352"/>
      <c r="I22" s="403"/>
    </row>
    <row r="23" spans="1:9" ht="12.75" customHeight="1" x14ac:dyDescent="0.3">
      <c r="A23" s="720" t="s">
        <v>35</v>
      </c>
      <c r="B23" s="712"/>
      <c r="C23" s="712"/>
      <c r="D23" s="712"/>
      <c r="E23" s="350" t="s">
        <v>12</v>
      </c>
      <c r="F23" s="350" t="s">
        <v>36</v>
      </c>
      <c r="G23" s="350" t="s">
        <v>37</v>
      </c>
      <c r="H23" s="350" t="s">
        <v>38</v>
      </c>
      <c r="I23" s="713"/>
    </row>
    <row r="24" spans="1:9" ht="12.75" customHeight="1" x14ac:dyDescent="0.3">
      <c r="A24" s="397" t="s">
        <v>522</v>
      </c>
      <c r="B24" s="398" t="s">
        <v>41</v>
      </c>
      <c r="C24" s="721" t="str">
        <f>IF($A24="EQUI",VLOOKUP($B24,EQUI!B$16:G$35,2,FALSE),IF($A24="TRAN",VLOOKUP($B24,TRAN!$B$16:$G$26,2,FALSE),IF($A24="MAT1",VLOOKUP($B24,'MAT1'!$B$16:$G$43,2,FALSE),IF($A24="MAT2",VLOOKUP($B24,'MAT2'!$B$16:$G$35,2,FALSE),IF($A24="MDEO",VLOOKUP($B24,MDEO!$B$16:$P$27,2,FALSE))))))</f>
        <v>1/4 de pintura</v>
      </c>
      <c r="D24" s="721"/>
      <c r="E24" s="355" t="str">
        <f>IF($A24="EQUI",VLOOKUP($B24,EQUI!B$16:G$35,3,FALSE),IF($A24="TRAN",VLOOKUP($B24,TRAN!$B$16:$G$26,3,FALSE),IF($A24="MAT1",VLOOKUP($B24,'MAT1'!$B$16:$G$43,3,FALSE),IF($A24="MAT2",VLOOKUP($B24,'MAT2'!$B$16:$G$45,3,FALSE),IF($A24="MDEO",VLOOKUP($B24,MDEO!$B$16:$P$27,3,FALSE))))))</f>
        <v>GL</v>
      </c>
      <c r="F24" s="355">
        <f>IF($A24="EQUI",VLOOKUP($B24,EQUI!B$16:G$35,4,FALSE),IF($A24="TRAN",VLOOKUP($B24,TRAN!$B$16:$G$26,4,FALSE),IF($A24="MAT1",VLOOKUP($B24,'MAT1'!$B$16:$G$43,4,FALSE),IF($A24="MAT2",VLOOKUP($B24,'MAT2'!$B$16:$G$34,4,FALSE),IF($A24="MDEO",VLOOKUP($B24,MDEO!$B$16:$P$27,4,FALSE))))))</f>
        <v>12500</v>
      </c>
      <c r="G24" s="352">
        <v>8.0000000000000002E-3</v>
      </c>
      <c r="H24" s="404">
        <f>G24*F24</f>
        <v>100</v>
      </c>
      <c r="I24" s="713"/>
    </row>
    <row r="25" spans="1:9" ht="12.75" customHeight="1" x14ac:dyDescent="0.3">
      <c r="A25" s="397" t="s">
        <v>522</v>
      </c>
      <c r="B25" s="398" t="s">
        <v>140</v>
      </c>
      <c r="C25" s="721" t="str">
        <f>IF($A25="EQUI",VLOOKUP($B25,EQUI!B$16:G$35,2,FALSE),IF($A25="TRAN",VLOOKUP($B25,TRAN!$B$16:$G$26,2,FALSE),IF($A25="MAT1",VLOOKUP($B25,'MAT1'!$B$16:$G$43,2,FALSE),IF($A25="MAT2",VLOOKUP($B25,'MAT2'!$B$16:$G$35,2,FALSE),IF($A25="MDEO",VLOOKUP($B25,MDEO!$B$16:$P$27,2,FALSE))))))</f>
        <v>clavo común 2</v>
      </c>
      <c r="D25" s="721"/>
      <c r="E25" s="355" t="str">
        <f>IF($A25="EQUI",VLOOKUP($B25,EQUI!B$16:G$35,3,FALSE),IF($A25="TRAN",VLOOKUP($B25,TRAN!$B$16:$G$26,3,FALSE),IF($A25="MAT1",VLOOKUP($B25,'MAT1'!$B$16:$G$43,3,FALSE),IF($A25="MAT2",VLOOKUP($B25,'MAT2'!$B$16:$G$45,3,FALSE),IF($A25="MDEO",VLOOKUP($B25,MDEO!$B$16:$P$27,3,FALSE))))))</f>
        <v>LB</v>
      </c>
      <c r="F25" s="355">
        <f>IF($A25="EQUI",VLOOKUP($B25,EQUI!B$16:G$35,4,FALSE),IF($A25="TRAN",VLOOKUP($B25,TRAN!$B$16:$G$26,4,FALSE),IF($A25="MAT1",VLOOKUP($B25,'MAT1'!$B$16:$G$43,4,FALSE),IF($A25="MAT2",VLOOKUP($B25,'MAT2'!$B$16:$G$34,4,FALSE),IF($A25="MDEO",VLOOKUP($B25,MDEO!$B$16:$P$27,4,FALSE))))))</f>
        <v>2300</v>
      </c>
      <c r="G25" s="352">
        <v>0.01</v>
      </c>
      <c r="H25" s="404">
        <f>G25*F25</f>
        <v>23</v>
      </c>
      <c r="I25" s="713"/>
    </row>
    <row r="26" spans="1:9" ht="12.75" customHeight="1" x14ac:dyDescent="0.3">
      <c r="A26" s="397" t="s">
        <v>522</v>
      </c>
      <c r="B26" s="398" t="s">
        <v>147</v>
      </c>
      <c r="C26" s="721" t="str">
        <f>IF($A26="EQUI",VLOOKUP($B26,EQUI!B$16:G$35,2,FALSE),IF($A26="TRAN",VLOOKUP($B26,TRAN!$B$16:$G$26,2,FALSE),IF($A26="MAT1",VLOOKUP($B26,'MAT1'!$B$16:$G$43,2,FALSE),IF($A26="MAT2",VLOOKUP($B26,'MAT2'!$B$16:$G$35,2,FALSE),IF($A26="MDEO",VLOOKUP($B26,MDEO!$B$16:$P$27,2,FALSE))))))</f>
        <v>listón 2*2 madera tipo choiba</v>
      </c>
      <c r="D26" s="721"/>
      <c r="E26" s="355" t="str">
        <f>IF($A26="EQUI",VLOOKUP($B26,EQUI!B$16:G$35,3,FALSE),IF($A26="TRAN",VLOOKUP($B26,TRAN!$B$16:$G$26,3,FALSE),IF($A26="MAT1",VLOOKUP($B26,'MAT1'!$B$16:$G$43,3,FALSE),IF($A26="MAT2",VLOOKUP($B26,'MAT2'!$B$16:$G$45,3,FALSE),IF($A26="MDEO",VLOOKUP($B26,MDEO!$B$16:$P$27,3,FALSE))))))</f>
        <v>UNIDAD</v>
      </c>
      <c r="F26" s="355">
        <f>IF($A26="EQUI",VLOOKUP($B26,EQUI!B$16:G$35,4,FALSE),IF($A26="TRAN",VLOOKUP($B26,TRAN!$B$16:$G$26,4,FALSE),IF($A26="MAT1",VLOOKUP($B26,'MAT1'!$B$16:$G$43,4,FALSE),IF($A26="MAT2",VLOOKUP($B26,'MAT2'!$B$16:$G$34,4,FALSE),IF($A26="MDEO",VLOOKUP($B26,MDEO!$B$16:$P$27,4,FALSE))))))</f>
        <v>10000</v>
      </c>
      <c r="G26" s="352">
        <v>3.0000000000000001E-3</v>
      </c>
      <c r="H26" s="404">
        <f>G26*F26</f>
        <v>30</v>
      </c>
      <c r="I26" s="713"/>
    </row>
    <row r="27" spans="1:9" ht="12.75" customHeight="1" x14ac:dyDescent="0.3">
      <c r="A27" s="401"/>
      <c r="C27" s="352"/>
      <c r="D27" s="417"/>
      <c r="E27" s="352"/>
      <c r="F27" s="413" t="s">
        <v>32</v>
      </c>
      <c r="G27" s="402" t="str">
        <f>+B16</f>
        <v>1.1</v>
      </c>
      <c r="H27" s="402" t="s">
        <v>42</v>
      </c>
      <c r="I27" s="403">
        <f>SUM(H24:H26)</f>
        <v>153</v>
      </c>
    </row>
    <row r="28" spans="1:9" ht="12.75" customHeight="1" x14ac:dyDescent="0.3">
      <c r="A28" s="395" t="s">
        <v>15</v>
      </c>
      <c r="B28" s="386"/>
      <c r="C28" s="352"/>
      <c r="D28" s="417"/>
      <c r="E28" s="352"/>
      <c r="F28" s="352"/>
      <c r="G28" s="352"/>
      <c r="H28" s="352"/>
      <c r="I28" s="403"/>
    </row>
    <row r="29" spans="1:9" ht="18" customHeight="1" x14ac:dyDescent="0.3">
      <c r="A29" s="720" t="s">
        <v>35</v>
      </c>
      <c r="B29" s="712"/>
      <c r="C29" s="712"/>
      <c r="D29" s="355" t="s">
        <v>43</v>
      </c>
      <c r="E29" s="350" t="s">
        <v>44</v>
      </c>
      <c r="F29" s="355" t="s">
        <v>45</v>
      </c>
      <c r="G29" s="350" t="s">
        <v>17</v>
      </c>
      <c r="H29" s="350" t="s">
        <v>30</v>
      </c>
      <c r="I29" s="713"/>
    </row>
    <row r="30" spans="1:9" ht="12.75" customHeight="1" x14ac:dyDescent="0.3">
      <c r="A30" s="405" t="s">
        <v>3</v>
      </c>
      <c r="B30" s="406"/>
      <c r="C30" s="352"/>
      <c r="D30" s="417"/>
      <c r="E30" s="352"/>
      <c r="F30" s="352"/>
      <c r="G30" s="352"/>
      <c r="H30" s="352"/>
      <c r="I30" s="713"/>
    </row>
    <row r="31" spans="1:9" ht="12.75" customHeight="1" x14ac:dyDescent="0.3">
      <c r="A31" s="401"/>
      <c r="C31" s="352"/>
      <c r="D31" s="417"/>
      <c r="E31" s="352"/>
      <c r="F31" s="413" t="s">
        <v>32</v>
      </c>
      <c r="G31" s="402" t="str">
        <f>+B16</f>
        <v>1.1</v>
      </c>
      <c r="H31" s="402" t="s">
        <v>46</v>
      </c>
      <c r="I31" s="403">
        <f>SUM(H30:H30)</f>
        <v>0</v>
      </c>
    </row>
    <row r="32" spans="1:9" ht="12.75" customHeight="1" x14ac:dyDescent="0.3">
      <c r="A32" s="395" t="s">
        <v>1107</v>
      </c>
      <c r="B32" s="386"/>
      <c r="C32" s="352"/>
      <c r="D32" s="417"/>
      <c r="E32" s="352"/>
      <c r="F32" s="352"/>
      <c r="G32" s="352"/>
      <c r="H32" s="352"/>
      <c r="I32" s="403"/>
    </row>
    <row r="33" spans="1:11" s="436" customFormat="1" ht="18.600000000000001" customHeight="1" x14ac:dyDescent="0.3">
      <c r="A33" s="722" t="s">
        <v>18</v>
      </c>
      <c r="B33" s="723"/>
      <c r="C33" s="723"/>
      <c r="D33" s="355" t="s">
        <v>48</v>
      </c>
      <c r="E33" s="355" t="s">
        <v>109</v>
      </c>
      <c r="F33" s="380" t="s">
        <v>250</v>
      </c>
      <c r="G33" s="380" t="s">
        <v>29</v>
      </c>
      <c r="H33" s="355" t="s">
        <v>30</v>
      </c>
      <c r="I33" s="407"/>
      <c r="K33" s="437"/>
    </row>
    <row r="34" spans="1:11" ht="12.75" customHeight="1" x14ac:dyDescent="0.3">
      <c r="A34" s="405" t="s">
        <v>4</v>
      </c>
      <c r="B34" s="408" t="s">
        <v>50</v>
      </c>
      <c r="C34" s="409" t="str">
        <f>IF($A34="EQUI",VLOOKUP($B34,EQUI!B$16:G$37,2,FALSE),IF($A34="TRAN",VLOOKUP($B34,TRAN!$B$16:$G$26,2,FALSE),IF($A34="MAT",VLOOKUP($B34,'MAT1'!$B$16:$G$43,2,FALSE),IF($A34="MDEO",VLOOKUP($B34,MDEO!$B$16:$P$27,2,FALSE)))))</f>
        <v>topógrafo</v>
      </c>
      <c r="D34" s="449">
        <f>IF($A34="EQUI",VLOOKUP($B34,EQUI!B$16:G$35,3,FALSE),IF($A34="TRAN",VLOOKUP($B34,TRAN!$B$16:$G$26,3,FALSE),IF($A34="MAT",VLOOKUP($B34,'MAT1'!$B$16:$G$43,3,FALSE),IF($A34="MDEO",VLOOKUP($B34,MDEO!$B$16:$P$33,10,FALSE)))))</f>
        <v>14671.701780833337</v>
      </c>
      <c r="E34" s="410"/>
      <c r="F34" s="438">
        <f>+D34+D34*E34</f>
        <v>14671.701780833337</v>
      </c>
      <c r="G34" s="404">
        <v>2.5000000000000001E-2</v>
      </c>
      <c r="H34" s="411">
        <f>G34*F34</f>
        <v>366.79254452083342</v>
      </c>
      <c r="I34" s="403"/>
    </row>
    <row r="35" spans="1:11" ht="12.75" customHeight="1" x14ac:dyDescent="0.3">
      <c r="A35" s="405" t="s">
        <v>4</v>
      </c>
      <c r="B35" s="408" t="s">
        <v>51</v>
      </c>
      <c r="C35" s="409" t="str">
        <f>IF($A35="EQUI",VLOOKUP($B35,EQUI!B$16:G$37,2,FALSE),IF($A35="TRAN",VLOOKUP($B35,TRAN!$B$16:$G$26,2,FALSE),IF($A35="MAT",VLOOKUP($B35,'MAT1'!$B$16:$G$43,2,FALSE),IF($A35="MDEO",VLOOKUP($B35,MDEO!$B$16:$P$27,2,FALSE)))))</f>
        <v>cadenero 1</v>
      </c>
      <c r="D35" s="449">
        <f>IF($A35="EQUI",VLOOKUP($B35,EQUI!B$16:G$35,3,FALSE),IF($A35="TRAN",VLOOKUP($B35,TRAN!$B$16:$G$26,3,FALSE),IF($A35="MAT",VLOOKUP($B35,'MAT1'!$B$16:$G$43,3,FALSE),IF($A35="MDEO",VLOOKUP($B35,MDEO!$B$16:$P$33,10,FALSE)))))</f>
        <v>12974.601086388891</v>
      </c>
      <c r="E35" s="410"/>
      <c r="F35" s="438">
        <f>+D35+D35*E35</f>
        <v>12974.601086388891</v>
      </c>
      <c r="G35" s="399">
        <v>8.3798882681564244E-3</v>
      </c>
      <c r="H35" s="411">
        <f>G35*F35</f>
        <v>108.72570742783986</v>
      </c>
      <c r="I35" s="403"/>
    </row>
    <row r="36" spans="1:11" ht="12.75" customHeight="1" x14ac:dyDescent="0.3">
      <c r="A36" s="405" t="s">
        <v>4</v>
      </c>
      <c r="B36" s="408" t="s">
        <v>52</v>
      </c>
      <c r="C36" s="409" t="str">
        <f>IF($A36="EQUI",VLOOKUP($B36,EQUI!B$16:G$37,2,FALSE),IF($A36="TRAN",VLOOKUP($B36,TRAN!$B$16:$G$26,2,FALSE),IF($A36="MAT",VLOOKUP($B36,'MAT1'!$B$16:$G$43,2,FALSE),IF($A36="MDEO",VLOOKUP($B36,MDEO!$B$16:$P$27,2,FALSE)))))</f>
        <v>cadenero 2</v>
      </c>
      <c r="D36" s="449">
        <f>IF($A36="EQUI",VLOOKUP($B36,EQUI!B$16:G$35,3,FALSE),IF($A36="TRAN",VLOOKUP($B36,TRAN!$B$16:$G$26,3,FALSE),IF($A36="MAT",VLOOKUP($B36,'MAT1'!$B$16:$G$43,3,FALSE),IF($A36="MDEO",VLOOKUP($B36,MDEO!$B$16:$P$33,10,FALSE)))))</f>
        <v>11136.644836388892</v>
      </c>
      <c r="E36" s="410"/>
      <c r="F36" s="438">
        <f>+D36+D36*E36</f>
        <v>11136.644836388892</v>
      </c>
      <c r="G36" s="399">
        <v>8.3798882681564244E-3</v>
      </c>
      <c r="H36" s="411">
        <f>G36*F36</f>
        <v>93.323839411080101</v>
      </c>
      <c r="I36" s="403"/>
    </row>
    <row r="37" spans="1:11" ht="12.75" customHeight="1" x14ac:dyDescent="0.3">
      <c r="A37" s="405" t="s">
        <v>4</v>
      </c>
      <c r="B37" s="408" t="s">
        <v>178</v>
      </c>
      <c r="C37" s="409" t="str">
        <f>IF($A37="EQUI",VLOOKUP($B37,EQUI!B$16:G$37,2,FALSE),IF($A37="TRAN",VLOOKUP($B37,TRAN!$B$16:$G$26,2,FALSE),IF($A37="MAT",VLOOKUP($B37,'MAT1'!$B$16:$G$43,2,FALSE),IF($A37="MDEO",VLOOKUP($B37,MDEO!$B$16:$P$33,2,FALSE)))))</f>
        <v>contra maestro</v>
      </c>
      <c r="D37" s="449">
        <f>IF($A37="EQUI",VLOOKUP($B37,EQUI!B$16:G$35,3,FALSE),IF($A37="TRAN",VLOOKUP($B37,TRAN!$B$16:$G$26,3,FALSE),IF($A37="MAT",VLOOKUP($B37,'MAT1'!$B$16:$G$43,3,FALSE),IF($A37="MDEO",VLOOKUP($B37,MDEO!$B$16:$P$33,10,FALSE)))))</f>
        <v>12974.601086388891</v>
      </c>
      <c r="E37" s="410"/>
      <c r="F37" s="438">
        <f>+D37+D37*E37</f>
        <v>12974.601086388891</v>
      </c>
      <c r="G37" s="412">
        <f>+G34*0.1</f>
        <v>2.5000000000000005E-3</v>
      </c>
      <c r="H37" s="411">
        <f>G37*F37</f>
        <v>32.436502715972232</v>
      </c>
      <c r="I37" s="403"/>
    </row>
    <row r="38" spans="1:11" ht="12.75" customHeight="1" x14ac:dyDescent="0.3">
      <c r="A38" s="401"/>
      <c r="C38" s="352"/>
      <c r="D38" s="417"/>
      <c r="E38" s="352"/>
      <c r="F38" s="413" t="s">
        <v>32</v>
      </c>
      <c r="G38" s="402" t="str">
        <f>+B16</f>
        <v>1.1</v>
      </c>
      <c r="H38" s="413" t="s">
        <v>53</v>
      </c>
      <c r="I38" s="396">
        <f>SUM(H34:H36)</f>
        <v>568.84209135975345</v>
      </c>
    </row>
    <row r="39" spans="1:11" ht="12.75" customHeight="1" x14ac:dyDescent="0.3">
      <c r="A39" s="401" t="s">
        <v>54</v>
      </c>
      <c r="C39" s="352"/>
      <c r="D39" s="417"/>
      <c r="E39" s="352"/>
      <c r="F39" s="352"/>
      <c r="G39" s="352"/>
      <c r="H39" s="350"/>
      <c r="I39" s="396">
        <f>I38*0.05</f>
        <v>28.442104567987673</v>
      </c>
    </row>
    <row r="40" spans="1:11" ht="12.75" customHeight="1" x14ac:dyDescent="0.3">
      <c r="A40" s="401"/>
      <c r="C40" s="352"/>
      <c r="D40" s="417"/>
      <c r="E40" s="352"/>
      <c r="F40" s="413" t="s">
        <v>55</v>
      </c>
      <c r="G40" s="350"/>
      <c r="H40" s="350"/>
      <c r="I40" s="396">
        <f>ROUND(I38+I39+I27+I21+I31,0)</f>
        <v>1421</v>
      </c>
    </row>
    <row r="41" spans="1:11" ht="12.75" customHeight="1" x14ac:dyDescent="0.3">
      <c r="A41" s="414"/>
      <c r="B41" s="415"/>
      <c r="C41" s="415"/>
      <c r="D41" s="450"/>
      <c r="E41" s="415"/>
      <c r="F41" s="415"/>
      <c r="G41" s="415"/>
      <c r="H41" s="415"/>
      <c r="I41" s="396"/>
    </row>
    <row r="42" spans="1:11" ht="76.95" customHeight="1" x14ac:dyDescent="0.3">
      <c r="A42" s="724" t="s">
        <v>114</v>
      </c>
      <c r="B42" s="710"/>
      <c r="C42" s="710"/>
      <c r="D42" s="450"/>
      <c r="E42" s="415"/>
      <c r="F42" s="710" t="s">
        <v>396</v>
      </c>
      <c r="G42" s="710"/>
      <c r="H42" s="710"/>
      <c r="I42" s="711"/>
    </row>
    <row r="43" spans="1:11" ht="12.75" customHeight="1" x14ac:dyDescent="0.3">
      <c r="A43" s="397" t="s">
        <v>111</v>
      </c>
      <c r="B43" s="712"/>
      <c r="C43" s="712"/>
      <c r="D43" s="417"/>
      <c r="E43" s="352"/>
      <c r="F43" s="350" t="s">
        <v>111</v>
      </c>
      <c r="G43" s="712"/>
      <c r="H43" s="712"/>
      <c r="I43" s="713"/>
    </row>
    <row r="44" spans="1:11" ht="12.75" customHeight="1" x14ac:dyDescent="0.3">
      <c r="A44" s="439" t="s">
        <v>115</v>
      </c>
      <c r="B44" s="710" t="s">
        <v>1551</v>
      </c>
      <c r="C44" s="710"/>
      <c r="F44" s="432" t="s">
        <v>112</v>
      </c>
      <c r="G44" s="712"/>
      <c r="H44" s="712"/>
      <c r="I44" s="713"/>
    </row>
    <row r="45" spans="1:11" ht="12.75" customHeight="1" x14ac:dyDescent="0.3">
      <c r="A45" s="439" t="s">
        <v>113</v>
      </c>
      <c r="B45" s="710" t="s">
        <v>1554</v>
      </c>
      <c r="C45" s="710"/>
      <c r="F45" s="432" t="s">
        <v>113</v>
      </c>
      <c r="G45" s="712"/>
      <c r="H45" s="712"/>
      <c r="I45" s="713"/>
    </row>
    <row r="46" spans="1:11" ht="12.75" customHeight="1" x14ac:dyDescent="0.3">
      <c r="A46" s="439"/>
      <c r="B46" s="350"/>
      <c r="C46" s="350"/>
      <c r="F46" s="432"/>
      <c r="G46" s="350"/>
      <c r="H46" s="350"/>
      <c r="I46" s="416"/>
    </row>
    <row r="47" spans="1:11" ht="12.75" customHeight="1" x14ac:dyDescent="0.3">
      <c r="A47" s="714" t="s">
        <v>110</v>
      </c>
      <c r="B47" s="715"/>
      <c r="C47" s="715"/>
      <c r="D47" s="715"/>
      <c r="E47" s="715"/>
      <c r="F47" s="715"/>
      <c r="G47" s="715"/>
      <c r="H47" s="715"/>
      <c r="I47" s="716"/>
    </row>
    <row r="48" spans="1:11" ht="22.95" customHeight="1" x14ac:dyDescent="0.3">
      <c r="A48" s="761"/>
      <c r="B48" s="761"/>
      <c r="C48" s="761"/>
      <c r="D48" s="761"/>
      <c r="E48" s="761"/>
      <c r="F48" s="761"/>
      <c r="G48" s="761"/>
      <c r="H48" s="761"/>
      <c r="I48" s="761"/>
    </row>
    <row r="49" spans="1:11" ht="22.95" customHeight="1" x14ac:dyDescent="0.3">
      <c r="A49" s="761"/>
      <c r="B49" s="761"/>
      <c r="C49" s="761"/>
      <c r="D49" s="761"/>
      <c r="E49" s="761"/>
      <c r="F49" s="761"/>
      <c r="G49" s="761"/>
      <c r="H49" s="761"/>
      <c r="I49" s="761"/>
    </row>
    <row r="50" spans="1:11" ht="12.75" customHeight="1" x14ac:dyDescent="0.3">
      <c r="A50" s="724" t="s">
        <v>68</v>
      </c>
      <c r="B50" s="710"/>
      <c r="C50" s="710"/>
      <c r="D50" s="710"/>
      <c r="E50" s="710"/>
      <c r="F50" s="710"/>
      <c r="G50" s="710"/>
      <c r="H50" s="710"/>
      <c r="I50" s="711"/>
    </row>
    <row r="51" spans="1:11" ht="28.5" customHeight="1" x14ac:dyDescent="0.3">
      <c r="A51" s="390" t="s">
        <v>69</v>
      </c>
      <c r="B51" s="391" t="s">
        <v>205</v>
      </c>
      <c r="C51" s="710" t="s">
        <v>70</v>
      </c>
      <c r="D51" s="721" t="str">
        <f>VLOOKUP(B51,'AJUSTE PRESUPUESTO'!$A$18:$I$21,3,FALSE)</f>
        <v>Demolición mecánica , andenes, bordillos de concreto concretos existentes, pavimento rígido, incluye transporte</v>
      </c>
      <c r="E51" s="721"/>
      <c r="F51" s="721"/>
      <c r="G51" s="721"/>
      <c r="H51" s="721"/>
      <c r="I51" s="732"/>
    </row>
    <row r="52" spans="1:11" ht="12.75" customHeight="1" x14ac:dyDescent="0.3">
      <c r="A52" s="390" t="s">
        <v>71</v>
      </c>
      <c r="B52" s="435" t="str">
        <f>VLOOKUP(B51,[6]PRESUPUESTO!$A$18:$I$22,2,FALSE)</f>
        <v>201.3-13</v>
      </c>
      <c r="C52" s="710"/>
      <c r="D52" s="355" t="s">
        <v>12</v>
      </c>
      <c r="E52" s="392" t="s">
        <v>26</v>
      </c>
      <c r="F52" s="392" t="s">
        <v>13</v>
      </c>
      <c r="G52" s="392">
        <f>VLOOKUP(B51,PRESUPUESTO!$A$15:$I$1650,6,FALSE)</f>
        <v>4432</v>
      </c>
      <c r="H52" s="393" t="s">
        <v>27</v>
      </c>
      <c r="I52" s="394">
        <f>+I73</f>
        <v>19102</v>
      </c>
    </row>
    <row r="53" spans="1:11" ht="12.75" customHeight="1" x14ac:dyDescent="0.3">
      <c r="A53" s="395" t="s">
        <v>14</v>
      </c>
      <c r="B53" s="386"/>
      <c r="C53" s="352"/>
      <c r="D53" s="417"/>
      <c r="E53" s="352"/>
      <c r="F53" s="352"/>
      <c r="G53" s="352"/>
      <c r="H53" s="352"/>
      <c r="I53" s="396"/>
    </row>
    <row r="54" spans="1:11" ht="12.75" customHeight="1" x14ac:dyDescent="0.3">
      <c r="A54" s="720" t="s">
        <v>19</v>
      </c>
      <c r="B54" s="712"/>
      <c r="C54" s="712"/>
      <c r="D54" s="712"/>
      <c r="E54" s="712"/>
      <c r="F54" s="350" t="s">
        <v>28</v>
      </c>
      <c r="G54" s="350" t="s">
        <v>29</v>
      </c>
      <c r="H54" s="350" t="s">
        <v>30</v>
      </c>
      <c r="I54" s="713"/>
    </row>
    <row r="55" spans="1:11" ht="12.75" customHeight="1" x14ac:dyDescent="0.3">
      <c r="A55" s="397" t="s">
        <v>1</v>
      </c>
      <c r="B55" s="398" t="s">
        <v>95</v>
      </c>
      <c r="C55" s="721" t="str">
        <f>IF($A55="EQUI",VLOOKUP($B55,EQUI!B$16:G$37,2,FALSE),IF($A55="TRAN",VLOOKUP($B55,TRAN!$B$16:$G$26,2,FALSE),IF($A55="MAT",VLOOKUP($B55,'MAT1'!$B$16:$G$43,2,FALSE),IF($A55="MDEO",VLOOKUP($B55,MDEO!$B$16:$P$27,2,FALSE)))))</f>
        <v>mini cargador</v>
      </c>
      <c r="D55" s="721"/>
      <c r="E55" s="721"/>
      <c r="F55" s="355">
        <f>IF($A55="EQUI",VLOOKUP($B55,EQUI!B$16:G$36,4,FALSE),IF($A55="TRAN",VLOOKUP($B55,TRAN!$B$16:$G$26,4,FALSE),IF($A55="MAT",VLOOKUP($B55,'MAT1'!$B$16:$G$43,4,FALSE),IF($A55="MDEO",VLOOKUP($B55,MDEO!$B$16:$P$27,4,FALSE)))))</f>
        <v>80000</v>
      </c>
      <c r="G55" s="399">
        <v>0.1</v>
      </c>
      <c r="H55" s="400">
        <f>+F55*G55</f>
        <v>8000</v>
      </c>
      <c r="I55" s="713"/>
      <c r="K55" s="431" t="e">
        <f>+#REF!*F55</f>
        <v>#REF!</v>
      </c>
    </row>
    <row r="56" spans="1:11" ht="12.75" customHeight="1" x14ac:dyDescent="0.3">
      <c r="A56" s="397" t="s">
        <v>1</v>
      </c>
      <c r="B56" s="398" t="s">
        <v>81</v>
      </c>
      <c r="C56" s="721" t="str">
        <f>IF($A56="EQUI",VLOOKUP($B56,EQUI!B$16:G$37,2,FALSE),IF($A56="TRAN",VLOOKUP($B56,TRAN!$B$16:$G$26,2,FALSE),IF($A56="MAT",VLOOKUP($B56,'MAT1'!$B$16:$G$43,2,FALSE),IF($A56="MDEO",VLOOKUP($B56,MDEO!$B$16:$P$27,2,FALSE)))))</f>
        <v>Compresor para demolición y  limpieza a presión de junta</v>
      </c>
      <c r="D56" s="721"/>
      <c r="E56" s="721"/>
      <c r="F56" s="355">
        <f>IF($A56="EQUI",VLOOKUP($B56,EQUI!B$16:G$36,4,FALSE),IF($A56="TRAN",VLOOKUP($B56,TRAN!$B$16:$G$26,4,FALSE),IF($A56="MAT",VLOOKUP($B56,'MAT1'!$B$16:$G$43,4,FALSE),IF($A56="MDEO",VLOOKUP($B56,MDEO!$B$16:$P$27,4,FALSE)))))</f>
        <v>65000</v>
      </c>
      <c r="G56" s="399">
        <v>0.1</v>
      </c>
      <c r="H56" s="400">
        <f>+F56*G56</f>
        <v>6500</v>
      </c>
      <c r="I56" s="713"/>
      <c r="K56" s="431" t="e">
        <f>+#REF!*F56</f>
        <v>#REF!</v>
      </c>
    </row>
    <row r="57" spans="1:11" ht="12.75" customHeight="1" x14ac:dyDescent="0.3">
      <c r="A57" s="401"/>
      <c r="C57" s="352"/>
      <c r="D57" s="417"/>
      <c r="E57" s="352"/>
      <c r="F57" s="413" t="s">
        <v>32</v>
      </c>
      <c r="G57" s="402" t="str">
        <f>+B51</f>
        <v>1.2</v>
      </c>
      <c r="H57" s="402" t="s">
        <v>227</v>
      </c>
      <c r="I57" s="396">
        <f>SUM(H55:H56)</f>
        <v>14500</v>
      </c>
    </row>
    <row r="58" spans="1:11" ht="12.75" customHeight="1" x14ac:dyDescent="0.3">
      <c r="A58" s="395" t="s">
        <v>34</v>
      </c>
      <c r="B58" s="386"/>
      <c r="C58" s="352"/>
      <c r="D58" s="417"/>
      <c r="E58" s="352"/>
      <c r="F58" s="352"/>
      <c r="G58" s="352"/>
      <c r="H58" s="352"/>
      <c r="I58" s="403"/>
    </row>
    <row r="59" spans="1:11" ht="12.75" customHeight="1" x14ac:dyDescent="0.3">
      <c r="A59" s="720" t="s">
        <v>35</v>
      </c>
      <c r="B59" s="712"/>
      <c r="C59" s="712"/>
      <c r="D59" s="712"/>
      <c r="E59" s="350" t="s">
        <v>12</v>
      </c>
      <c r="F59" s="350" t="s">
        <v>36</v>
      </c>
      <c r="G59" s="350" t="s">
        <v>37</v>
      </c>
      <c r="H59" s="350" t="s">
        <v>38</v>
      </c>
      <c r="I59" s="713"/>
    </row>
    <row r="60" spans="1:11" ht="12.75" customHeight="1" x14ac:dyDescent="0.3">
      <c r="A60" s="397" t="s">
        <v>0</v>
      </c>
      <c r="B60" s="398"/>
      <c r="C60" s="721"/>
      <c r="D60" s="721"/>
      <c r="E60" s="355"/>
      <c r="F60" s="355"/>
      <c r="G60" s="352"/>
      <c r="H60" s="404">
        <f>G60*F60</f>
        <v>0</v>
      </c>
      <c r="I60" s="713"/>
    </row>
    <row r="61" spans="1:11" ht="12.75" customHeight="1" x14ac:dyDescent="0.3">
      <c r="A61" s="401"/>
      <c r="C61" s="352"/>
      <c r="D61" s="417"/>
      <c r="E61" s="352"/>
      <c r="F61" s="413" t="s">
        <v>32</v>
      </c>
      <c r="G61" s="402" t="str">
        <f>+B51</f>
        <v>1.2</v>
      </c>
      <c r="H61" s="402" t="s">
        <v>228</v>
      </c>
      <c r="I61" s="403">
        <f>SUM(H60:H60)</f>
        <v>0</v>
      </c>
    </row>
    <row r="62" spans="1:11" ht="12.75" customHeight="1" x14ac:dyDescent="0.3">
      <c r="A62" s="395" t="s">
        <v>15</v>
      </c>
      <c r="B62" s="386"/>
      <c r="C62" s="352"/>
      <c r="D62" s="417"/>
      <c r="E62" s="352"/>
      <c r="F62" s="352"/>
      <c r="G62" s="352"/>
      <c r="H62" s="352"/>
      <c r="I62" s="403"/>
    </row>
    <row r="63" spans="1:11" ht="20.399999999999999" customHeight="1" x14ac:dyDescent="0.3">
      <c r="A63" s="720" t="s">
        <v>35</v>
      </c>
      <c r="B63" s="712"/>
      <c r="C63" s="712"/>
      <c r="D63" s="355" t="s">
        <v>43</v>
      </c>
      <c r="E63" s="350" t="s">
        <v>44</v>
      </c>
      <c r="F63" s="355" t="s">
        <v>45</v>
      </c>
      <c r="G63" s="350" t="s">
        <v>17</v>
      </c>
      <c r="H63" s="350" t="s">
        <v>30</v>
      </c>
      <c r="I63" s="713"/>
    </row>
    <row r="64" spans="1:11" ht="12.75" customHeight="1" x14ac:dyDescent="0.3">
      <c r="A64" s="405" t="s">
        <v>3</v>
      </c>
      <c r="B64" s="406" t="s">
        <v>167</v>
      </c>
      <c r="C64" s="440" t="str">
        <f>IF($A64="EQUI",VLOOKUP($B64,EQUI!B$16:G$37,2,FALSE),IF($A64="TRAN",VLOOKUP($B64,TRAN!$B$16:$G$26,2,FALSE),IF($A64="MAT",VLOOKUP($B64,'MAT1'!$B$16:$G$43,2,FALSE),IF($A64="MDEO",VLOOKUP($B64,MDEO!$B$16:$P$27,2,FALSE)))))</f>
        <v>trans mat sobrante 0-5km</v>
      </c>
      <c r="D64" s="355">
        <v>0.1</v>
      </c>
      <c r="E64" s="352">
        <v>5</v>
      </c>
      <c r="F64" s="352">
        <f>+E64*D64</f>
        <v>0.5</v>
      </c>
      <c r="G64" s="352">
        <f>IF($A64="EQUI",VLOOKUP($B64,EQUI!B$16:G$37,4,FALSE),IF($A64="TRAN",VLOOKUP($B64,TRAN!$B$16:$G$26,4,FALSE),IF($A64="MAT",VLOOKUP($B64,'MAT1'!$B$16:$G$43,4,FALSE),IF($A64="MDEO",VLOOKUP($B64,MDEO!$B$16:$P$27,4,FALSE)))))</f>
        <v>2000</v>
      </c>
      <c r="H64" s="352">
        <f>+G64*F64</f>
        <v>1000</v>
      </c>
      <c r="I64" s="713"/>
      <c r="K64" s="431" t="e">
        <f>+#REF!*H64</f>
        <v>#REF!</v>
      </c>
    </row>
    <row r="65" spans="1:11" ht="12.75" customHeight="1" x14ac:dyDescent="0.3">
      <c r="A65" s="401"/>
      <c r="C65" s="352"/>
      <c r="D65" s="417"/>
      <c r="E65" s="352"/>
      <c r="F65" s="413" t="s">
        <v>32</v>
      </c>
      <c r="G65" s="402" t="str">
        <f>+B51</f>
        <v>1.2</v>
      </c>
      <c r="H65" s="402" t="s">
        <v>229</v>
      </c>
      <c r="I65" s="403">
        <f>SUM(H64:H64)</f>
        <v>1000</v>
      </c>
    </row>
    <row r="66" spans="1:11" ht="12.75" customHeight="1" x14ac:dyDescent="0.3">
      <c r="A66" s="395" t="s">
        <v>1107</v>
      </c>
      <c r="B66" s="386"/>
      <c r="C66" s="352"/>
      <c r="D66" s="417"/>
      <c r="E66" s="352"/>
      <c r="F66" s="352"/>
      <c r="G66" s="352"/>
      <c r="H66" s="352"/>
      <c r="I66" s="403"/>
    </row>
    <row r="67" spans="1:11" s="436" customFormat="1" ht="12.75" customHeight="1" x14ac:dyDescent="0.3">
      <c r="A67" s="722" t="s">
        <v>18</v>
      </c>
      <c r="B67" s="723"/>
      <c r="C67" s="723"/>
      <c r="D67" s="355" t="s">
        <v>48</v>
      </c>
      <c r="E67" s="355" t="s">
        <v>109</v>
      </c>
      <c r="F67" s="380" t="s">
        <v>49</v>
      </c>
      <c r="G67" s="380" t="s">
        <v>29</v>
      </c>
      <c r="H67" s="355" t="s">
        <v>30</v>
      </c>
      <c r="I67" s="407"/>
      <c r="K67" s="437"/>
    </row>
    <row r="68" spans="1:11" ht="12.75" customHeight="1" x14ac:dyDescent="0.3">
      <c r="A68" s="405" t="s">
        <v>4</v>
      </c>
      <c r="B68" s="408" t="s">
        <v>175</v>
      </c>
      <c r="C68" s="409" t="str">
        <f>IF($A68="EQUI",VLOOKUP($B68,EQUI!B$16:G$37,2,FALSE),IF($A68="TRAN",VLOOKUP($B68,TRAN!$B$16:$G$26,2,FALSE),IF($A68="MAT",VLOOKUP($B68,'MAT1'!$B$16:$G$43,2,FALSE),IF($A68="MDEO",VLOOKUP($B68,MDEO!$B$16:$P$27,2,FALSE)))))</f>
        <v xml:space="preserve">oficial </v>
      </c>
      <c r="D68" s="449">
        <f>IF($A68="EQUI",VLOOKUP($B68,EQUI!B$16:G$35,3,FALSE),IF($A68="TRAN",VLOOKUP($B68,TRAN!$B$16:$G$26,3,FALSE),IF($A68="MAT",VLOOKUP($B68,'MAT1'!$B$16:$G$43,3,FALSE),IF($A68="MDEO",VLOOKUP($B68,MDEO!$B$16:$P$33,10,FALSE)))))</f>
        <v>12336.644836388892</v>
      </c>
      <c r="E68" s="410"/>
      <c r="F68" s="438">
        <f>+D68+D68*E68</f>
        <v>12336.644836388892</v>
      </c>
      <c r="G68" s="412">
        <v>0.1</v>
      </c>
      <c r="H68" s="411">
        <f>G68*F68</f>
        <v>1233.6644836388894</v>
      </c>
      <c r="I68" s="403"/>
    </row>
    <row r="69" spans="1:11" ht="12.75" customHeight="1" x14ac:dyDescent="0.3">
      <c r="A69" s="405" t="s">
        <v>4</v>
      </c>
      <c r="B69" s="408" t="s">
        <v>177</v>
      </c>
      <c r="C69" s="409" t="str">
        <f>IF($A69="EQUI",VLOOKUP($B69,EQUI!B$16:G$37,2,FALSE),IF($A69="TRAN",VLOOKUP($B69,TRAN!$B$16:$G$26,2,FALSE),IF($A69="MAT",VLOOKUP($B69,'MAT1'!$B$16:$G$43,2,FALSE),IF($A69="MDEO",VLOOKUP($B69,MDEO!$B$16:$P$27,2,FALSE)))))</f>
        <v xml:space="preserve">ayudante </v>
      </c>
      <c r="D69" s="449">
        <f>IF($A69="EQUI",VLOOKUP($B69,EQUI!B$16:G$35,3,FALSE),IF($A69="TRAN",VLOOKUP($B69,TRAN!$B$16:$G$26,3,FALSE),IF($A69="MAT",VLOOKUP($B69,'MAT1'!$B$16:$G$43,3,FALSE),IF($A69="MDEO",VLOOKUP($B69,MDEO!$B$16:$P$33,10,FALSE)))))</f>
        <v>10336.644836388892</v>
      </c>
      <c r="E69" s="410"/>
      <c r="F69" s="438">
        <f>+D69+D69*E69</f>
        <v>10336.644836388892</v>
      </c>
      <c r="G69" s="412">
        <v>0.2</v>
      </c>
      <c r="H69" s="411">
        <f>G69*F69</f>
        <v>2067.3289672777787</v>
      </c>
      <c r="I69" s="403"/>
    </row>
    <row r="70" spans="1:11" ht="12.75" customHeight="1" x14ac:dyDescent="0.3">
      <c r="A70" s="405" t="s">
        <v>4</v>
      </c>
      <c r="B70" s="408" t="s">
        <v>178</v>
      </c>
      <c r="C70" s="409" t="str">
        <f>IF($A70="EQUI",VLOOKUP($B70,EQUI!B$16:G$37,2,FALSE),IF($A70="TRAN",VLOOKUP($B70,TRAN!$B$16:$G$26,2,FALSE),IF($A70="MAT",VLOOKUP($B70,'MAT1'!$B$16:$G$43,2,FALSE),IF($A70="MDEO",VLOOKUP($B70,MDEO!$B$16:$P$33,2,FALSE)))))</f>
        <v>contra maestro</v>
      </c>
      <c r="D70" s="449">
        <f>IF($A70="EQUI",VLOOKUP($B70,EQUI!B$16:G$35,3,FALSE),IF($A70="TRAN",VLOOKUP($B70,TRAN!$B$16:$G$26,3,FALSE),IF($A70="MAT",VLOOKUP($B70,'MAT1'!$B$16:$G$43,3,FALSE),IF($A70="MDEO",VLOOKUP($B70,MDEO!$B$16:$P$33,10,FALSE)))))</f>
        <v>12974.601086388891</v>
      </c>
      <c r="E70" s="410"/>
      <c r="F70" s="438">
        <f>+D70+D70*E70</f>
        <v>12974.601086388891</v>
      </c>
      <c r="G70" s="412">
        <f>+G68*0.1</f>
        <v>1.0000000000000002E-2</v>
      </c>
      <c r="H70" s="411">
        <f>G70*F70</f>
        <v>129.74601086388893</v>
      </c>
      <c r="I70" s="403"/>
    </row>
    <row r="71" spans="1:11" ht="12.75" customHeight="1" x14ac:dyDescent="0.3">
      <c r="A71" s="401"/>
      <c r="C71" s="352"/>
      <c r="D71" s="417"/>
      <c r="E71" s="352"/>
      <c r="F71" s="413" t="s">
        <v>32</v>
      </c>
      <c r="G71" s="402" t="str">
        <f>+B51</f>
        <v>1.2</v>
      </c>
      <c r="H71" s="413" t="s">
        <v>230</v>
      </c>
      <c r="I71" s="396">
        <f>SUM(H68:H70)</f>
        <v>3430.7394617805567</v>
      </c>
    </row>
    <row r="72" spans="1:11" ht="12.75" customHeight="1" x14ac:dyDescent="0.3">
      <c r="A72" s="401" t="s">
        <v>54</v>
      </c>
      <c r="C72" s="352"/>
      <c r="D72" s="417"/>
      <c r="E72" s="352"/>
      <c r="F72" s="352"/>
      <c r="G72" s="352"/>
      <c r="H72" s="350"/>
      <c r="I72" s="396">
        <f>I71*0.05</f>
        <v>171.53697308902784</v>
      </c>
    </row>
    <row r="73" spans="1:11" ht="12.75" customHeight="1" x14ac:dyDescent="0.3">
      <c r="A73" s="401"/>
      <c r="C73" s="352"/>
      <c r="D73" s="417"/>
      <c r="E73" s="352"/>
      <c r="F73" s="413" t="s">
        <v>55</v>
      </c>
      <c r="G73" s="350"/>
      <c r="H73" s="350"/>
      <c r="I73" s="396">
        <f>ROUND(I71+I72+I61+I57+I65,0)</f>
        <v>19102</v>
      </c>
    </row>
    <row r="74" spans="1:11" ht="12.75" customHeight="1" x14ac:dyDescent="0.3">
      <c r="A74" s="414"/>
      <c r="B74" s="415"/>
      <c r="C74" s="415"/>
      <c r="D74" s="450"/>
      <c r="E74" s="415"/>
      <c r="F74" s="415"/>
      <c r="G74" s="415"/>
      <c r="H74" s="415"/>
      <c r="I74" s="396"/>
    </row>
    <row r="75" spans="1:11" ht="76.95" customHeight="1" x14ac:dyDescent="0.3">
      <c r="A75" s="724" t="s">
        <v>114</v>
      </c>
      <c r="B75" s="710"/>
      <c r="C75" s="710"/>
      <c r="D75" s="450"/>
      <c r="E75" s="415"/>
      <c r="F75" s="710" t="s">
        <v>396</v>
      </c>
      <c r="G75" s="710"/>
      <c r="H75" s="710"/>
      <c r="I75" s="711"/>
    </row>
    <row r="76" spans="1:11" ht="12.75" customHeight="1" x14ac:dyDescent="0.3">
      <c r="A76" s="397" t="s">
        <v>111</v>
      </c>
      <c r="B76" s="712"/>
      <c r="C76" s="712"/>
      <c r="D76" s="417"/>
      <c r="E76" s="352"/>
      <c r="F76" s="350" t="s">
        <v>111</v>
      </c>
      <c r="G76" s="712"/>
      <c r="H76" s="712"/>
      <c r="I76" s="713"/>
    </row>
    <row r="77" spans="1:11" ht="12.75" customHeight="1" x14ac:dyDescent="0.3">
      <c r="A77" s="439" t="s">
        <v>115</v>
      </c>
      <c r="B77" s="710" t="s">
        <v>1551</v>
      </c>
      <c r="C77" s="710"/>
      <c r="F77" s="432" t="s">
        <v>112</v>
      </c>
      <c r="G77" s="712"/>
      <c r="H77" s="712"/>
      <c r="I77" s="713"/>
    </row>
    <row r="78" spans="1:11" ht="12.75" customHeight="1" x14ac:dyDescent="0.3">
      <c r="A78" s="439" t="s">
        <v>113</v>
      </c>
      <c r="B78" s="710" t="s">
        <v>1554</v>
      </c>
      <c r="C78" s="710"/>
      <c r="F78" s="432" t="s">
        <v>113</v>
      </c>
      <c r="G78" s="712"/>
      <c r="H78" s="712"/>
      <c r="I78" s="713"/>
    </row>
    <row r="79" spans="1:11" ht="12.75" customHeight="1" x14ac:dyDescent="0.3">
      <c r="A79" s="439"/>
      <c r="B79" s="350"/>
      <c r="C79" s="350"/>
      <c r="F79" s="432"/>
      <c r="G79" s="350"/>
      <c r="H79" s="350"/>
      <c r="I79" s="416"/>
    </row>
    <row r="80" spans="1:11" ht="12.75" customHeight="1" x14ac:dyDescent="0.3">
      <c r="A80" s="714" t="s">
        <v>110</v>
      </c>
      <c r="B80" s="715"/>
      <c r="C80" s="715"/>
      <c r="D80" s="715"/>
      <c r="E80" s="715"/>
      <c r="F80" s="715"/>
      <c r="G80" s="715"/>
      <c r="H80" s="715"/>
      <c r="I80" s="716"/>
    </row>
    <row r="81" spans="1:11" ht="12.75" customHeight="1" x14ac:dyDescent="0.3">
      <c r="A81" s="729"/>
      <c r="B81" s="730"/>
      <c r="C81" s="730"/>
      <c r="D81" s="730"/>
      <c r="E81" s="730"/>
      <c r="F81" s="730"/>
      <c r="G81" s="730"/>
      <c r="H81" s="730"/>
      <c r="I81" s="731"/>
    </row>
    <row r="82" spans="1:11" ht="27.6" customHeight="1" x14ac:dyDescent="0.3">
      <c r="A82" s="714"/>
      <c r="B82" s="715"/>
      <c r="C82" s="715"/>
      <c r="D82" s="715"/>
      <c r="E82" s="715"/>
      <c r="F82" s="715"/>
      <c r="G82" s="715"/>
      <c r="H82" s="715"/>
      <c r="I82" s="716"/>
    </row>
    <row r="83" spans="1:11" ht="12.75" customHeight="1" x14ac:dyDescent="0.3">
      <c r="A83" s="725" t="s">
        <v>68</v>
      </c>
      <c r="B83" s="726"/>
      <c r="C83" s="726"/>
      <c r="D83" s="726"/>
      <c r="E83" s="726"/>
      <c r="F83" s="726"/>
      <c r="G83" s="726"/>
      <c r="H83" s="726"/>
      <c r="I83" s="727"/>
    </row>
    <row r="84" spans="1:11" ht="32.4" customHeight="1" x14ac:dyDescent="0.3">
      <c r="A84" s="390" t="s">
        <v>69</v>
      </c>
      <c r="B84" s="391" t="s">
        <v>209</v>
      </c>
      <c r="C84" s="710" t="s">
        <v>70</v>
      </c>
      <c r="D84" s="721" t="str">
        <f>VLOOKUP(B84,'AJUSTE PRESUPUESTO'!$A$18:$I$21,3,FALSE)</f>
        <v>Excavación mecánica en material heterogéneo, con presencia de redes hidrosanitarias, eléctricas, voz y datos con nivel freático a partir de 0,8m en algunos casos</v>
      </c>
      <c r="E84" s="721"/>
      <c r="F84" s="721"/>
      <c r="G84" s="721"/>
      <c r="H84" s="721"/>
      <c r="I84" s="732"/>
    </row>
    <row r="85" spans="1:11" ht="12.75" customHeight="1" x14ac:dyDescent="0.3">
      <c r="A85" s="390" t="s">
        <v>71</v>
      </c>
      <c r="B85" s="391" t="str">
        <f>VLOOKUP(B84,[6]PRESUPUESTO!$A$18:$I$22,2,FALSE)</f>
        <v>600.2.3-13</v>
      </c>
      <c r="C85" s="710"/>
      <c r="D85" s="355" t="s">
        <v>12</v>
      </c>
      <c r="E85" s="392" t="s">
        <v>124</v>
      </c>
      <c r="F85" s="392" t="s">
        <v>13</v>
      </c>
      <c r="G85" s="392">
        <f>VLOOKUP(B85,PRESUPUESTO!$B$15:$I$96,5,FALSE)</f>
        <v>3180</v>
      </c>
      <c r="H85" s="393" t="s">
        <v>27</v>
      </c>
      <c r="I85" s="394">
        <f>+I107</f>
        <v>16479</v>
      </c>
    </row>
    <row r="86" spans="1:11" ht="12.75" customHeight="1" x14ac:dyDescent="0.3">
      <c r="A86" s="395" t="s">
        <v>14</v>
      </c>
      <c r="B86" s="386"/>
      <c r="C86" s="352"/>
      <c r="D86" s="417"/>
      <c r="E86" s="352"/>
      <c r="F86" s="352"/>
      <c r="G86" s="352"/>
      <c r="H86" s="352"/>
      <c r="I86" s="396"/>
    </row>
    <row r="87" spans="1:11" ht="12.75" customHeight="1" x14ac:dyDescent="0.3">
      <c r="A87" s="720" t="s">
        <v>19</v>
      </c>
      <c r="B87" s="712"/>
      <c r="C87" s="712"/>
      <c r="D87" s="712"/>
      <c r="E87" s="712"/>
      <c r="F87" s="350" t="s">
        <v>28</v>
      </c>
      <c r="G87" s="350" t="s">
        <v>29</v>
      </c>
      <c r="H87" s="350" t="s">
        <v>30</v>
      </c>
      <c r="I87" s="403"/>
    </row>
    <row r="88" spans="1:11" ht="12.75" customHeight="1" x14ac:dyDescent="0.3">
      <c r="A88" s="397" t="s">
        <v>1</v>
      </c>
      <c r="B88" s="398" t="s">
        <v>77</v>
      </c>
      <c r="C88" s="721" t="str">
        <f>IF($A88="EQUI",VLOOKUP($B88,EQUI!B$16:G$58,2,FALSE),IF($A88="TRAN",VLOOKUP($B88,TRAN!$B$16:$G$26,2,FALSE),IF($A88="MAT",VLOOKUP($B88,'MAT1'!$B$16:$G$43,2,FALSE),IF($A88="MDEO",VLOOKUP($B88,MDEO!$B$16:$P$27,2,FALSE)))))</f>
        <v>Retrocargador</v>
      </c>
      <c r="D88" s="721"/>
      <c r="E88" s="721"/>
      <c r="F88" s="355">
        <f>IF($A88="EQUI",VLOOKUP($B88,EQUI!B$16:G$46,4,FALSE),IF($A88="TRAN",VLOOKUP($B88,TRAN!$B$16:$G$26,4,FALSE),IF($A88="MAT",VLOOKUP($B88,[7]MAT!$B$16:$G$83,4,FALSE),IF($A88="MDEO",VLOOKUP($B88,MDEO!$B$16:$P$27,4,FALSE)))))</f>
        <v>120000</v>
      </c>
      <c r="G88" s="404">
        <v>0.1</v>
      </c>
      <c r="H88" s="404">
        <f>+F88*G88</f>
        <v>12000</v>
      </c>
      <c r="I88" s="403"/>
      <c r="K88" s="431">
        <f>+H88</f>
        <v>12000</v>
      </c>
    </row>
    <row r="89" spans="1:11" ht="12.75" customHeight="1" x14ac:dyDescent="0.3">
      <c r="A89" s="397" t="s">
        <v>1</v>
      </c>
      <c r="B89" s="398" t="s">
        <v>102</v>
      </c>
      <c r="C89" s="721" t="str">
        <f>IF($A89="EQUI",VLOOKUP($B89,EQUI!B$16:G$58,2,FALSE),IF($A89="TRAN",VLOOKUP($B89,TRAN!$B$16:$G$26,2,FALSE),IF($A89="MAT",VLOOKUP($B89,'MAT1'!$B$16:$G$43,2,FALSE),IF($A89="MDEO",VLOOKUP($B89,MDEO!$B$16:$P$27,2,FALSE)))))</f>
        <v>motobomba</v>
      </c>
      <c r="D89" s="721"/>
      <c r="E89" s="721"/>
      <c r="F89" s="355">
        <f>IF($A89="EQUI",VLOOKUP($B89,EQUI!B$16:G$46,4,FALSE),IF($A89="TRAN",VLOOKUP($B89,TRAN!$B$16:$G$26,4,FALSE),IF($A89="MAT",VLOOKUP($B89,[7]MAT!$B$16:$G$83,4,FALSE),IF($A89="MDEO",VLOOKUP($B89,MDEO!$B$16:$P$27,4,FALSE)))))</f>
        <v>7400</v>
      </c>
      <c r="G89" s="404">
        <v>0.1</v>
      </c>
      <c r="H89" s="404">
        <f>+F89*G89</f>
        <v>740</v>
      </c>
      <c r="I89" s="403"/>
    </row>
    <row r="90" spans="1:11" ht="12.75" customHeight="1" x14ac:dyDescent="0.3">
      <c r="A90" s="401"/>
      <c r="C90" s="352"/>
      <c r="D90" s="417"/>
      <c r="E90" s="352"/>
      <c r="F90" s="413" t="s">
        <v>32</v>
      </c>
      <c r="G90" s="402" t="str">
        <f>+B84</f>
        <v>2.1</v>
      </c>
      <c r="H90" s="402" t="s">
        <v>231</v>
      </c>
      <c r="I90" s="396">
        <f>SUM(H88:H89)</f>
        <v>12740</v>
      </c>
      <c r="K90" s="431" t="e">
        <f>+#REF!/8</f>
        <v>#REF!</v>
      </c>
    </row>
    <row r="91" spans="1:11" ht="12.75" customHeight="1" x14ac:dyDescent="0.3">
      <c r="A91" s="395" t="s">
        <v>34</v>
      </c>
      <c r="B91" s="386"/>
      <c r="C91" s="352"/>
      <c r="D91" s="417"/>
      <c r="E91" s="352"/>
      <c r="F91" s="352"/>
      <c r="G91" s="352"/>
      <c r="H91" s="352"/>
      <c r="I91" s="403"/>
    </row>
    <row r="92" spans="1:11" ht="12.75" customHeight="1" x14ac:dyDescent="0.3">
      <c r="A92" s="720" t="s">
        <v>35</v>
      </c>
      <c r="B92" s="712"/>
      <c r="C92" s="712"/>
      <c r="D92" s="712"/>
      <c r="E92" s="350" t="s">
        <v>12</v>
      </c>
      <c r="F92" s="350" t="s">
        <v>36</v>
      </c>
      <c r="G92" s="350" t="s">
        <v>37</v>
      </c>
      <c r="H92" s="350" t="s">
        <v>38</v>
      </c>
      <c r="I92" s="403"/>
    </row>
    <row r="93" spans="1:11" ht="12.75" customHeight="1" x14ac:dyDescent="0.3">
      <c r="A93" s="397" t="s">
        <v>0</v>
      </c>
      <c r="B93" s="398"/>
      <c r="C93" s="721"/>
      <c r="D93" s="721"/>
      <c r="E93" s="355"/>
      <c r="F93" s="355"/>
      <c r="G93" s="352"/>
      <c r="H93" s="404">
        <f>G93*F93</f>
        <v>0</v>
      </c>
      <c r="I93" s="403"/>
    </row>
    <row r="94" spans="1:11" ht="12.75" customHeight="1" x14ac:dyDescent="0.3">
      <c r="A94" s="401"/>
      <c r="C94" s="352"/>
      <c r="D94" s="417"/>
      <c r="E94" s="352"/>
      <c r="F94" s="413" t="s">
        <v>32</v>
      </c>
      <c r="G94" s="402" t="str">
        <f>+B84</f>
        <v>2.1</v>
      </c>
      <c r="H94" s="402" t="s">
        <v>232</v>
      </c>
      <c r="I94" s="403">
        <f>SUM(H93:H93)</f>
        <v>0</v>
      </c>
    </row>
    <row r="95" spans="1:11" ht="12.75" customHeight="1" x14ac:dyDescent="0.3">
      <c r="A95" s="395" t="s">
        <v>15</v>
      </c>
      <c r="B95" s="386"/>
      <c r="C95" s="352"/>
      <c r="D95" s="417"/>
      <c r="E95" s="352"/>
      <c r="F95" s="352"/>
      <c r="G95" s="352"/>
      <c r="H95" s="352"/>
      <c r="I95" s="403"/>
    </row>
    <row r="96" spans="1:11" ht="18.600000000000001" customHeight="1" x14ac:dyDescent="0.3">
      <c r="A96" s="720" t="s">
        <v>19</v>
      </c>
      <c r="B96" s="712"/>
      <c r="C96" s="712"/>
      <c r="D96" s="355" t="s">
        <v>43</v>
      </c>
      <c r="E96" s="350" t="s">
        <v>44</v>
      </c>
      <c r="F96" s="355" t="s">
        <v>45</v>
      </c>
      <c r="G96" s="350" t="s">
        <v>17</v>
      </c>
      <c r="H96" s="350" t="s">
        <v>30</v>
      </c>
      <c r="I96" s="403"/>
    </row>
    <row r="97" spans="1:11" ht="12.75" customHeight="1" x14ac:dyDescent="0.3">
      <c r="A97" s="405" t="s">
        <v>3</v>
      </c>
      <c r="B97" s="406"/>
      <c r="C97" s="352"/>
      <c r="D97" s="417"/>
      <c r="E97" s="352"/>
      <c r="F97" s="352"/>
      <c r="G97" s="352"/>
      <c r="H97" s="352"/>
      <c r="I97" s="403"/>
    </row>
    <row r="98" spans="1:11" ht="12.75" customHeight="1" x14ac:dyDescent="0.3">
      <c r="A98" s="401"/>
      <c r="C98" s="352"/>
      <c r="D98" s="417"/>
      <c r="E98" s="352"/>
      <c r="F98" s="413" t="s">
        <v>32</v>
      </c>
      <c r="G98" s="402" t="str">
        <f>+B84</f>
        <v>2.1</v>
      </c>
      <c r="H98" s="402" t="s">
        <v>233</v>
      </c>
      <c r="I98" s="403">
        <f>SUM(H97:H97)</f>
        <v>0</v>
      </c>
    </row>
    <row r="99" spans="1:11" ht="12.75" customHeight="1" x14ac:dyDescent="0.3">
      <c r="A99" s="395" t="s">
        <v>1107</v>
      </c>
      <c r="B99" s="386"/>
      <c r="C99" s="352"/>
      <c r="D99" s="417"/>
      <c r="E99" s="352"/>
      <c r="F99" s="352"/>
      <c r="G99" s="352"/>
      <c r="H99" s="352"/>
      <c r="I99" s="403"/>
    </row>
    <row r="100" spans="1:11" s="436" customFormat="1" ht="12.75" customHeight="1" x14ac:dyDescent="0.3">
      <c r="A100" s="722" t="s">
        <v>47</v>
      </c>
      <c r="B100" s="723"/>
      <c r="C100" s="723"/>
      <c r="D100" s="355" t="s">
        <v>48</v>
      </c>
      <c r="E100" s="355" t="s">
        <v>109</v>
      </c>
      <c r="F100" s="380" t="s">
        <v>49</v>
      </c>
      <c r="G100" s="380" t="s">
        <v>29</v>
      </c>
      <c r="H100" s="355" t="s">
        <v>30</v>
      </c>
      <c r="I100" s="407"/>
      <c r="K100" s="437"/>
    </row>
    <row r="101" spans="1:11" ht="12.75" customHeight="1" x14ac:dyDescent="0.3">
      <c r="A101" s="405" t="s">
        <v>4</v>
      </c>
      <c r="B101" s="408" t="s">
        <v>177</v>
      </c>
      <c r="C101" s="409" t="str">
        <f>IF($A101="EQUI",VLOOKUP($B101,EQUI!B$16:G$37,2,FALSE),IF($A101="TRAN",VLOOKUP($B101,TRAN!$B$16:$G$26,2,FALSE),IF($A101="MAT",VLOOKUP($B101,'MAT1'!$B$16:$G$43,2,FALSE),IF($A101="MDEO",VLOOKUP($B101,MDEO!$B$16:$P$27,2,FALSE)))))</f>
        <v xml:space="preserve">ayudante </v>
      </c>
      <c r="D101" s="449">
        <f>IF($A101="EQUI",VLOOKUP($B101,EQUI!B$16:G$35,3,FALSE),IF($A101="TRAN",VLOOKUP($B101,TRAN!$B$16:$G$26,3,FALSE),IF($A101="MAT",VLOOKUP($B101,'MAT1'!$B$16:$G$43,3,FALSE),IF($A101="MDEO",VLOOKUP($B101,MDEO!$B$16:$P$33,10,FALSE)))))</f>
        <v>10336.644836388892</v>
      </c>
      <c r="E101" s="410"/>
      <c r="F101" s="438">
        <f>+D101+D101*E101</f>
        <v>10336.644836388892</v>
      </c>
      <c r="G101" s="412">
        <v>0.2</v>
      </c>
      <c r="H101" s="411">
        <f>G101*F101</f>
        <v>2067.3289672777787</v>
      </c>
      <c r="I101" s="403"/>
    </row>
    <row r="102" spans="1:11" ht="12.75" customHeight="1" x14ac:dyDescent="0.3">
      <c r="A102" s="405" t="s">
        <v>4</v>
      </c>
      <c r="B102" s="408" t="s">
        <v>175</v>
      </c>
      <c r="C102" s="409" t="str">
        <f>IF($A102="EQUI",VLOOKUP($B102,EQUI!B$16:G$37,2,FALSE),IF($A102="TRAN",VLOOKUP($B102,TRAN!$B$16:$G$26,2,FALSE),IF($A102="MAT",VLOOKUP($B102,'MAT1'!$B$16:$G$43,2,FALSE),IF($A102="MDEO",VLOOKUP($B102,MDEO!$B$16:$P$27,2,FALSE)))))</f>
        <v xml:space="preserve">oficial </v>
      </c>
      <c r="D102" s="449">
        <f>IF($A102="EQUI",VLOOKUP($B102,EQUI!B$16:G$35,3,FALSE),IF($A102="TRAN",VLOOKUP($B102,TRAN!$B$16:$G$26,3,FALSE),IF($A102="MAT",VLOOKUP($B102,'MAT1'!$B$16:$G$43,3,FALSE),IF($A102="MDEO",VLOOKUP($B102,MDEO!$B$16:$P$33,10,FALSE)))))</f>
        <v>12336.644836388892</v>
      </c>
      <c r="E102" s="410"/>
      <c r="F102" s="438">
        <f>+D102+D102*E102</f>
        <v>12336.644836388892</v>
      </c>
      <c r="G102" s="412">
        <v>0.1</v>
      </c>
      <c r="H102" s="411">
        <f>G102*F102</f>
        <v>1233.6644836388894</v>
      </c>
      <c r="I102" s="403"/>
    </row>
    <row r="103" spans="1:11" ht="12.75" customHeight="1" x14ac:dyDescent="0.3">
      <c r="A103" s="405" t="s">
        <v>4</v>
      </c>
      <c r="B103" s="408" t="s">
        <v>178</v>
      </c>
      <c r="C103" s="409" t="str">
        <f>IF($A103="EQUI",VLOOKUP($B103,EQUI!B$16:G$37,2,FALSE),IF($A103="TRAN",VLOOKUP($B103,TRAN!$B$16:$G$26,2,FALSE),IF($A103="MAT",VLOOKUP($B103,'MAT1'!$B$16:$G$43,2,FALSE),IF($A103="MDEO",VLOOKUP($B103,MDEO!$B$16:$P$33,2,FALSE)))))</f>
        <v>contra maestro</v>
      </c>
      <c r="D103" s="449">
        <f>IF($A103="EQUI",VLOOKUP($B103,EQUI!B$16:G$35,3,FALSE),IF($A103="TRAN",VLOOKUP($B103,TRAN!$B$16:$G$26,3,FALSE),IF($A103="MAT",VLOOKUP($B103,'MAT1'!$B$16:$G$43,3,FALSE),IF($A103="MDEO",VLOOKUP($B103,MDEO!$B$16:$P$33,10,FALSE)))))</f>
        <v>12974.601086388891</v>
      </c>
      <c r="E103" s="410"/>
      <c r="F103" s="438">
        <f>+D103+D103*E103</f>
        <v>12974.601086388891</v>
      </c>
      <c r="G103" s="412">
        <f>+G101*0.1</f>
        <v>2.0000000000000004E-2</v>
      </c>
      <c r="H103" s="411">
        <f>G103*F103</f>
        <v>259.49202172777785</v>
      </c>
      <c r="I103" s="403"/>
    </row>
    <row r="104" spans="1:11" ht="12.75" customHeight="1" x14ac:dyDescent="0.3">
      <c r="A104" s="720"/>
      <c r="B104" s="712"/>
      <c r="C104" s="352"/>
      <c r="D104" s="417"/>
      <c r="E104" s="352"/>
      <c r="F104" s="352"/>
      <c r="G104" s="352"/>
      <c r="H104" s="352"/>
      <c r="I104" s="403"/>
    </row>
    <row r="105" spans="1:11" ht="12.75" customHeight="1" x14ac:dyDescent="0.3">
      <c r="A105" s="401"/>
      <c r="C105" s="352"/>
      <c r="D105" s="417"/>
      <c r="E105" s="352"/>
      <c r="F105" s="413" t="s">
        <v>32</v>
      </c>
      <c r="G105" s="402" t="str">
        <f>+B84</f>
        <v>2.1</v>
      </c>
      <c r="H105" s="413" t="s">
        <v>234</v>
      </c>
      <c r="I105" s="396">
        <f>SUM(H101:H104)</f>
        <v>3560.4854726444455</v>
      </c>
    </row>
    <row r="106" spans="1:11" ht="12.75" customHeight="1" x14ac:dyDescent="0.3">
      <c r="A106" s="401" t="s">
        <v>54</v>
      </c>
      <c r="C106" s="352"/>
      <c r="D106" s="417"/>
      <c r="E106" s="352"/>
      <c r="F106" s="352"/>
      <c r="G106" s="352"/>
      <c r="H106" s="350"/>
      <c r="I106" s="396">
        <f>I105*0.05</f>
        <v>178.02427363222228</v>
      </c>
    </row>
    <row r="107" spans="1:11" ht="12.75" customHeight="1" x14ac:dyDescent="0.3">
      <c r="A107" s="401"/>
      <c r="C107" s="352"/>
      <c r="D107" s="417"/>
      <c r="E107" s="352"/>
      <c r="F107" s="413" t="s">
        <v>55</v>
      </c>
      <c r="G107" s="350"/>
      <c r="H107" s="350"/>
      <c r="I107" s="396">
        <f>ROUND(I105+I106+I94+I90+I98,0)</f>
        <v>16479</v>
      </c>
    </row>
    <row r="108" spans="1:11" ht="12.75" customHeight="1" x14ac:dyDescent="0.3">
      <c r="A108" s="414"/>
      <c r="B108" s="415"/>
      <c r="C108" s="415"/>
      <c r="D108" s="450"/>
      <c r="E108" s="415"/>
      <c r="F108" s="415"/>
      <c r="G108" s="415"/>
      <c r="H108" s="415"/>
      <c r="I108" s="396"/>
    </row>
    <row r="109" spans="1:11" ht="76.95" customHeight="1" x14ac:dyDescent="0.3">
      <c r="A109" s="724" t="s">
        <v>114</v>
      </c>
      <c r="B109" s="710"/>
      <c r="C109" s="710"/>
      <c r="D109" s="450"/>
      <c r="E109" s="415"/>
      <c r="F109" s="710" t="s">
        <v>396</v>
      </c>
      <c r="G109" s="710"/>
      <c r="H109" s="710"/>
      <c r="I109" s="711"/>
    </row>
    <row r="110" spans="1:11" ht="12.75" customHeight="1" x14ac:dyDescent="0.3">
      <c r="A110" s="397" t="s">
        <v>111</v>
      </c>
      <c r="B110" s="712"/>
      <c r="C110" s="712"/>
      <c r="D110" s="417"/>
      <c r="E110" s="352"/>
      <c r="F110" s="350" t="s">
        <v>111</v>
      </c>
      <c r="G110" s="712"/>
      <c r="H110" s="712"/>
      <c r="I110" s="713"/>
    </row>
    <row r="111" spans="1:11" ht="12.75" customHeight="1" x14ac:dyDescent="0.3">
      <c r="A111" s="439" t="s">
        <v>115</v>
      </c>
      <c r="B111" s="710" t="s">
        <v>1551</v>
      </c>
      <c r="C111" s="710"/>
      <c r="F111" s="432" t="s">
        <v>112</v>
      </c>
      <c r="G111" s="712"/>
      <c r="H111" s="712"/>
      <c r="I111" s="713"/>
    </row>
    <row r="112" spans="1:11" ht="12.75" customHeight="1" x14ac:dyDescent="0.3">
      <c r="A112" s="439" t="s">
        <v>113</v>
      </c>
      <c r="B112" s="710" t="s">
        <v>1554</v>
      </c>
      <c r="C112" s="710"/>
      <c r="F112" s="432" t="s">
        <v>113</v>
      </c>
      <c r="G112" s="712"/>
      <c r="H112" s="712"/>
      <c r="I112" s="713"/>
    </row>
    <row r="113" spans="1:11" ht="12.75" customHeight="1" x14ac:dyDescent="0.3">
      <c r="A113" s="439"/>
      <c r="B113" s="350"/>
      <c r="C113" s="350"/>
      <c r="F113" s="432"/>
      <c r="G113" s="350"/>
      <c r="H113" s="350"/>
      <c r="I113" s="416"/>
    </row>
    <row r="114" spans="1:11" ht="12.75" customHeight="1" x14ac:dyDescent="0.3">
      <c r="A114" s="714" t="s">
        <v>110</v>
      </c>
      <c r="B114" s="715"/>
      <c r="C114" s="715"/>
      <c r="D114" s="715"/>
      <c r="E114" s="715"/>
      <c r="F114" s="715"/>
      <c r="G114" s="715"/>
      <c r="H114" s="715"/>
      <c r="I114" s="716"/>
    </row>
    <row r="115" spans="1:11" ht="20.25" customHeight="1" x14ac:dyDescent="0.3">
      <c r="A115" s="729"/>
      <c r="B115" s="730"/>
      <c r="C115" s="730"/>
      <c r="D115" s="730"/>
      <c r="E115" s="730"/>
      <c r="F115" s="730"/>
      <c r="G115" s="730"/>
      <c r="H115" s="730"/>
      <c r="I115" s="731"/>
    </row>
    <row r="116" spans="1:11" ht="24" customHeight="1" x14ac:dyDescent="0.3">
      <c r="A116" s="714"/>
      <c r="B116" s="715"/>
      <c r="C116" s="715"/>
      <c r="D116" s="715"/>
      <c r="E116" s="715"/>
      <c r="F116" s="715"/>
      <c r="G116" s="715"/>
      <c r="H116" s="715"/>
      <c r="I116" s="716"/>
    </row>
    <row r="117" spans="1:11" ht="12.75" customHeight="1" x14ac:dyDescent="0.3">
      <c r="A117" s="433"/>
      <c r="I117" s="434"/>
    </row>
    <row r="118" spans="1:11" ht="12.75" customHeight="1" x14ac:dyDescent="0.3">
      <c r="A118" s="724" t="s">
        <v>68</v>
      </c>
      <c r="B118" s="710"/>
      <c r="C118" s="710"/>
      <c r="D118" s="710"/>
      <c r="E118" s="710"/>
      <c r="F118" s="710"/>
      <c r="G118" s="710"/>
      <c r="H118" s="710"/>
      <c r="I118" s="711"/>
    </row>
    <row r="119" spans="1:11" ht="30" customHeight="1" x14ac:dyDescent="0.3">
      <c r="A119" s="390" t="s">
        <v>69</v>
      </c>
      <c r="B119" s="391" t="s">
        <v>211</v>
      </c>
      <c r="C119" s="710" t="s">
        <v>70</v>
      </c>
      <c r="D119" s="723" t="str">
        <f>VLOOKUP(B119,'AJUSTE PRESUPUESTO'!$A$18:$I$22,3,FALSE)</f>
        <v>Transporte de material proveniente de excavación, entre 0 y 5 km de distancia, incluye expansión no incluye cargue</v>
      </c>
      <c r="E119" s="723"/>
      <c r="F119" s="723"/>
      <c r="G119" s="723"/>
      <c r="H119" s="723"/>
      <c r="I119" s="728"/>
    </row>
    <row r="120" spans="1:11" ht="12.75" customHeight="1" x14ac:dyDescent="0.3">
      <c r="A120" s="390" t="s">
        <v>71</v>
      </c>
      <c r="B120" s="391" t="str">
        <f>VLOOKUP(B119,[6]PRESUPUESTO!$A$18:$I$22,2,FALSE)</f>
        <v>900.2-13</v>
      </c>
      <c r="C120" s="710"/>
      <c r="D120" s="355" t="s">
        <v>12</v>
      </c>
      <c r="E120" s="392" t="s">
        <v>181</v>
      </c>
      <c r="F120" s="392" t="s">
        <v>13</v>
      </c>
      <c r="G120" s="392">
        <f>VLOOKUP(B120,PRESUPUESTO!$B$15:$I$96,5,FALSE)</f>
        <v>5385</v>
      </c>
      <c r="H120" s="393" t="s">
        <v>27</v>
      </c>
      <c r="I120" s="394">
        <f>+I140</f>
        <v>16283</v>
      </c>
    </row>
    <row r="121" spans="1:11" ht="12.75" customHeight="1" x14ac:dyDescent="0.3">
      <c r="A121" s="395" t="s">
        <v>14</v>
      </c>
      <c r="B121" s="386"/>
      <c r="C121" s="352"/>
      <c r="D121" s="417"/>
      <c r="E121" s="352"/>
      <c r="F121" s="352"/>
      <c r="G121" s="352"/>
      <c r="H121" s="352"/>
      <c r="I121" s="396"/>
    </row>
    <row r="122" spans="1:11" ht="12.75" customHeight="1" x14ac:dyDescent="0.3">
      <c r="A122" s="720" t="s">
        <v>19</v>
      </c>
      <c r="B122" s="712"/>
      <c r="C122" s="712"/>
      <c r="D122" s="712"/>
      <c r="E122" s="712"/>
      <c r="F122" s="350" t="s">
        <v>28</v>
      </c>
      <c r="G122" s="350" t="s">
        <v>29</v>
      </c>
      <c r="H122" s="350" t="s">
        <v>30</v>
      </c>
      <c r="I122" s="403"/>
    </row>
    <row r="123" spans="1:11" ht="12.75" customHeight="1" x14ac:dyDescent="0.3">
      <c r="A123" s="397" t="s">
        <v>1</v>
      </c>
      <c r="B123" s="398" t="s">
        <v>77</v>
      </c>
      <c r="C123" s="721" t="str">
        <f>IF($A123="EQUI",VLOOKUP($B123,EQUI!B$16:G$58,2,FALSE),IF($A123="TRAN",VLOOKUP($B123,TRAN!$B$16:$G$26,2,FALSE),IF($A123="MAT",VLOOKUP($B123,'MAT1'!$B$16:$G$43,2,FALSE),IF($A123="MDEO",VLOOKUP($B123,MDEO!$B$16:$P$27,2,FALSE)))))</f>
        <v>Retrocargador</v>
      </c>
      <c r="D123" s="721"/>
      <c r="E123" s="721"/>
      <c r="F123" s="355">
        <f>IF($A123="EQUI",VLOOKUP($B123,EQUI!B$16:G$46,4,FALSE),IF($A123="TRAN",VLOOKUP($B123,TRAN!$B$16:$G$26,4,FALSE),IF($A123="MAT",VLOOKUP($B123,[7]MAT!$B$16:$G$83,4,FALSE),IF($A123="MDEO",VLOOKUP($B123,MDEO!$B$16:$P$27,4,FALSE)))))</f>
        <v>120000</v>
      </c>
      <c r="G123" s="404">
        <v>0.03</v>
      </c>
      <c r="H123" s="404">
        <f>+F123*G123</f>
        <v>3600</v>
      </c>
      <c r="I123" s="403"/>
      <c r="K123" s="431">
        <f>+H123</f>
        <v>3600</v>
      </c>
    </row>
    <row r="124" spans="1:11" ht="12.75" customHeight="1" x14ac:dyDescent="0.3">
      <c r="A124" s="401"/>
      <c r="C124" s="352"/>
      <c r="D124" s="417"/>
      <c r="E124" s="352"/>
      <c r="F124" s="413" t="s">
        <v>32</v>
      </c>
      <c r="G124" s="402" t="str">
        <f>+B119</f>
        <v>2.2</v>
      </c>
      <c r="H124" s="402" t="s">
        <v>235</v>
      </c>
      <c r="I124" s="396">
        <f>SUM(H123)</f>
        <v>3600</v>
      </c>
    </row>
    <row r="125" spans="1:11" ht="12.75" customHeight="1" x14ac:dyDescent="0.3">
      <c r="A125" s="395" t="s">
        <v>34</v>
      </c>
      <c r="B125" s="386"/>
      <c r="C125" s="352"/>
      <c r="D125" s="417"/>
      <c r="E125" s="352"/>
      <c r="F125" s="352"/>
      <c r="G125" s="352"/>
      <c r="H125" s="352"/>
      <c r="I125" s="403"/>
    </row>
    <row r="126" spans="1:11" ht="12.75" customHeight="1" x14ac:dyDescent="0.3">
      <c r="A126" s="720" t="s">
        <v>35</v>
      </c>
      <c r="B126" s="712"/>
      <c r="C126" s="712"/>
      <c r="D126" s="712"/>
      <c r="E126" s="350" t="s">
        <v>12</v>
      </c>
      <c r="F126" s="350" t="s">
        <v>36</v>
      </c>
      <c r="G126" s="350" t="s">
        <v>37</v>
      </c>
      <c r="H126" s="350" t="s">
        <v>38</v>
      </c>
      <c r="I126" s="403"/>
    </row>
    <row r="127" spans="1:11" ht="12.75" customHeight="1" x14ac:dyDescent="0.3">
      <c r="A127" s="397" t="s">
        <v>0</v>
      </c>
      <c r="B127" s="398"/>
      <c r="C127" s="721"/>
      <c r="D127" s="721"/>
      <c r="E127" s="355"/>
      <c r="F127" s="355"/>
      <c r="G127" s="352"/>
      <c r="H127" s="404">
        <f>G127*F127</f>
        <v>0</v>
      </c>
      <c r="I127" s="403"/>
    </row>
    <row r="128" spans="1:11" ht="12.75" customHeight="1" x14ac:dyDescent="0.3">
      <c r="A128" s="401"/>
      <c r="C128" s="352"/>
      <c r="D128" s="417"/>
      <c r="E128" s="352"/>
      <c r="F128" s="413" t="s">
        <v>32</v>
      </c>
      <c r="G128" s="402" t="str">
        <f>+B119</f>
        <v>2.2</v>
      </c>
      <c r="H128" s="402" t="s">
        <v>236</v>
      </c>
      <c r="I128" s="403">
        <f>SUM(H127:H127)</f>
        <v>0</v>
      </c>
    </row>
    <row r="129" spans="1:11" ht="9" customHeight="1" x14ac:dyDescent="0.3">
      <c r="A129" s="395" t="s">
        <v>15</v>
      </c>
      <c r="B129" s="386"/>
      <c r="C129" s="352"/>
      <c r="D129" s="417"/>
      <c r="E129" s="352"/>
      <c r="F129" s="352"/>
      <c r="G129" s="352"/>
      <c r="H129" s="352"/>
      <c r="I129" s="403"/>
    </row>
    <row r="130" spans="1:11" ht="18.600000000000001" customHeight="1" x14ac:dyDescent="0.3">
      <c r="A130" s="720" t="s">
        <v>19</v>
      </c>
      <c r="B130" s="712"/>
      <c r="C130" s="712"/>
      <c r="D130" s="355" t="s">
        <v>43</v>
      </c>
      <c r="E130" s="350" t="s">
        <v>44</v>
      </c>
      <c r="F130" s="355" t="s">
        <v>45</v>
      </c>
      <c r="G130" s="350" t="s">
        <v>17</v>
      </c>
      <c r="H130" s="350" t="s">
        <v>30</v>
      </c>
      <c r="I130" s="403"/>
    </row>
    <row r="131" spans="1:11" ht="12.75" customHeight="1" x14ac:dyDescent="0.3">
      <c r="A131" s="405" t="s">
        <v>3</v>
      </c>
      <c r="B131" s="406" t="s">
        <v>167</v>
      </c>
      <c r="C131" s="440" t="str">
        <f>IF($A131="EQUI",VLOOKUP($B131,EQUI!B$16:G$37,2,FALSE),IF($A131="TRAN",VLOOKUP($B131,TRAN!$B$16:$G$26,2,FALSE),IF($A131="MAT",VLOOKUP($B131,'MAT1'!$B$16:$G$43,2,FALSE),IF($A131="MDEO",VLOOKUP($B131,MDEO!$B$16:$P$27,2,FALSE)))))</f>
        <v>trans mat sobrante 0-5km</v>
      </c>
      <c r="D131" s="355">
        <v>1.25</v>
      </c>
      <c r="E131" s="352">
        <v>5</v>
      </c>
      <c r="F131" s="352">
        <f>+E131*D131</f>
        <v>6.25</v>
      </c>
      <c r="G131" s="352">
        <f>IF($A131="EQUI",VLOOKUP($B131,EQUI!B$16:G$37,2,FALSE),IF($A131="TRAN",VLOOKUP($B131,TRAN!$B$16:$G$26,4,FALSE),IF($A131="MAT",VLOOKUP($B131,'MAT1'!$B$16:$G$43,2,FALSE),IF($A131="MDEO",VLOOKUP($B131,MDEO!$B$16:$P$27,2,FALSE)))))</f>
        <v>2000</v>
      </c>
      <c r="H131" s="352">
        <f>+G131*F131</f>
        <v>12500</v>
      </c>
      <c r="I131" s="403"/>
    </row>
    <row r="132" spans="1:11" ht="12.75" customHeight="1" x14ac:dyDescent="0.3">
      <c r="A132" s="401"/>
      <c r="C132" s="352"/>
      <c r="D132" s="417"/>
      <c r="E132" s="352"/>
      <c r="F132" s="413" t="s">
        <v>32</v>
      </c>
      <c r="G132" s="402" t="str">
        <f>+B119</f>
        <v>2.2</v>
      </c>
      <c r="H132" s="402" t="s">
        <v>237</v>
      </c>
      <c r="I132" s="403">
        <f>SUM(H131:H131)</f>
        <v>12500</v>
      </c>
    </row>
    <row r="133" spans="1:11" ht="12.75" customHeight="1" x14ac:dyDescent="0.3">
      <c r="A133" s="395" t="s">
        <v>1107</v>
      </c>
      <c r="B133" s="386"/>
      <c r="C133" s="352"/>
      <c r="D133" s="417"/>
      <c r="E133" s="352"/>
      <c r="F133" s="352"/>
      <c r="G133" s="352"/>
      <c r="H133" s="352"/>
      <c r="I133" s="403"/>
    </row>
    <row r="134" spans="1:11" s="436" customFormat="1" ht="12.75" customHeight="1" x14ac:dyDescent="0.3">
      <c r="A134" s="722" t="s">
        <v>47</v>
      </c>
      <c r="B134" s="723"/>
      <c r="C134" s="723"/>
      <c r="D134" s="355" t="s">
        <v>48</v>
      </c>
      <c r="E134" s="355" t="s">
        <v>109</v>
      </c>
      <c r="F134" s="380" t="s">
        <v>49</v>
      </c>
      <c r="G134" s="380" t="s">
        <v>29</v>
      </c>
      <c r="H134" s="355" t="s">
        <v>30</v>
      </c>
      <c r="I134" s="407"/>
      <c r="K134" s="437"/>
    </row>
    <row r="135" spans="1:11" ht="12.75" customHeight="1" x14ac:dyDescent="0.3">
      <c r="A135" s="405" t="s">
        <v>4</v>
      </c>
      <c r="B135" s="408" t="s">
        <v>177</v>
      </c>
      <c r="C135" s="409" t="str">
        <f>IF($A135="EQUI",VLOOKUP($B135,EQUI!B$16:G$37,2,FALSE),IF($A135="TRAN",VLOOKUP($B135,TRAN!$B$16:$G$26,2,FALSE),IF($A135="MAT",VLOOKUP($B135,'MAT1'!$B$16:$G$43,2,FALSE),IF($A135="MDEO",VLOOKUP($B135,MDEO!$B$16:$P$27,2,FALSE)))))</f>
        <v xml:space="preserve">ayudante </v>
      </c>
      <c r="D135" s="449">
        <f>IF($A135="EQUI",VLOOKUP($B135,EQUI!B$16:G$35,3,FALSE),IF($A135="TRAN",VLOOKUP($B135,TRAN!$B$16:$G$26,3,FALSE),IF($A135="MAT",VLOOKUP($B135,'MAT1'!$B$16:$G$43,3,FALSE),IF($A135="MDEO",VLOOKUP($B135,MDEO!$B$16:$P$33,10,FALSE)))))</f>
        <v>10336.644836388892</v>
      </c>
      <c r="E135" s="410"/>
      <c r="F135" s="438">
        <f>+D135+D135*E135</f>
        <v>10336.644836388892</v>
      </c>
      <c r="G135" s="412">
        <v>1.4999999999999999E-2</v>
      </c>
      <c r="H135" s="411">
        <f>G135*F135</f>
        <v>155.04967254583337</v>
      </c>
      <c r="I135" s="403"/>
    </row>
    <row r="136" spans="1:11" ht="12.75" customHeight="1" x14ac:dyDescent="0.3">
      <c r="A136" s="405" t="s">
        <v>4</v>
      </c>
      <c r="B136" s="408" t="s">
        <v>178</v>
      </c>
      <c r="C136" s="409" t="str">
        <f>IF($A136="EQUI",VLOOKUP($B136,EQUI!B$16:G$37,2,FALSE),IF($A136="TRAN",VLOOKUP($B136,TRAN!$B$16:$G$26,2,FALSE),IF($A136="MAT",VLOOKUP($B136,'MAT1'!$B$16:$G$43,2,FALSE),IF($A136="MDEO",VLOOKUP($B136,MDEO!$B$16:$P$33,2,FALSE)))))</f>
        <v>contra maestro</v>
      </c>
      <c r="D136" s="449">
        <f>IF($A136="EQUI",VLOOKUP($B136,EQUI!B$16:G$35,3,FALSE),IF($A136="TRAN",VLOOKUP($B136,TRAN!$B$16:$G$26,3,FALSE),IF($A136="MAT",VLOOKUP($B136,'MAT1'!$B$16:$G$43,3,FALSE),IF($A136="MDEO",VLOOKUP($B136,MDEO!$B$16:$P$33,10,FALSE)))))</f>
        <v>12974.601086388891</v>
      </c>
      <c r="E136" s="410"/>
      <c r="F136" s="438">
        <f>+D136+D136*E136</f>
        <v>12974.601086388891</v>
      </c>
      <c r="G136" s="412">
        <f>+G135*0.1</f>
        <v>1.5E-3</v>
      </c>
      <c r="H136" s="411">
        <f>G136*F136</f>
        <v>19.461901629583338</v>
      </c>
      <c r="I136" s="403"/>
    </row>
    <row r="137" spans="1:11" ht="12.75" customHeight="1" x14ac:dyDescent="0.3">
      <c r="A137" s="720"/>
      <c r="B137" s="712"/>
      <c r="C137" s="352"/>
      <c r="D137" s="417"/>
      <c r="E137" s="352"/>
      <c r="F137" s="352"/>
      <c r="G137" s="352"/>
      <c r="H137" s="352"/>
      <c r="I137" s="403"/>
    </row>
    <row r="138" spans="1:11" ht="12.75" customHeight="1" x14ac:dyDescent="0.3">
      <c r="A138" s="401"/>
      <c r="C138" s="352"/>
      <c r="D138" s="417"/>
      <c r="E138" s="352"/>
      <c r="F138" s="413" t="s">
        <v>32</v>
      </c>
      <c r="G138" s="402" t="str">
        <f>+B119</f>
        <v>2.2</v>
      </c>
      <c r="H138" s="413" t="s">
        <v>238</v>
      </c>
      <c r="I138" s="396">
        <f>SUM(H135:H137)</f>
        <v>174.51157417541671</v>
      </c>
    </row>
    <row r="139" spans="1:11" ht="12.75" customHeight="1" x14ac:dyDescent="0.3">
      <c r="A139" s="401" t="s">
        <v>54</v>
      </c>
      <c r="C139" s="352"/>
      <c r="D139" s="417"/>
      <c r="E139" s="352"/>
      <c r="F139" s="352"/>
      <c r="G139" s="352"/>
      <c r="H139" s="350"/>
      <c r="I139" s="396">
        <f>I138*0.05</f>
        <v>8.7255787087708363</v>
      </c>
    </row>
    <row r="140" spans="1:11" ht="12.75" customHeight="1" x14ac:dyDescent="0.3">
      <c r="A140" s="401"/>
      <c r="C140" s="352"/>
      <c r="D140" s="417"/>
      <c r="E140" s="352"/>
      <c r="F140" s="413" t="s">
        <v>55</v>
      </c>
      <c r="G140" s="350"/>
      <c r="H140" s="350"/>
      <c r="I140" s="396">
        <f>ROUND(I138+I139+I128+I124+I132,0)</f>
        <v>16283</v>
      </c>
    </row>
    <row r="141" spans="1:11" ht="76.95" customHeight="1" x14ac:dyDescent="0.3">
      <c r="A141" s="724" t="s">
        <v>114</v>
      </c>
      <c r="B141" s="710"/>
      <c r="C141" s="710"/>
      <c r="D141" s="450"/>
      <c r="E141" s="415"/>
      <c r="F141" s="710" t="s">
        <v>396</v>
      </c>
      <c r="G141" s="710"/>
      <c r="H141" s="710"/>
      <c r="I141" s="711"/>
    </row>
    <row r="142" spans="1:11" ht="12.75" customHeight="1" x14ac:dyDescent="0.3">
      <c r="A142" s="397" t="s">
        <v>111</v>
      </c>
      <c r="B142" s="712"/>
      <c r="C142" s="712"/>
      <c r="D142" s="417"/>
      <c r="E142" s="352"/>
      <c r="F142" s="350" t="s">
        <v>111</v>
      </c>
      <c r="G142" s="712"/>
      <c r="H142" s="712"/>
      <c r="I142" s="713"/>
    </row>
    <row r="143" spans="1:11" ht="12.75" customHeight="1" x14ac:dyDescent="0.3">
      <c r="A143" s="439" t="s">
        <v>115</v>
      </c>
      <c r="B143" s="710" t="s">
        <v>1551</v>
      </c>
      <c r="C143" s="710"/>
      <c r="F143" s="432" t="s">
        <v>112</v>
      </c>
      <c r="G143" s="712"/>
      <c r="H143" s="712"/>
      <c r="I143" s="713"/>
    </row>
    <row r="144" spans="1:11" ht="12.75" customHeight="1" x14ac:dyDescent="0.3">
      <c r="A144" s="439" t="s">
        <v>113</v>
      </c>
      <c r="B144" s="710" t="s">
        <v>1554</v>
      </c>
      <c r="C144" s="710"/>
      <c r="F144" s="432" t="s">
        <v>113</v>
      </c>
      <c r="G144" s="712"/>
      <c r="H144" s="712"/>
      <c r="I144" s="713"/>
    </row>
    <row r="145" spans="1:9" ht="12.75" customHeight="1" x14ac:dyDescent="0.3">
      <c r="A145" s="439"/>
      <c r="B145" s="350"/>
      <c r="C145" s="350"/>
      <c r="F145" s="432"/>
      <c r="G145" s="350"/>
      <c r="H145" s="350"/>
      <c r="I145" s="416"/>
    </row>
    <row r="146" spans="1:9" ht="12.75" customHeight="1" x14ac:dyDescent="0.3">
      <c r="A146" s="714" t="s">
        <v>110</v>
      </c>
      <c r="B146" s="715"/>
      <c r="C146" s="715"/>
      <c r="D146" s="715"/>
      <c r="E146" s="715"/>
      <c r="F146" s="715"/>
      <c r="G146" s="715"/>
      <c r="H146" s="715"/>
      <c r="I146" s="716"/>
    </row>
    <row r="147" spans="1:9" ht="22.2" customHeight="1" x14ac:dyDescent="0.3">
      <c r="A147" s="729"/>
      <c r="B147" s="730"/>
      <c r="C147" s="730"/>
      <c r="D147" s="730"/>
      <c r="E147" s="730"/>
      <c r="F147" s="730"/>
      <c r="G147" s="730"/>
      <c r="H147" s="730"/>
      <c r="I147" s="731"/>
    </row>
    <row r="148" spans="1:9" ht="17.399999999999999" customHeight="1" x14ac:dyDescent="0.3">
      <c r="A148" s="714"/>
      <c r="B148" s="715"/>
      <c r="C148" s="715"/>
      <c r="D148" s="715"/>
      <c r="E148" s="715"/>
      <c r="F148" s="715"/>
      <c r="G148" s="715"/>
      <c r="H148" s="715"/>
      <c r="I148" s="716"/>
    </row>
    <row r="149" spans="1:9" ht="12.75" customHeight="1" x14ac:dyDescent="0.3">
      <c r="A149" s="725" t="s">
        <v>68</v>
      </c>
      <c r="B149" s="726"/>
      <c r="C149" s="726"/>
      <c r="D149" s="726"/>
      <c r="E149" s="726"/>
      <c r="F149" s="726"/>
      <c r="G149" s="726"/>
      <c r="H149" s="726"/>
      <c r="I149" s="727"/>
    </row>
    <row r="150" spans="1:9" ht="12.75" customHeight="1" x14ac:dyDescent="0.3">
      <c r="A150" s="390" t="s">
        <v>69</v>
      </c>
      <c r="B150" s="391" t="s">
        <v>214</v>
      </c>
      <c r="C150" s="710" t="s">
        <v>70</v>
      </c>
      <c r="D150" s="723" t="str">
        <f>VLOOKUP(B150,'AJUSTE PRESUPUESTO'!$A$18:$I$22,3,FALSE)</f>
        <v xml:space="preserve">Realce de válvula de acueducto, incluye suministro e instalación de accesorios </v>
      </c>
      <c r="E150" s="723"/>
      <c r="F150" s="723"/>
      <c r="G150" s="723"/>
      <c r="H150" s="723"/>
      <c r="I150" s="728"/>
    </row>
    <row r="151" spans="1:9" ht="12.75" customHeight="1" x14ac:dyDescent="0.3">
      <c r="A151" s="390" t="s">
        <v>71</v>
      </c>
      <c r="B151" s="391" t="str">
        <f>VLOOKUP(B150,[6]PRESUPUESTO!$A$18:$I$90,2,FALSE)</f>
        <v>PAR_03</v>
      </c>
      <c r="C151" s="710"/>
      <c r="D151" s="355" t="s">
        <v>12</v>
      </c>
      <c r="E151" s="392" t="s">
        <v>12</v>
      </c>
      <c r="F151" s="392" t="s">
        <v>13</v>
      </c>
      <c r="G151" s="392">
        <f>VLOOKUP(B151,[6]PRESUPUESTO!$B$15:$I$119,5,FALSE)</f>
        <v>4</v>
      </c>
      <c r="H151" s="393" t="s">
        <v>27</v>
      </c>
      <c r="I151" s="394">
        <f>+I172</f>
        <v>124050</v>
      </c>
    </row>
    <row r="152" spans="1:9" ht="12.75" customHeight="1" x14ac:dyDescent="0.3">
      <c r="A152" s="395" t="s">
        <v>14</v>
      </c>
      <c r="B152" s="386"/>
      <c r="C152" s="352"/>
      <c r="D152" s="417"/>
      <c r="E152" s="352"/>
      <c r="F152" s="352"/>
      <c r="G152" s="352"/>
      <c r="H152" s="352"/>
      <c r="I152" s="396"/>
    </row>
    <row r="153" spans="1:9" ht="12.75" customHeight="1" x14ac:dyDescent="0.3">
      <c r="A153" s="720" t="s">
        <v>19</v>
      </c>
      <c r="B153" s="712"/>
      <c r="C153" s="712"/>
      <c r="D153" s="712"/>
      <c r="E153" s="712"/>
      <c r="F153" s="350" t="s">
        <v>28</v>
      </c>
      <c r="G153" s="350" t="s">
        <v>29</v>
      </c>
      <c r="H153" s="350" t="s">
        <v>30</v>
      </c>
      <c r="I153" s="403"/>
    </row>
    <row r="154" spans="1:9" ht="12.75" customHeight="1" x14ac:dyDescent="0.3">
      <c r="A154" s="397" t="s">
        <v>1</v>
      </c>
      <c r="B154" s="398"/>
      <c r="C154" s="721"/>
      <c r="D154" s="721"/>
      <c r="E154" s="721"/>
      <c r="F154" s="355"/>
      <c r="G154" s="352"/>
      <c r="H154" s="404">
        <f>+F154*G154</f>
        <v>0</v>
      </c>
      <c r="I154" s="403"/>
    </row>
    <row r="155" spans="1:9" ht="12.75" customHeight="1" x14ac:dyDescent="0.3">
      <c r="A155" s="401"/>
      <c r="C155" s="352"/>
      <c r="D155" s="417"/>
      <c r="E155" s="352"/>
      <c r="F155" s="413" t="s">
        <v>32</v>
      </c>
      <c r="G155" s="402" t="str">
        <f>+B150</f>
        <v>2.3</v>
      </c>
      <c r="H155" s="402" t="s">
        <v>239</v>
      </c>
      <c r="I155" s="396">
        <f>SUM(H154:H154)</f>
        <v>0</v>
      </c>
    </row>
    <row r="156" spans="1:9" ht="12.75" customHeight="1" x14ac:dyDescent="0.3">
      <c r="A156" s="395" t="s">
        <v>34</v>
      </c>
      <c r="B156" s="386"/>
      <c r="C156" s="352"/>
      <c r="D156" s="417"/>
      <c r="E156" s="352"/>
      <c r="F156" s="352"/>
      <c r="G156" s="352"/>
      <c r="H156" s="352"/>
      <c r="I156" s="403"/>
    </row>
    <row r="157" spans="1:9" ht="12.75" customHeight="1" x14ac:dyDescent="0.3">
      <c r="A157" s="720" t="s">
        <v>35</v>
      </c>
      <c r="B157" s="712"/>
      <c r="C157" s="712"/>
      <c r="D157" s="712"/>
      <c r="E157" s="350" t="s">
        <v>12</v>
      </c>
      <c r="F157" s="350" t="s">
        <v>36</v>
      </c>
      <c r="G157" s="350" t="s">
        <v>37</v>
      </c>
      <c r="H157" s="350" t="s">
        <v>38</v>
      </c>
      <c r="I157" s="403"/>
    </row>
    <row r="158" spans="1:9" ht="12.75" customHeight="1" x14ac:dyDescent="0.3">
      <c r="A158" s="397" t="s">
        <v>522</v>
      </c>
      <c r="B158" s="398" t="s">
        <v>148</v>
      </c>
      <c r="C158" s="721" t="str">
        <f>IF($A158="EQUI",VLOOKUP($B158,EQUI!B$16:G$35,2,FALSE),IF($A158="TRAN",VLOOKUP($B158,TRAN!$B$16:$G$26,2,FALSE),IF($A158="MAT1",VLOOKUP($B158,'MAT1'!$B$16:$G$43,2,FALSE),IF($A158="MAT2",VLOOKUP($B158,'MAT2'!$B$16:$G$35,2,FALSE),IF($A158="MDEO",VLOOKUP($B158,MDEO!$B$16:$P$27,2,FALSE))))))</f>
        <v>niple 6"</v>
      </c>
      <c r="D158" s="721"/>
      <c r="E158" s="355" t="str">
        <f>IF($A158="EQUI",VLOOKUP($B158,EQUI!B$16:G$35,3,FALSE),IF($A158="TRAN",VLOOKUP($B158,TRAN!$B$16:$G$26,3,FALSE),IF($A158="MAT1",VLOOKUP($B158,'MAT1'!$B$16:$G$43,3,FALSE),IF($A158="MAT2",VLOOKUP($B158,'MAT1'!$B$16:$G$43,3,FALSE),IF($A158="MDEO",VLOOKUP($B158,MDEO!$B$16:$P$27,3,FALSE))))))</f>
        <v>Unidad</v>
      </c>
      <c r="F158" s="355">
        <f>IF($A158="EQUI",VLOOKUP($B158,EQUI!B$16:G$35,4,FALSE),IF($A158="TRAN",VLOOKUP($B158,TRAN!$B$16:$G$26,4,FALSE),IF($A158="MAT1",VLOOKUP($B158,'MAT1'!$B$16:$G$43,4,FALSE),IF($A158="MAT2",VLOOKUP($B158,'MAT2'!$B$16:$G$34,4,FALSE),IF($A158="MDEO",VLOOKUP($B158,MDEO!$B$16:$P$27,4,FALSE))))))</f>
        <v>85000</v>
      </c>
      <c r="G158" s="352">
        <v>1</v>
      </c>
      <c r="H158" s="404">
        <f>G158*F158</f>
        <v>85000</v>
      </c>
      <c r="I158" s="403"/>
    </row>
    <row r="159" spans="1:9" ht="12.75" customHeight="1" x14ac:dyDescent="0.3">
      <c r="A159" s="401"/>
      <c r="C159" s="352"/>
      <c r="D159" s="417"/>
      <c r="E159" s="352"/>
      <c r="F159" s="413" t="s">
        <v>32</v>
      </c>
      <c r="G159" s="402" t="str">
        <f>+B150</f>
        <v>2.3</v>
      </c>
      <c r="H159" s="402" t="s">
        <v>240</v>
      </c>
      <c r="I159" s="403">
        <f>SUM(H158:H158)</f>
        <v>85000</v>
      </c>
    </row>
    <row r="160" spans="1:9" ht="12.75" customHeight="1" x14ac:dyDescent="0.3">
      <c r="A160" s="395" t="s">
        <v>15</v>
      </c>
      <c r="B160" s="386"/>
      <c r="C160" s="352"/>
      <c r="D160" s="417"/>
      <c r="E160" s="352"/>
      <c r="F160" s="352"/>
      <c r="G160" s="352"/>
      <c r="H160" s="352"/>
      <c r="I160" s="403"/>
    </row>
    <row r="161" spans="1:11" ht="21.6" customHeight="1" x14ac:dyDescent="0.3">
      <c r="A161" s="720" t="s">
        <v>19</v>
      </c>
      <c r="B161" s="712"/>
      <c r="C161" s="712"/>
      <c r="D161" s="355" t="s">
        <v>43</v>
      </c>
      <c r="E161" s="350" t="s">
        <v>44</v>
      </c>
      <c r="F161" s="355" t="s">
        <v>45</v>
      </c>
      <c r="G161" s="350" t="s">
        <v>17</v>
      </c>
      <c r="H161" s="350" t="s">
        <v>30</v>
      </c>
      <c r="I161" s="403"/>
    </row>
    <row r="162" spans="1:11" ht="12.75" customHeight="1" x14ac:dyDescent="0.3">
      <c r="A162" s="405" t="s">
        <v>3</v>
      </c>
      <c r="B162" s="406"/>
      <c r="C162" s="352"/>
      <c r="D162" s="417"/>
      <c r="E162" s="352"/>
      <c r="F162" s="352"/>
      <c r="G162" s="352"/>
      <c r="H162" s="352"/>
      <c r="I162" s="403"/>
    </row>
    <row r="163" spans="1:11" ht="12.75" customHeight="1" x14ac:dyDescent="0.3">
      <c r="A163" s="401"/>
      <c r="C163" s="352"/>
      <c r="D163" s="417"/>
      <c r="E163" s="352"/>
      <c r="F163" s="413" t="s">
        <v>32</v>
      </c>
      <c r="G163" s="402" t="str">
        <f>+B150</f>
        <v>2.3</v>
      </c>
      <c r="H163" s="402" t="s">
        <v>241</v>
      </c>
      <c r="I163" s="403">
        <f>SUM(H162:H162)</f>
        <v>0</v>
      </c>
    </row>
    <row r="164" spans="1:11" ht="12.75" customHeight="1" x14ac:dyDescent="0.3">
      <c r="A164" s="395" t="s">
        <v>1107</v>
      </c>
      <c r="B164" s="386"/>
      <c r="C164" s="352"/>
      <c r="D164" s="417"/>
      <c r="E164" s="352"/>
      <c r="F164" s="352"/>
      <c r="G164" s="352"/>
      <c r="H164" s="352"/>
      <c r="I164" s="403"/>
    </row>
    <row r="165" spans="1:11" s="436" customFormat="1" ht="12.75" customHeight="1" x14ac:dyDescent="0.3">
      <c r="A165" s="722" t="s">
        <v>47</v>
      </c>
      <c r="B165" s="723"/>
      <c r="C165" s="723"/>
      <c r="D165" s="355" t="s">
        <v>48</v>
      </c>
      <c r="E165" s="355" t="s">
        <v>109</v>
      </c>
      <c r="F165" s="380" t="s">
        <v>49</v>
      </c>
      <c r="G165" s="380" t="s">
        <v>29</v>
      </c>
      <c r="H165" s="355" t="s">
        <v>30</v>
      </c>
      <c r="I165" s="407"/>
      <c r="K165" s="437"/>
    </row>
    <row r="166" spans="1:11" ht="12.75" customHeight="1" x14ac:dyDescent="0.3">
      <c r="A166" s="405" t="s">
        <v>4</v>
      </c>
      <c r="B166" s="408" t="s">
        <v>175</v>
      </c>
      <c r="C166" s="409" t="str">
        <f>IF($A166="EQUI",VLOOKUP($B166,EQUI!B$16:G$37,2,FALSE),IF($A166="TRAN",VLOOKUP($B166,TRAN!$B$16:$G$26,2,FALSE),IF($A166="MAT",VLOOKUP($B166,'MAT1'!$B$16:$G$43,2,FALSE),IF($A166="MDEO",VLOOKUP($B166,MDEO!$B$16:$P$27,2,FALSE)))))</f>
        <v xml:space="preserve">oficial </v>
      </c>
      <c r="D166" s="449">
        <f>IF($A166="EQUI",VLOOKUP($B166,EQUI!B$16:G$35,3,FALSE),IF($A166="TRAN",VLOOKUP($B166,TRAN!$B$16:$G$26,3,FALSE),IF($A166="MAT",VLOOKUP($B166,'MAT1'!$B$16:$G$43,3,FALSE),IF($A166="MDEO",VLOOKUP($B166,MDEO!$B$16:$P$33,10,FALSE)))))</f>
        <v>12336.644836388892</v>
      </c>
      <c r="E166" s="410"/>
      <c r="F166" s="438">
        <f>+D166+D166*E166</f>
        <v>12336.644836388892</v>
      </c>
      <c r="G166" s="412">
        <v>1.1000000000000001</v>
      </c>
      <c r="H166" s="411">
        <f>G166*F166</f>
        <v>13570.309320027782</v>
      </c>
      <c r="I166" s="403"/>
    </row>
    <row r="167" spans="1:11" ht="12.75" customHeight="1" x14ac:dyDescent="0.3">
      <c r="A167" s="405" t="s">
        <v>4</v>
      </c>
      <c r="B167" s="408" t="s">
        <v>176</v>
      </c>
      <c r="C167" s="409" t="str">
        <f>IF($A167="EQUI",VLOOKUP($B167,EQUI!B$16:G$37,2,FALSE),IF($A167="TRAN",VLOOKUP($B167,TRAN!$B$16:$G$26,2,FALSE),IF($A167="MAT",VLOOKUP($B167,'MAT1'!$B$16:$G$43,2,FALSE),IF($A167="MDEO",VLOOKUP($B167,MDEO!$B$16:$P$27,2,FALSE)))))</f>
        <v xml:space="preserve">ayudante entendido </v>
      </c>
      <c r="D167" s="449">
        <f>IF($A167="EQUI",VLOOKUP($B167,EQUI!B$16:G$35,3,FALSE),IF($A167="TRAN",VLOOKUP($B167,TRAN!$B$16:$G$26,3,FALSE),IF($A167="MAT",VLOOKUP($B167,'MAT1'!$B$16:$G$43,3,FALSE),IF($A167="MDEO",VLOOKUP($B167,MDEO!$B$16:$P$33,10,FALSE)))))</f>
        <v>11136.644836388892</v>
      </c>
      <c r="E167" s="410"/>
      <c r="F167" s="438">
        <f>+D167+D167*E167</f>
        <v>11136.644836388892</v>
      </c>
      <c r="G167" s="412">
        <v>1.1000000000000001</v>
      </c>
      <c r="H167" s="411">
        <f>G167*F167</f>
        <v>12250.309320027782</v>
      </c>
      <c r="I167" s="403"/>
    </row>
    <row r="168" spans="1:11" ht="12.75" customHeight="1" x14ac:dyDescent="0.3">
      <c r="A168" s="405" t="s">
        <v>4</v>
      </c>
      <c r="B168" s="408" t="s">
        <v>177</v>
      </c>
      <c r="C168" s="409" t="str">
        <f>IF($A168="EQUI",VLOOKUP($B168,EQUI!B$16:G$37,2,FALSE),IF($A168="TRAN",VLOOKUP($B168,TRAN!$B$16:$G$26,2,FALSE),IF($A168="MAT",VLOOKUP($B168,'MAT1'!$B$16:$G$43,2,FALSE),IF($A168="MDEO",VLOOKUP($B168,MDEO!$B$16:$P$27,2,FALSE)))))</f>
        <v xml:space="preserve">ayudante </v>
      </c>
      <c r="D168" s="449">
        <f>IF($A168="EQUI",VLOOKUP($B168,EQUI!B$16:G$35,3,FALSE),IF($A168="TRAN",VLOOKUP($B168,TRAN!$B$16:$G$26,3,FALSE),IF($A168="MAT",VLOOKUP($B168,'MAT1'!$B$16:$G$43,3,FALSE),IF($A168="MDEO",VLOOKUP($B168,MDEO!$B$16:$P$33,10,FALSE)))))</f>
        <v>10336.644836388892</v>
      </c>
      <c r="E168" s="410"/>
      <c r="F168" s="438">
        <f>+D168+D168*E168</f>
        <v>10336.644836388892</v>
      </c>
      <c r="G168" s="412">
        <v>1.1000000000000001</v>
      </c>
      <c r="H168" s="411">
        <f>G168*F168</f>
        <v>11370.309320027782</v>
      </c>
      <c r="I168" s="403"/>
    </row>
    <row r="169" spans="1:11" ht="12.75" customHeight="1" x14ac:dyDescent="0.3">
      <c r="A169" s="720"/>
      <c r="B169" s="712"/>
      <c r="C169" s="352"/>
      <c r="D169" s="417"/>
      <c r="E169" s="352"/>
      <c r="F169" s="352"/>
      <c r="G169" s="352"/>
      <c r="H169" s="352"/>
      <c r="I169" s="403"/>
    </row>
    <row r="170" spans="1:11" ht="12.75" customHeight="1" x14ac:dyDescent="0.3">
      <c r="A170" s="401"/>
      <c r="C170" s="352"/>
      <c r="D170" s="417"/>
      <c r="E170" s="352"/>
      <c r="F170" s="413" t="s">
        <v>32</v>
      </c>
      <c r="G170" s="402" t="str">
        <f>+B150</f>
        <v>2.3</v>
      </c>
      <c r="H170" s="413" t="s">
        <v>242</v>
      </c>
      <c r="I170" s="396">
        <f>SUM(H166:H169)</f>
        <v>37190.927960083347</v>
      </c>
    </row>
    <row r="171" spans="1:11" ht="12.75" customHeight="1" x14ac:dyDescent="0.3">
      <c r="A171" s="401" t="s">
        <v>54</v>
      </c>
      <c r="C171" s="352"/>
      <c r="D171" s="417"/>
      <c r="E171" s="352"/>
      <c r="F171" s="352"/>
      <c r="G171" s="352"/>
      <c r="H171" s="350"/>
      <c r="I171" s="396">
        <f>I170*0.05</f>
        <v>1859.5463980041675</v>
      </c>
    </row>
    <row r="172" spans="1:11" ht="12.75" customHeight="1" x14ac:dyDescent="0.3">
      <c r="A172" s="401"/>
      <c r="C172" s="352"/>
      <c r="D172" s="417"/>
      <c r="E172" s="352"/>
      <c r="F172" s="413" t="s">
        <v>55</v>
      </c>
      <c r="G172" s="350"/>
      <c r="H172" s="350"/>
      <c r="I172" s="396">
        <f>ROUND(I170+I171+I159+I155+I163,0)</f>
        <v>124050</v>
      </c>
    </row>
    <row r="173" spans="1:11" ht="76.95" customHeight="1" x14ac:dyDescent="0.3">
      <c r="A173" s="724" t="s">
        <v>114</v>
      </c>
      <c r="B173" s="710"/>
      <c r="C173" s="710"/>
      <c r="D173" s="450"/>
      <c r="E173" s="415"/>
      <c r="F173" s="710" t="s">
        <v>396</v>
      </c>
      <c r="G173" s="710"/>
      <c r="H173" s="710"/>
      <c r="I173" s="711"/>
    </row>
    <row r="174" spans="1:11" ht="12.75" customHeight="1" x14ac:dyDescent="0.3">
      <c r="A174" s="397" t="s">
        <v>111</v>
      </c>
      <c r="B174" s="712"/>
      <c r="C174" s="712"/>
      <c r="D174" s="417"/>
      <c r="E174" s="352"/>
      <c r="F174" s="350" t="s">
        <v>111</v>
      </c>
      <c r="G174" s="712"/>
      <c r="H174" s="712"/>
      <c r="I174" s="713"/>
    </row>
    <row r="175" spans="1:11" ht="12.75" customHeight="1" x14ac:dyDescent="0.3">
      <c r="A175" s="439" t="s">
        <v>115</v>
      </c>
      <c r="B175" s="710" t="s">
        <v>1551</v>
      </c>
      <c r="C175" s="710"/>
      <c r="F175" s="432" t="s">
        <v>112</v>
      </c>
      <c r="G175" s="712"/>
      <c r="H175" s="712"/>
      <c r="I175" s="713"/>
    </row>
    <row r="176" spans="1:11" ht="12.75" customHeight="1" x14ac:dyDescent="0.3">
      <c r="A176" s="439" t="s">
        <v>113</v>
      </c>
      <c r="B176" s="710" t="s">
        <v>1554</v>
      </c>
      <c r="C176" s="710"/>
      <c r="F176" s="432" t="s">
        <v>113</v>
      </c>
      <c r="G176" s="712"/>
      <c r="H176" s="712"/>
      <c r="I176" s="713"/>
    </row>
    <row r="177" spans="1:9" ht="12.75" customHeight="1" x14ac:dyDescent="0.3">
      <c r="A177" s="439"/>
      <c r="B177" s="350"/>
      <c r="C177" s="350"/>
      <c r="F177" s="432"/>
      <c r="G177" s="350"/>
      <c r="H177" s="350"/>
      <c r="I177" s="416"/>
    </row>
    <row r="178" spans="1:9" ht="12.75" customHeight="1" x14ac:dyDescent="0.3">
      <c r="A178" s="714" t="s">
        <v>110</v>
      </c>
      <c r="B178" s="715"/>
      <c r="C178" s="715"/>
      <c r="D178" s="715"/>
      <c r="E178" s="715"/>
      <c r="F178" s="715"/>
      <c r="G178" s="715"/>
      <c r="H178" s="715"/>
      <c r="I178" s="716"/>
    </row>
    <row r="179" spans="1:9" ht="19.2" customHeight="1" x14ac:dyDescent="0.3">
      <c r="A179" s="729"/>
      <c r="B179" s="730"/>
      <c r="C179" s="730"/>
      <c r="D179" s="730"/>
      <c r="E179" s="730"/>
      <c r="F179" s="730"/>
      <c r="G179" s="730"/>
      <c r="H179" s="730"/>
      <c r="I179" s="731"/>
    </row>
    <row r="180" spans="1:9" ht="19.2" customHeight="1" x14ac:dyDescent="0.3">
      <c r="A180" s="714"/>
      <c r="B180" s="715"/>
      <c r="C180" s="715"/>
      <c r="D180" s="715"/>
      <c r="E180" s="715"/>
      <c r="F180" s="715"/>
      <c r="G180" s="715"/>
      <c r="H180" s="715"/>
      <c r="I180" s="716"/>
    </row>
    <row r="181" spans="1:9" ht="12.75" customHeight="1" x14ac:dyDescent="0.3">
      <c r="A181" s="725" t="s">
        <v>68</v>
      </c>
      <c r="B181" s="726"/>
      <c r="C181" s="726"/>
      <c r="D181" s="726"/>
      <c r="E181" s="726"/>
      <c r="F181" s="726"/>
      <c r="G181" s="726"/>
      <c r="H181" s="726"/>
      <c r="I181" s="727"/>
    </row>
    <row r="182" spans="1:9" ht="24.9" customHeight="1" x14ac:dyDescent="0.3">
      <c r="A182" s="390" t="s">
        <v>69</v>
      </c>
      <c r="B182" s="391" t="s">
        <v>215</v>
      </c>
      <c r="C182" s="710" t="s">
        <v>70</v>
      </c>
      <c r="D182" s="723" t="str">
        <f>VLOOKUP(B182,'AJUSTE PRESUPUESTO'!$A$18:$I$95,3,FALSE)</f>
        <v>Realce de caja inspección circular, incluye herraje para cuello y tapa, incluye formaleta no recuperable</v>
      </c>
      <c r="E182" s="723"/>
      <c r="F182" s="723"/>
      <c r="G182" s="723"/>
      <c r="H182" s="723"/>
      <c r="I182" s="728"/>
    </row>
    <row r="183" spans="1:9" ht="12.75" customHeight="1" x14ac:dyDescent="0.3">
      <c r="A183" s="390" t="s">
        <v>71</v>
      </c>
      <c r="B183" s="391" t="str">
        <f>VLOOKUP(B182,[6]PRESUPUESTO!$A$18:$I$90,2,FALSE)</f>
        <v>PAR_04</v>
      </c>
      <c r="C183" s="710"/>
      <c r="D183" s="355" t="s">
        <v>12</v>
      </c>
      <c r="E183" s="392" t="s">
        <v>12</v>
      </c>
      <c r="F183" s="392" t="s">
        <v>13</v>
      </c>
      <c r="G183" s="392">
        <f>VLOOKUP(B183,[6]PRESUPUESTO!$B$15:$I$119,5,FALSE)</f>
        <v>9</v>
      </c>
      <c r="H183" s="393" t="s">
        <v>27</v>
      </c>
      <c r="I183" s="394">
        <f>+I206</f>
        <v>433476</v>
      </c>
    </row>
    <row r="184" spans="1:9" ht="12.75" customHeight="1" x14ac:dyDescent="0.3">
      <c r="A184" s="395" t="s">
        <v>14</v>
      </c>
      <c r="B184" s="386"/>
      <c r="C184" s="352"/>
      <c r="D184" s="417"/>
      <c r="E184" s="352"/>
      <c r="F184" s="352"/>
      <c r="G184" s="352"/>
      <c r="H184" s="352"/>
      <c r="I184" s="396"/>
    </row>
    <row r="185" spans="1:9" ht="12.75" customHeight="1" x14ac:dyDescent="0.3">
      <c r="A185" s="720" t="s">
        <v>19</v>
      </c>
      <c r="B185" s="712"/>
      <c r="C185" s="712"/>
      <c r="D185" s="712"/>
      <c r="E185" s="712"/>
      <c r="F185" s="350" t="s">
        <v>28</v>
      </c>
      <c r="G185" s="350" t="s">
        <v>29</v>
      </c>
      <c r="H185" s="350" t="s">
        <v>30</v>
      </c>
      <c r="I185" s="403"/>
    </row>
    <row r="186" spans="1:9" ht="12.75" customHeight="1" x14ac:dyDescent="0.3">
      <c r="A186" s="397" t="s">
        <v>1</v>
      </c>
      <c r="B186" s="398"/>
      <c r="C186" s="721"/>
      <c r="D186" s="721"/>
      <c r="E186" s="721"/>
      <c r="F186" s="355"/>
      <c r="G186" s="352"/>
      <c r="H186" s="404">
        <f>+F186*G186</f>
        <v>0</v>
      </c>
      <c r="I186" s="403"/>
    </row>
    <row r="187" spans="1:9" ht="12.75" customHeight="1" x14ac:dyDescent="0.3">
      <c r="A187" s="401"/>
      <c r="C187" s="352"/>
      <c r="D187" s="417"/>
      <c r="E187" s="352"/>
      <c r="F187" s="413" t="s">
        <v>32</v>
      </c>
      <c r="G187" s="402" t="str">
        <f>+B182</f>
        <v>2.4</v>
      </c>
      <c r="H187" s="402" t="s">
        <v>295</v>
      </c>
      <c r="I187" s="396">
        <f>SUM(H186:H186)</f>
        <v>0</v>
      </c>
    </row>
    <row r="188" spans="1:9" ht="12.75" customHeight="1" x14ac:dyDescent="0.3">
      <c r="A188" s="395" t="s">
        <v>34</v>
      </c>
      <c r="B188" s="386"/>
      <c r="C188" s="352"/>
      <c r="D188" s="417"/>
      <c r="E188" s="352"/>
      <c r="F188" s="352"/>
      <c r="G188" s="352"/>
      <c r="H188" s="352"/>
      <c r="I188" s="403"/>
    </row>
    <row r="189" spans="1:9" ht="12.75" customHeight="1" x14ac:dyDescent="0.3">
      <c r="A189" s="720" t="s">
        <v>35</v>
      </c>
      <c r="B189" s="712"/>
      <c r="C189" s="712"/>
      <c r="D189" s="712"/>
      <c r="E189" s="350" t="s">
        <v>12</v>
      </c>
      <c r="F189" s="350" t="s">
        <v>36</v>
      </c>
      <c r="G189" s="350" t="s">
        <v>37</v>
      </c>
      <c r="H189" s="350" t="s">
        <v>38</v>
      </c>
      <c r="I189" s="403"/>
    </row>
    <row r="190" spans="1:9" ht="12.75" customHeight="1" x14ac:dyDescent="0.3">
      <c r="A190" s="397" t="s">
        <v>522</v>
      </c>
      <c r="B190" s="398" t="s">
        <v>526</v>
      </c>
      <c r="C190" s="721" t="str">
        <f>IF($A190="EQUI",VLOOKUP($B190,EQUI!B$16:G$35,2,FALSE),IF($A190="TRAN",VLOOKUP($B190,TRAN!$B$16:$G$26,2,FALSE),IF($A190="MAT1",VLOOKUP($B190,'MAT1'!$B$16:$G$43,2,FALSE),IF($A190="MAT2",VLOOKUP($B190,'MAT2'!$B$16:$G$35,2,FALSE),IF($A190="MDEO",VLOOKUP($B190,MDEO!$B$16:$P$27,2,FALSE))))))</f>
        <v>herraje para cámara de inspección tipo MH</v>
      </c>
      <c r="D190" s="721"/>
      <c r="E190" s="355" t="str">
        <f>IF($A190="EQUI",VLOOKUP($B190,EQUI!B$16:G$35,3,FALSE),IF($A190="TRAN",VLOOKUP($B190,TRAN!$B$16:$G$26,3,FALSE),IF($A190="MAT1",VLOOKUP($B190,'MAT1'!$B$16:$G$43,3,FALSE),IF($A190="MAT2",VLOOKUP($B190,'MAT2'!$B$16:$G$45,3,FALSE),IF($A190="MDEO",VLOOKUP($B190,MDEO!$B$16:$P$27,3,FALSE))))))</f>
        <v>Unidad</v>
      </c>
      <c r="F190" s="355">
        <f>IF($A190="EQUI",VLOOKUP($B190,EQUI!B$16:G$35,4,FALSE),IF($A190="TRAN",VLOOKUP($B190,TRAN!$B$16:$G$26,4,FALSE),IF($A190="MAT1",VLOOKUP($B190,'MAT1'!$B$16:$G$43,4,FALSE),IF($A190="MAT2",VLOOKUP($B190,'MAT2'!$B$16:$G$34,4,FALSE),IF($A190="MDEO",VLOOKUP($B190,MDEO!$B$16:$P$27,4,FALSE))))))</f>
        <v>350000</v>
      </c>
      <c r="G190" s="352">
        <v>1</v>
      </c>
      <c r="H190" s="404">
        <f>G190*F190</f>
        <v>350000</v>
      </c>
      <c r="I190" s="403"/>
    </row>
    <row r="191" spans="1:9" ht="12.75" customHeight="1" x14ac:dyDescent="0.3">
      <c r="A191" s="397" t="s">
        <v>522</v>
      </c>
      <c r="B191" s="398" t="s">
        <v>1232</v>
      </c>
      <c r="C191" s="721" t="str">
        <f>IF($A191="EQUI",VLOOKUP($B191,EQUI!B$16:G$35,2,FALSE),IF($A191="TRAN",VLOOKUP($B191,TRAN!$B$16:$G$26,2,FALSE),IF($A191="MAT1",VLOOKUP($B191,'MAT1'!$B$16:$G$49,2,FALSE),IF($A191="MAT2",VLOOKUP($B191,'MAT2'!$B$16:$G$44,2,FALSE),IF($A191="MDEO",VLOOKUP($B191,MDEO!$B$16:$P$27,2,FALSE))))))</f>
        <v>tabla común 3m</v>
      </c>
      <c r="D191" s="721"/>
      <c r="E191" s="355" t="str">
        <f>IF($A191="EQUI",VLOOKUP($B191,EQUI!B$16:G$35,3,FALSE),IF($A191="TRAN",VLOOKUP($B191,TRAN!$B$16:$G$26,3,FALSE),IF($A191="MAT1",VLOOKUP($B191,'MAT1'!$B$16:$G$49,3,FALSE),IF($A191="MAT2",VLOOKUP($B191,'MAT2'!$B$16:$G$45,3,FALSE),IF($A191="MDEO",VLOOKUP($B191,MDEO!$B$16:$P$27,3,FALSE))))))</f>
        <v>UN</v>
      </c>
      <c r="F191" s="355">
        <f>IF($A191="EQUI",VLOOKUP($B191,EQUI!B$16:G$35,4,FALSE),IF($A191="TRAN",VLOOKUP($B191,TRAN!$B$16:$G$26,4,FALSE),IF($A191="MAT1",VLOOKUP($B191,'MAT1'!$B$16:$G$49,4,FALSE),IF($A191="MAT2",VLOOKUP($B191,'MAT2'!$B$16:$G$34,4,FALSE),IF($A191="MDEO",VLOOKUP($B191,MDEO!$B$16:$P$27,4,FALSE))))))</f>
        <v>7500</v>
      </c>
      <c r="G191" s="352">
        <v>1.3</v>
      </c>
      <c r="H191" s="404">
        <f>G191*F191</f>
        <v>9750</v>
      </c>
      <c r="I191" s="403"/>
    </row>
    <row r="192" spans="1:9" ht="12.75" customHeight="1" x14ac:dyDescent="0.3">
      <c r="A192" s="401"/>
      <c r="C192" s="352"/>
      <c r="D192" s="417"/>
      <c r="E192" s="352"/>
      <c r="F192" s="413" t="s">
        <v>32</v>
      </c>
      <c r="G192" s="402" t="str">
        <f>+B182</f>
        <v>2.4</v>
      </c>
      <c r="H192" s="402" t="s">
        <v>296</v>
      </c>
      <c r="I192" s="396">
        <f>SUM(H190:H191)</f>
        <v>359750</v>
      </c>
    </row>
    <row r="193" spans="1:11" ht="12.75" customHeight="1" x14ac:dyDescent="0.3">
      <c r="A193" s="395" t="s">
        <v>15</v>
      </c>
      <c r="B193" s="386"/>
      <c r="C193" s="352"/>
      <c r="D193" s="417"/>
      <c r="E193" s="352"/>
      <c r="F193" s="352"/>
      <c r="G193" s="352"/>
      <c r="H193" s="352"/>
      <c r="I193" s="403"/>
    </row>
    <row r="194" spans="1:11" ht="17.399999999999999" customHeight="1" x14ac:dyDescent="0.3">
      <c r="A194" s="720" t="s">
        <v>19</v>
      </c>
      <c r="B194" s="712"/>
      <c r="C194" s="712"/>
      <c r="D194" s="355" t="s">
        <v>43</v>
      </c>
      <c r="E194" s="350" t="s">
        <v>44</v>
      </c>
      <c r="F194" s="355" t="s">
        <v>45</v>
      </c>
      <c r="G194" s="350" t="s">
        <v>17</v>
      </c>
      <c r="H194" s="350" t="s">
        <v>30</v>
      </c>
      <c r="I194" s="403"/>
    </row>
    <row r="195" spans="1:11" ht="12.75" customHeight="1" x14ac:dyDescent="0.3">
      <c r="A195" s="405" t="s">
        <v>3</v>
      </c>
      <c r="B195" s="406"/>
      <c r="C195" s="440"/>
      <c r="D195" s="355"/>
      <c r="E195" s="352"/>
      <c r="F195" s="352"/>
      <c r="G195" s="352"/>
      <c r="H195" s="352">
        <f>+G195*F195</f>
        <v>0</v>
      </c>
      <c r="I195" s="403"/>
    </row>
    <row r="196" spans="1:11" ht="12.75" customHeight="1" x14ac:dyDescent="0.3">
      <c r="A196" s="401"/>
      <c r="C196" s="352"/>
      <c r="D196" s="417"/>
      <c r="E196" s="352"/>
      <c r="F196" s="413" t="s">
        <v>32</v>
      </c>
      <c r="G196" s="402" t="str">
        <f>+B182</f>
        <v>2.4</v>
      </c>
      <c r="H196" s="402" t="s">
        <v>297</v>
      </c>
      <c r="I196" s="403">
        <f>SUM(H195:H195)</f>
        <v>0</v>
      </c>
    </row>
    <row r="197" spans="1:11" ht="12.75" customHeight="1" x14ac:dyDescent="0.3">
      <c r="A197" s="395" t="s">
        <v>1107</v>
      </c>
      <c r="B197" s="386"/>
      <c r="C197" s="352"/>
      <c r="D197" s="417"/>
      <c r="E197" s="352"/>
      <c r="F197" s="352"/>
      <c r="G197" s="352"/>
      <c r="H197" s="352"/>
      <c r="I197" s="403"/>
    </row>
    <row r="198" spans="1:11" s="436" customFormat="1" ht="12.75" customHeight="1" x14ac:dyDescent="0.3">
      <c r="A198" s="722" t="s">
        <v>47</v>
      </c>
      <c r="B198" s="723"/>
      <c r="C198" s="723"/>
      <c r="D198" s="355" t="s">
        <v>48</v>
      </c>
      <c r="E198" s="355" t="s">
        <v>109</v>
      </c>
      <c r="F198" s="380" t="s">
        <v>49</v>
      </c>
      <c r="G198" s="380" t="s">
        <v>29</v>
      </c>
      <c r="H198" s="355" t="s">
        <v>30</v>
      </c>
      <c r="I198" s="407"/>
      <c r="K198" s="437"/>
    </row>
    <row r="199" spans="1:11" ht="12.75" customHeight="1" x14ac:dyDescent="0.3">
      <c r="A199" s="405" t="s">
        <v>4</v>
      </c>
      <c r="B199" s="408" t="s">
        <v>175</v>
      </c>
      <c r="C199" s="409" t="str">
        <f>IF($A199="EQUI",VLOOKUP($B199,EQUI!B$16:G$37,2,FALSE),IF($A199="TRAN",VLOOKUP($B199,TRAN!$B$16:$G$26,2,FALSE),IF($A199="MAT",VLOOKUP($B199,'MAT1'!$B$16:$G$43,2,FALSE),IF($A199="MDEO",VLOOKUP($B199,MDEO!$B$16:$P$27,2,FALSE)))))</f>
        <v xml:space="preserve">oficial </v>
      </c>
      <c r="D199" s="449">
        <f>IF($A199="EQUI",VLOOKUP($B199,EQUI!B$16:G$35,3,FALSE),IF($A199="TRAN",VLOOKUP($B199,TRAN!$B$16:$G$26,3,FALSE),IF($A199="MAT",VLOOKUP($B199,'MAT1'!$B$16:$G$43,3,FALSE),IF($A199="MDEO",VLOOKUP($B199,MDEO!$B$16:$P$33,10,FALSE)))))</f>
        <v>12336.644836388892</v>
      </c>
      <c r="E199" s="410"/>
      <c r="F199" s="438">
        <f>+D199+D199*E199</f>
        <v>12336.644836388892</v>
      </c>
      <c r="G199" s="412">
        <v>2</v>
      </c>
      <c r="H199" s="411">
        <f>G199*F199</f>
        <v>24673.289672777784</v>
      </c>
      <c r="I199" s="403"/>
    </row>
    <row r="200" spans="1:11" ht="12.75" customHeight="1" x14ac:dyDescent="0.3">
      <c r="A200" s="405" t="s">
        <v>4</v>
      </c>
      <c r="B200" s="408" t="s">
        <v>176</v>
      </c>
      <c r="C200" s="409" t="str">
        <f>IF($A200="EQUI",VLOOKUP($B200,EQUI!B$16:G$37,2,FALSE),IF($A200="TRAN",VLOOKUP($B200,TRAN!$B$16:$G$26,2,FALSE),IF($A200="MAT",VLOOKUP($B200,'MAT1'!$B$16:$G$43,2,FALSE),IF($A200="MDEO",VLOOKUP($B200,MDEO!$B$16:$P$27,2,FALSE)))))</f>
        <v xml:space="preserve">ayudante entendido </v>
      </c>
      <c r="D200" s="449">
        <f>IF($A200="EQUI",VLOOKUP($B200,EQUI!B$16:G$35,3,FALSE),IF($A200="TRAN",VLOOKUP($B200,TRAN!$B$16:$G$26,3,FALSE),IF($A200="MAT",VLOOKUP($B200,'MAT1'!$B$16:$G$43,3,FALSE),IF($A200="MDEO",VLOOKUP($B200,MDEO!$B$16:$P$33,10,FALSE)))))</f>
        <v>11136.644836388892</v>
      </c>
      <c r="E200" s="410"/>
      <c r="F200" s="438">
        <f>+D200+D200*E200</f>
        <v>11136.644836388892</v>
      </c>
      <c r="G200" s="412">
        <v>2</v>
      </c>
      <c r="H200" s="411">
        <f>G200*F200</f>
        <v>22273.289672777784</v>
      </c>
      <c r="I200" s="403"/>
    </row>
    <row r="201" spans="1:11" ht="12.75" customHeight="1" x14ac:dyDescent="0.3">
      <c r="A201" s="405" t="s">
        <v>4</v>
      </c>
      <c r="B201" s="408" t="s">
        <v>177</v>
      </c>
      <c r="C201" s="409" t="str">
        <f>IF($A201="EQUI",VLOOKUP($B201,EQUI!B$16:G$37,2,FALSE),IF($A201="TRAN",VLOOKUP($B201,TRAN!$B$16:$G$26,2,FALSE),IF($A201="MAT",VLOOKUP($B201,'MAT1'!$B$16:$G$43,2,FALSE),IF($A201="MDEO",VLOOKUP($B201,MDEO!$B$16:$P$27,2,FALSE)))))</f>
        <v xml:space="preserve">ayudante </v>
      </c>
      <c r="D201" s="449">
        <f>IF($A201="EQUI",VLOOKUP($B201,EQUI!B$16:G$35,3,FALSE),IF($A201="TRAN",VLOOKUP($B201,TRAN!$B$16:$G$26,3,FALSE),IF($A201="MAT",VLOOKUP($B201,'MAT1'!$B$16:$G$43,3,FALSE),IF($A201="MDEO",VLOOKUP($B201,MDEO!$B$16:$P$33,10,FALSE)))))</f>
        <v>10336.644836388892</v>
      </c>
      <c r="E201" s="410"/>
      <c r="F201" s="438">
        <f>+D201+D201*E201</f>
        <v>10336.644836388892</v>
      </c>
      <c r="G201" s="412">
        <v>2</v>
      </c>
      <c r="H201" s="411">
        <f>G201*F201</f>
        <v>20673.289672777784</v>
      </c>
      <c r="I201" s="403"/>
    </row>
    <row r="202" spans="1:11" ht="12.75" customHeight="1" x14ac:dyDescent="0.3">
      <c r="A202" s="405" t="s">
        <v>4</v>
      </c>
      <c r="B202" s="408" t="s">
        <v>178</v>
      </c>
      <c r="C202" s="409" t="str">
        <f>IF($A202="EQUI",VLOOKUP($B202,EQUI!B$16:G$37,2,FALSE),IF($A202="TRAN",VLOOKUP($B202,TRAN!$B$16:$G$26,2,FALSE),IF($A202="MAT",VLOOKUP($B202,'MAT1'!$B$16:$G$43,2,FALSE),IF($A202="MDEO",VLOOKUP($B202,MDEO!$B$16:$P$33,2,FALSE)))))</f>
        <v>contra maestro</v>
      </c>
      <c r="D202" s="449">
        <f>IF($A202="EQUI",VLOOKUP($B202,EQUI!B$16:G$35,3,FALSE),IF($A202="TRAN",VLOOKUP($B202,TRAN!$B$16:$G$26,3,FALSE),IF($A202="MAT",VLOOKUP($B202,'MAT1'!$B$16:$G$43,3,FALSE),IF($A202="MDEO",VLOOKUP($B202,MDEO!$B$16:$P$33,10,FALSE)))))</f>
        <v>12974.601086388891</v>
      </c>
      <c r="E202" s="410"/>
      <c r="F202" s="438">
        <f>+D202+D202*E202</f>
        <v>12974.601086388891</v>
      </c>
      <c r="G202" s="412">
        <f>+G199*0.1</f>
        <v>0.2</v>
      </c>
      <c r="H202" s="411">
        <f>G202*F202</f>
        <v>2594.9202172777786</v>
      </c>
      <c r="I202" s="403"/>
    </row>
    <row r="203" spans="1:11" ht="12.75" customHeight="1" x14ac:dyDescent="0.3">
      <c r="A203" s="720"/>
      <c r="B203" s="712"/>
      <c r="C203" s="352"/>
      <c r="D203" s="417"/>
      <c r="E203" s="352"/>
      <c r="F203" s="352"/>
      <c r="G203" s="352"/>
      <c r="H203" s="352"/>
      <c r="I203" s="403"/>
    </row>
    <row r="204" spans="1:11" ht="12.75" customHeight="1" x14ac:dyDescent="0.3">
      <c r="A204" s="401"/>
      <c r="C204" s="352"/>
      <c r="D204" s="417"/>
      <c r="E204" s="352"/>
      <c r="F204" s="413" t="s">
        <v>32</v>
      </c>
      <c r="G204" s="402" t="str">
        <f>+B182</f>
        <v>2.4</v>
      </c>
      <c r="H204" s="413" t="s">
        <v>298</v>
      </c>
      <c r="I204" s="396">
        <f>SUM(H199:H203)</f>
        <v>70214.789235611126</v>
      </c>
    </row>
    <row r="205" spans="1:11" ht="12.75" customHeight="1" x14ac:dyDescent="0.3">
      <c r="A205" s="401" t="s">
        <v>54</v>
      </c>
      <c r="C205" s="352"/>
      <c r="D205" s="417"/>
      <c r="E205" s="352"/>
      <c r="F205" s="352"/>
      <c r="G205" s="352"/>
      <c r="H205" s="350"/>
      <c r="I205" s="396">
        <f>I204*0.05</f>
        <v>3510.7394617805567</v>
      </c>
    </row>
    <row r="206" spans="1:11" ht="12.75" customHeight="1" x14ac:dyDescent="0.3">
      <c r="A206" s="401"/>
      <c r="C206" s="352"/>
      <c r="D206" s="417"/>
      <c r="E206" s="352"/>
      <c r="F206" s="413" t="s">
        <v>55</v>
      </c>
      <c r="G206" s="350"/>
      <c r="H206" s="350"/>
      <c r="I206" s="396">
        <f>ROUND(I204+I205+I192+I187+I196,0)</f>
        <v>433476</v>
      </c>
    </row>
    <row r="207" spans="1:11" ht="12.75" customHeight="1" x14ac:dyDescent="0.3">
      <c r="A207" s="414"/>
      <c r="B207" s="415"/>
      <c r="C207" s="415"/>
      <c r="D207" s="450"/>
      <c r="E207" s="415"/>
      <c r="F207" s="415"/>
      <c r="G207" s="415"/>
      <c r="H207" s="415"/>
      <c r="I207" s="396"/>
    </row>
    <row r="208" spans="1:11" ht="76.95" customHeight="1" x14ac:dyDescent="0.3">
      <c r="A208" s="724" t="s">
        <v>114</v>
      </c>
      <c r="B208" s="710"/>
      <c r="C208" s="710"/>
      <c r="D208" s="450"/>
      <c r="E208" s="415"/>
      <c r="F208" s="710" t="s">
        <v>396</v>
      </c>
      <c r="G208" s="710"/>
      <c r="H208" s="710"/>
      <c r="I208" s="711"/>
    </row>
    <row r="209" spans="1:9" ht="12.75" customHeight="1" x14ac:dyDescent="0.3">
      <c r="A209" s="397" t="s">
        <v>111</v>
      </c>
      <c r="B209" s="712"/>
      <c r="C209" s="712"/>
      <c r="D209" s="417"/>
      <c r="E209" s="352"/>
      <c r="F209" s="350" t="s">
        <v>111</v>
      </c>
      <c r="G209" s="712"/>
      <c r="H209" s="712"/>
      <c r="I209" s="713"/>
    </row>
    <row r="210" spans="1:9" ht="12.75" customHeight="1" x14ac:dyDescent="0.3">
      <c r="A210" s="439" t="s">
        <v>115</v>
      </c>
      <c r="B210" s="710" t="s">
        <v>1551</v>
      </c>
      <c r="C210" s="710"/>
      <c r="F210" s="432" t="s">
        <v>112</v>
      </c>
      <c r="G210" s="712"/>
      <c r="H210" s="712"/>
      <c r="I210" s="713"/>
    </row>
    <row r="211" spans="1:9" ht="12.75" customHeight="1" x14ac:dyDescent="0.3">
      <c r="A211" s="439" t="s">
        <v>113</v>
      </c>
      <c r="B211" s="710" t="s">
        <v>1554</v>
      </c>
      <c r="C211" s="710"/>
      <c r="F211" s="432" t="s">
        <v>113</v>
      </c>
      <c r="G211" s="712"/>
      <c r="H211" s="712"/>
      <c r="I211" s="713"/>
    </row>
    <row r="212" spans="1:9" ht="12.75" customHeight="1" x14ac:dyDescent="0.3">
      <c r="A212" s="439"/>
      <c r="B212" s="350"/>
      <c r="C212" s="350"/>
      <c r="F212" s="432"/>
      <c r="G212" s="350"/>
      <c r="H212" s="350"/>
      <c r="I212" s="416"/>
    </row>
    <row r="213" spans="1:9" ht="12.75" customHeight="1" x14ac:dyDescent="0.3">
      <c r="A213" s="714" t="s">
        <v>110</v>
      </c>
      <c r="B213" s="715"/>
      <c r="C213" s="715"/>
      <c r="D213" s="715"/>
      <c r="E213" s="715"/>
      <c r="F213" s="715"/>
      <c r="G213" s="715"/>
      <c r="H213" s="715"/>
      <c r="I213" s="716"/>
    </row>
    <row r="214" spans="1:9" ht="21" customHeight="1" x14ac:dyDescent="0.3">
      <c r="A214" s="729"/>
      <c r="B214" s="730"/>
      <c r="C214" s="730"/>
      <c r="D214" s="730"/>
      <c r="E214" s="730"/>
      <c r="F214" s="730"/>
      <c r="G214" s="730"/>
      <c r="H214" s="730"/>
      <c r="I214" s="731"/>
    </row>
    <row r="215" spans="1:9" ht="21" customHeight="1" x14ac:dyDescent="0.3">
      <c r="A215" s="714"/>
      <c r="B215" s="715"/>
      <c r="C215" s="715"/>
      <c r="D215" s="715"/>
      <c r="E215" s="715"/>
      <c r="F215" s="715"/>
      <c r="G215" s="715"/>
      <c r="H215" s="715"/>
      <c r="I215" s="716"/>
    </row>
    <row r="216" spans="1:9" ht="12.75" customHeight="1" x14ac:dyDescent="0.3">
      <c r="A216" s="725" t="s">
        <v>68</v>
      </c>
      <c r="B216" s="726"/>
      <c r="C216" s="726"/>
      <c r="D216" s="726"/>
      <c r="E216" s="726"/>
      <c r="F216" s="726"/>
      <c r="G216" s="726"/>
      <c r="H216" s="726"/>
      <c r="I216" s="727"/>
    </row>
    <row r="217" spans="1:9" ht="12.75" customHeight="1" x14ac:dyDescent="0.3">
      <c r="A217" s="390" t="s">
        <v>69</v>
      </c>
      <c r="B217" s="391" t="s">
        <v>217</v>
      </c>
      <c r="C217" s="710" t="s">
        <v>70</v>
      </c>
      <c r="D217" s="723" t="str">
        <f>VLOOKUP(B217,'AJUSTE PRESUPUESTO'!$A$18:$I$95,3,FALSE)</f>
        <v>Realce de cajas domiciliarias, incluye herraje de cuello, tapa y formaleta</v>
      </c>
      <c r="E217" s="723"/>
      <c r="F217" s="723"/>
      <c r="G217" s="723"/>
      <c r="H217" s="723"/>
      <c r="I217" s="728"/>
    </row>
    <row r="218" spans="1:9" ht="12.75" customHeight="1" x14ac:dyDescent="0.3">
      <c r="A218" s="390" t="s">
        <v>71</v>
      </c>
      <c r="B218" s="391" t="str">
        <f>VLOOKUP(B217,[6]PRESUPUESTO!$A$18:$I$90,2,FALSE)</f>
        <v>PAR_05</v>
      </c>
      <c r="C218" s="710"/>
      <c r="D218" s="355" t="s">
        <v>12</v>
      </c>
      <c r="E218" s="392" t="s">
        <v>12</v>
      </c>
      <c r="F218" s="392" t="s">
        <v>13</v>
      </c>
      <c r="G218" s="392">
        <f>VLOOKUP(B218,PRESUPUESTO!$B$15:$I$98,5,FALSE)</f>
        <v>165</v>
      </c>
      <c r="H218" s="393" t="s">
        <v>27</v>
      </c>
      <c r="I218" s="394">
        <f>+I242</f>
        <v>320240</v>
      </c>
    </row>
    <row r="219" spans="1:9" ht="12.75" customHeight="1" x14ac:dyDescent="0.3">
      <c r="A219" s="395" t="s">
        <v>14</v>
      </c>
      <c r="B219" s="386"/>
      <c r="C219" s="352"/>
      <c r="D219" s="417"/>
      <c r="E219" s="352"/>
      <c r="F219" s="352"/>
      <c r="G219" s="352"/>
      <c r="H219" s="352"/>
      <c r="I219" s="396"/>
    </row>
    <row r="220" spans="1:9" ht="12.75" customHeight="1" x14ac:dyDescent="0.3">
      <c r="A220" s="720" t="s">
        <v>19</v>
      </c>
      <c r="B220" s="712"/>
      <c r="C220" s="712"/>
      <c r="D220" s="712"/>
      <c r="E220" s="712"/>
      <c r="F220" s="350" t="s">
        <v>28</v>
      </c>
      <c r="G220" s="350" t="s">
        <v>29</v>
      </c>
      <c r="H220" s="350" t="s">
        <v>30</v>
      </c>
      <c r="I220" s="403"/>
    </row>
    <row r="221" spans="1:9" ht="12.75" customHeight="1" x14ac:dyDescent="0.3">
      <c r="A221" s="397" t="s">
        <v>1</v>
      </c>
      <c r="B221" s="398"/>
      <c r="C221" s="721"/>
      <c r="D221" s="721"/>
      <c r="E221" s="721"/>
      <c r="F221" s="355"/>
      <c r="G221" s="352"/>
      <c r="H221" s="404">
        <f>+F221*G221</f>
        <v>0</v>
      </c>
      <c r="I221" s="403"/>
    </row>
    <row r="222" spans="1:9" ht="12.75" customHeight="1" x14ac:dyDescent="0.3">
      <c r="A222" s="401"/>
      <c r="C222" s="352"/>
      <c r="D222" s="417"/>
      <c r="E222" s="352"/>
      <c r="F222" s="413" t="s">
        <v>32</v>
      </c>
      <c r="G222" s="402" t="str">
        <f>+B217</f>
        <v>2.5</v>
      </c>
      <c r="H222" s="402" t="s">
        <v>299</v>
      </c>
      <c r="I222" s="396">
        <f>SUM(H221:H221)</f>
        <v>0</v>
      </c>
    </row>
    <row r="223" spans="1:9" ht="12.75" customHeight="1" x14ac:dyDescent="0.3">
      <c r="A223" s="395" t="s">
        <v>34</v>
      </c>
      <c r="B223" s="386"/>
      <c r="C223" s="352"/>
      <c r="D223" s="417"/>
      <c r="E223" s="352"/>
      <c r="F223" s="352"/>
      <c r="G223" s="352"/>
      <c r="H223" s="352"/>
      <c r="I223" s="403"/>
    </row>
    <row r="224" spans="1:9" ht="12.75" customHeight="1" x14ac:dyDescent="0.3">
      <c r="A224" s="720" t="s">
        <v>35</v>
      </c>
      <c r="B224" s="712"/>
      <c r="C224" s="712"/>
      <c r="D224" s="712"/>
      <c r="E224" s="350" t="s">
        <v>12</v>
      </c>
      <c r="F224" s="350" t="s">
        <v>36</v>
      </c>
      <c r="G224" s="350" t="s">
        <v>37</v>
      </c>
      <c r="H224" s="350" t="s">
        <v>38</v>
      </c>
      <c r="I224" s="403"/>
    </row>
    <row r="225" spans="1:15" ht="12.75" customHeight="1" x14ac:dyDescent="0.3">
      <c r="A225" s="397" t="s">
        <v>523</v>
      </c>
      <c r="B225" s="398" t="s">
        <v>138</v>
      </c>
      <c r="C225" s="721" t="str">
        <f>IF($A225="EQUI",VLOOKUP($B225,EQUI!B$16:G$35,2,FALSE),IF($A225="TRAN",VLOOKUP($B225,TRAN!$B$16:$G$26,2,FALSE),IF($A225="MAT1",VLOOKUP($B225,'MAT1'!$B$16:$G$43,2,FALSE),IF($A225="MAT2",VLOOKUP($B225,'MAT2'!$B$16:$G$35,2,FALSE),IF($A225="MDEO",VLOOKUP($B225,MDEO!$B$16:$P$27,2,FALSE))))))</f>
        <v>Concreto 2500 psi en obra</v>
      </c>
      <c r="D225" s="721"/>
      <c r="E225" s="355" t="str">
        <f>IF($A225="EQUI",VLOOKUP($B225,EQUI!B$16:G$35,3,FALSE),IF($A225="TRAN",VLOOKUP($B225,TRAN!$B$16:$G$26,3,FALSE),IF($A225="MAT1",VLOOKUP($B225,'MAT1'!$B$16:$G$43,3,FALSE),IF($A225="MAT2",VLOOKUP($B225,'MAT2'!$B$16:$G$45,3,FALSE),IF($A225="MDEO",VLOOKUP($B225,MDEO!$B$16:$P$27,3,FALSE))))))</f>
        <v>M3</v>
      </c>
      <c r="F225" s="355">
        <f>IF($A225="EQUI",VLOOKUP($B225,EQUI!B$16:G$35,4,FALSE),IF($A225="TRAN",VLOOKUP($B225,TRAN!$B$16:$G$26,4,FALSE),IF($A225="MAT1",VLOOKUP($B225,'MAT1'!$B$16:$G$43,4,FALSE),IF($A225="MAT2",VLOOKUP($B225,'MAT2'!$B$16:$G$34,4,FALSE),IF($A225="MDEO",VLOOKUP($B225,MDEO!$B$16:$P$27,4,FALSE))))))</f>
        <v>439313</v>
      </c>
      <c r="G225" s="352">
        <f>0.1*0.6*0.3*4+0.6*0.6*0.1</f>
        <v>0.10799999999999998</v>
      </c>
      <c r="H225" s="404">
        <f>G225*F225</f>
        <v>47445.803999999996</v>
      </c>
      <c r="I225" s="403"/>
      <c r="K225" s="441">
        <f>+G225*G218</f>
        <v>17.819999999999997</v>
      </c>
      <c r="M225" s="430">
        <f>+G225*G218*7</f>
        <v>124.73999999999998</v>
      </c>
      <c r="N225" s="430">
        <f>+G225*G218*0.52</f>
        <v>9.2663999999999991</v>
      </c>
      <c r="O225" s="430">
        <f>+G225*G218*0.94</f>
        <v>16.750799999999995</v>
      </c>
    </row>
    <row r="226" spans="1:15" ht="12.75" customHeight="1" x14ac:dyDescent="0.3">
      <c r="A226" s="397" t="s">
        <v>522</v>
      </c>
      <c r="B226" s="398" t="s">
        <v>146</v>
      </c>
      <c r="C226" s="721" t="str">
        <f>IF($A226="EQUI",VLOOKUP($B226,EQUI!B$16:G$35,2,FALSE),IF($A226="TRAN",VLOOKUP($B226,TRAN!$B$16:$G$26,2,FALSE),IF($A226="MAT1",VLOOKUP($B226,'MAT1'!$B$16:$G$43,2,FALSE),IF($A226="MAT2",VLOOKUP($B226,'MAT2'!$B$16:$G$35,2,FALSE),IF($A226="MDEO",VLOOKUP($B226,MDEO!$B$16:$P$27,2,FALSE))))))</f>
        <v>herraje para caja domiciliaria inc. ref.</v>
      </c>
      <c r="D226" s="721"/>
      <c r="E226" s="355" t="str">
        <f>IF($A226="EQUI",VLOOKUP($B226,EQUI!B$16:G$35,3,FALSE),IF($A226="TRAN",VLOOKUP($B226,TRAN!$B$16:$G$26,3,FALSE),IF($A226="MAT1",VLOOKUP($B226,'MAT1'!$B$16:$G$43,3,FALSE),IF($A226="MAT2",VLOOKUP($B226,'MAT2'!$B$16:$G$45,3,FALSE),IF($A226="MDEO",VLOOKUP($B226,MDEO!$B$16:$P$27,3,FALSE))))))</f>
        <v>UN</v>
      </c>
      <c r="F226" s="355">
        <f>IF($A226="EQUI",VLOOKUP($B226,EQUI!B$16:G$35,4,FALSE),IF($A226="TRAN",VLOOKUP($B226,TRAN!$B$16:$G$26,4,FALSE),IF($A226="MAT1",VLOOKUP($B226,'MAT1'!$B$16:$G$43,4,FALSE),IF($A226="MAT2",VLOOKUP($B226,'MAT2'!$B$16:$G$34,4,FALSE),IF($A226="MDEO",VLOOKUP($B226,MDEO!$B$16:$P$27,4,FALSE))))))</f>
        <v>210000</v>
      </c>
      <c r="G226" s="352">
        <v>1</v>
      </c>
      <c r="H226" s="404">
        <f>G226*F226</f>
        <v>210000</v>
      </c>
      <c r="I226" s="403"/>
    </row>
    <row r="227" spans="1:15" ht="12.75" customHeight="1" x14ac:dyDescent="0.3">
      <c r="A227" s="397" t="s">
        <v>522</v>
      </c>
      <c r="B227" s="398" t="s">
        <v>1232</v>
      </c>
      <c r="C227" s="721" t="str">
        <f>IF($A227="EQUI",VLOOKUP($B227,EQUI!B$16:G$35,2,FALSE),IF($A227="TRAN",VLOOKUP($B227,TRAN!$B$16:$G$26,2,FALSE),IF($A227="MAT1",VLOOKUP($B227,'MAT1'!$B$16:$G$49,2,FALSE),IF($A227="MAT2",VLOOKUP($B227,'MAT2'!$B$16:$G$44,2,FALSE),IF($A227="MDEO",VLOOKUP($B227,MDEO!$B$16:$P$27,2,FALSE))))))</f>
        <v>tabla común 3m</v>
      </c>
      <c r="D227" s="721"/>
      <c r="E227" s="355" t="str">
        <f>IF($A227="EQUI",VLOOKUP($B227,EQUI!B$16:G$35,3,FALSE),IF($A227="TRAN",VLOOKUP($B227,TRAN!$B$16:$G$26,3,FALSE),IF($A227="MAT1",VLOOKUP($B227,'MAT1'!$B$16:$G$49,3,FALSE),IF($A227="MAT2",VLOOKUP($B227,'MAT2'!$B$16:$G$45,3,FALSE),IF($A227="MDEO",VLOOKUP($B227,MDEO!$B$16:$P$27,3,FALSE))))))</f>
        <v>UN</v>
      </c>
      <c r="F227" s="355">
        <f>IF($A227="EQUI",VLOOKUP($B227,EQUI!B$16:G$35,4,FALSE),IF($A227="TRAN",VLOOKUP($B227,TRAN!$B$16:$G$26,4,FALSE),IF($A227="MAT1",VLOOKUP($B227,'MAT1'!$B$16:$G$49,4,FALSE),IF($A227="MAT2",VLOOKUP($B227,'MAT2'!$B$16:$G$34,4,FALSE),IF($A227="MDEO",VLOOKUP($B227,MDEO!$B$16:$P$27,4,FALSE))))))</f>
        <v>7500</v>
      </c>
      <c r="G227" s="352">
        <v>1</v>
      </c>
      <c r="H227" s="404">
        <f>G227*F227</f>
        <v>7500</v>
      </c>
      <c r="I227" s="403"/>
    </row>
    <row r="228" spans="1:15" ht="12.75" customHeight="1" x14ac:dyDescent="0.3">
      <c r="A228" s="401"/>
      <c r="C228" s="352"/>
      <c r="D228" s="417"/>
      <c r="E228" s="352"/>
      <c r="F228" s="413" t="s">
        <v>32</v>
      </c>
      <c r="G228" s="402" t="str">
        <f>+B217</f>
        <v>2.5</v>
      </c>
      <c r="H228" s="402" t="s">
        <v>300</v>
      </c>
      <c r="I228" s="396">
        <f>SUM(H225:H227)</f>
        <v>264945.804</v>
      </c>
    </row>
    <row r="229" spans="1:15" ht="12.75" customHeight="1" x14ac:dyDescent="0.3">
      <c r="A229" s="395" t="s">
        <v>15</v>
      </c>
      <c r="B229" s="386"/>
      <c r="C229" s="352"/>
      <c r="D229" s="417"/>
      <c r="E229" s="352"/>
      <c r="F229" s="352"/>
      <c r="G229" s="352"/>
      <c r="H229" s="352"/>
      <c r="I229" s="403"/>
    </row>
    <row r="230" spans="1:15" ht="18" customHeight="1" x14ac:dyDescent="0.3">
      <c r="A230" s="720" t="s">
        <v>19</v>
      </c>
      <c r="B230" s="712"/>
      <c r="C230" s="712"/>
      <c r="D230" s="355" t="s">
        <v>43</v>
      </c>
      <c r="E230" s="350" t="s">
        <v>44</v>
      </c>
      <c r="F230" s="355" t="s">
        <v>45</v>
      </c>
      <c r="G230" s="350" t="s">
        <v>17</v>
      </c>
      <c r="H230" s="350" t="s">
        <v>30</v>
      </c>
      <c r="I230" s="403"/>
    </row>
    <row r="231" spans="1:15" ht="12.75" customHeight="1" x14ac:dyDescent="0.3">
      <c r="A231" s="405" t="s">
        <v>3</v>
      </c>
      <c r="B231" s="406"/>
      <c r="C231" s="440"/>
      <c r="D231" s="355"/>
      <c r="E231" s="352"/>
      <c r="F231" s="352"/>
      <c r="G231" s="352"/>
      <c r="H231" s="352">
        <f>+G231*F231</f>
        <v>0</v>
      </c>
      <c r="I231" s="403"/>
    </row>
    <row r="232" spans="1:15" ht="12.75" customHeight="1" x14ac:dyDescent="0.3">
      <c r="A232" s="401"/>
      <c r="C232" s="352"/>
      <c r="D232" s="417"/>
      <c r="E232" s="352"/>
      <c r="F232" s="413" t="s">
        <v>32</v>
      </c>
      <c r="G232" s="402" t="str">
        <f>+B217</f>
        <v>2.5</v>
      </c>
      <c r="H232" s="402" t="s">
        <v>301</v>
      </c>
      <c r="I232" s="403">
        <f>SUM(H231:H231)</f>
        <v>0</v>
      </c>
    </row>
    <row r="233" spans="1:15" ht="12.75" customHeight="1" x14ac:dyDescent="0.3">
      <c r="A233" s="395" t="s">
        <v>1107</v>
      </c>
      <c r="B233" s="386"/>
      <c r="C233" s="352"/>
      <c r="D233" s="417"/>
      <c r="E233" s="352"/>
      <c r="F233" s="352"/>
      <c r="G233" s="352"/>
      <c r="H233" s="352"/>
      <c r="I233" s="403"/>
    </row>
    <row r="234" spans="1:15" ht="12.75" customHeight="1" x14ac:dyDescent="0.3">
      <c r="A234" s="722" t="s">
        <v>47</v>
      </c>
      <c r="B234" s="723"/>
      <c r="C234" s="723"/>
      <c r="D234" s="355" t="s">
        <v>48</v>
      </c>
      <c r="E234" s="355" t="s">
        <v>109</v>
      </c>
      <c r="F234" s="380" t="s">
        <v>49</v>
      </c>
      <c r="G234" s="380" t="s">
        <v>29</v>
      </c>
      <c r="H234" s="355" t="s">
        <v>30</v>
      </c>
      <c r="I234" s="407"/>
    </row>
    <row r="235" spans="1:15" ht="12.75" customHeight="1" x14ac:dyDescent="0.3">
      <c r="A235" s="405" t="s">
        <v>4</v>
      </c>
      <c r="B235" s="408" t="s">
        <v>175</v>
      </c>
      <c r="C235" s="409" t="str">
        <f>IF($A235="EQUI",VLOOKUP($B235,EQUI!B$16:G$37,2,FALSE),IF($A235="TRAN",VLOOKUP($B235,TRAN!$B$16:$G$26,2,FALSE),IF($A235="MAT",VLOOKUP($B235,'MAT1'!$B$16:$G$43,2,FALSE),IF($A235="MDEO",VLOOKUP($B235,MDEO!$B$16:$P$27,2,FALSE)))))</f>
        <v xml:space="preserve">oficial </v>
      </c>
      <c r="D235" s="449">
        <f>IF($A235="EQUI",VLOOKUP($B235,EQUI!B$16:G$35,3,FALSE),IF($A235="TRAN",VLOOKUP($B235,TRAN!$B$16:$G$26,3,FALSE),IF($A235="MAT",VLOOKUP($B235,'MAT1'!$B$16:$G$43,3,FALSE),IF($A235="MDEO",VLOOKUP($B235,MDEO!$B$16:$P$33,10,FALSE)))))</f>
        <v>12336.644836388892</v>
      </c>
      <c r="E235" s="410"/>
      <c r="F235" s="438">
        <f>+D235+D235*E235</f>
        <v>12336.644836388892</v>
      </c>
      <c r="G235" s="412">
        <v>1.5</v>
      </c>
      <c r="H235" s="411">
        <f>G235*F235</f>
        <v>18504.967254583338</v>
      </c>
      <c r="I235" s="403"/>
    </row>
    <row r="236" spans="1:15" ht="12.75" customHeight="1" x14ac:dyDescent="0.3">
      <c r="A236" s="405" t="s">
        <v>4</v>
      </c>
      <c r="B236" s="408" t="s">
        <v>176</v>
      </c>
      <c r="C236" s="409" t="str">
        <f>IF($A236="EQUI",VLOOKUP($B236,EQUI!B$16:G$37,2,FALSE),IF($A236="TRAN",VLOOKUP($B236,TRAN!$B$16:$G$26,2,FALSE),IF($A236="MAT",VLOOKUP($B236,'MAT1'!$B$16:$G$43,2,FALSE),IF($A236="MDEO",VLOOKUP($B236,MDEO!$B$16:$P$27,2,FALSE)))))</f>
        <v xml:space="preserve">ayudante entendido </v>
      </c>
      <c r="D236" s="449">
        <f>IF($A236="EQUI",VLOOKUP($B236,EQUI!B$16:G$35,3,FALSE),IF($A236="TRAN",VLOOKUP($B236,TRAN!$B$16:$G$26,3,FALSE),IF($A236="MAT",VLOOKUP($B236,'MAT1'!$B$16:$G$43,3,FALSE),IF($A236="MDEO",VLOOKUP($B236,MDEO!$B$16:$P$33,10,FALSE)))))</f>
        <v>11136.644836388892</v>
      </c>
      <c r="E236" s="410"/>
      <c r="F236" s="438">
        <f>+D236+D236*E236</f>
        <v>11136.644836388892</v>
      </c>
      <c r="G236" s="412">
        <v>1.5</v>
      </c>
      <c r="H236" s="411">
        <f>G236*F236</f>
        <v>16704.967254583338</v>
      </c>
      <c r="I236" s="403"/>
    </row>
    <row r="237" spans="1:15" ht="12.75" customHeight="1" x14ac:dyDescent="0.3">
      <c r="A237" s="405" t="s">
        <v>4</v>
      </c>
      <c r="B237" s="408" t="s">
        <v>177</v>
      </c>
      <c r="C237" s="409" t="str">
        <f>IF($A237="EQUI",VLOOKUP($B237,EQUI!B$16:G$37,2,FALSE),IF($A237="TRAN",VLOOKUP($B237,TRAN!$B$16:$G$26,2,FALSE),IF($A237="MAT",VLOOKUP($B237,'MAT1'!$B$16:$G$43,2,FALSE),IF($A237="MDEO",VLOOKUP($B237,MDEO!$B$16:$P$27,2,FALSE)))))</f>
        <v xml:space="preserve">ayudante </v>
      </c>
      <c r="D237" s="449">
        <f>IF($A237="EQUI",VLOOKUP($B237,EQUI!B$16:G$35,3,FALSE),IF($A237="TRAN",VLOOKUP($B237,TRAN!$B$16:$G$26,3,FALSE),IF($A237="MAT",VLOOKUP($B237,'MAT1'!$B$16:$G$43,3,FALSE),IF($A237="MDEO",VLOOKUP($B237,MDEO!$B$16:$P$33,10,FALSE)))))</f>
        <v>10336.644836388892</v>
      </c>
      <c r="E237" s="410"/>
      <c r="F237" s="438">
        <f>+D237+D237*E237</f>
        <v>10336.644836388892</v>
      </c>
      <c r="G237" s="412">
        <v>1.5</v>
      </c>
      <c r="H237" s="411">
        <f>G237*F237</f>
        <v>15504.967254583338</v>
      </c>
      <c r="I237" s="403"/>
    </row>
    <row r="238" spans="1:15" ht="12.75" customHeight="1" x14ac:dyDescent="0.3">
      <c r="A238" s="405" t="s">
        <v>4</v>
      </c>
      <c r="B238" s="408" t="s">
        <v>178</v>
      </c>
      <c r="C238" s="409" t="str">
        <f>IF($A238="EQUI",VLOOKUP($B238,EQUI!B$16:G$37,2,FALSE),IF($A238="TRAN",VLOOKUP($B238,TRAN!$B$16:$G$26,2,FALSE),IF($A238="MAT",VLOOKUP($B238,'MAT1'!$B$16:$G$43,2,FALSE),IF($A238="MDEO",VLOOKUP($B238,MDEO!$B$16:$P$33,2,FALSE)))))</f>
        <v>contra maestro</v>
      </c>
      <c r="D238" s="449">
        <f>IF($A238="EQUI",VLOOKUP($B238,EQUI!B$16:G$35,3,FALSE),IF($A238="TRAN",VLOOKUP($B238,TRAN!$B$16:$G$26,3,FALSE),IF($A238="MAT",VLOOKUP($B238,'MAT1'!$B$16:$G$43,3,FALSE),IF($A238="MDEO",VLOOKUP($B238,MDEO!$B$16:$P$33,10,FALSE)))))</f>
        <v>12974.601086388891</v>
      </c>
      <c r="E238" s="410"/>
      <c r="F238" s="438">
        <f>+D238+D238*E238</f>
        <v>12974.601086388891</v>
      </c>
      <c r="G238" s="412">
        <f>+G235*0.1</f>
        <v>0.15000000000000002</v>
      </c>
      <c r="H238" s="411">
        <f>G238*F238</f>
        <v>1946.190162958334</v>
      </c>
      <c r="I238" s="403"/>
    </row>
    <row r="239" spans="1:15" ht="12.75" customHeight="1" x14ac:dyDescent="0.3">
      <c r="A239" s="720"/>
      <c r="B239" s="712"/>
      <c r="C239" s="352"/>
      <c r="D239" s="417"/>
      <c r="E239" s="352"/>
      <c r="F239" s="352"/>
      <c r="G239" s="352"/>
      <c r="H239" s="352"/>
      <c r="I239" s="403"/>
    </row>
    <row r="240" spans="1:15" ht="12.75" customHeight="1" x14ac:dyDescent="0.3">
      <c r="A240" s="401"/>
      <c r="C240" s="352"/>
      <c r="D240" s="417"/>
      <c r="E240" s="352"/>
      <c r="F240" s="413" t="s">
        <v>32</v>
      </c>
      <c r="G240" s="402" t="str">
        <f>+B217</f>
        <v>2.5</v>
      </c>
      <c r="H240" s="413" t="s">
        <v>302</v>
      </c>
      <c r="I240" s="396">
        <f>SUM(H235:H239)</f>
        <v>52661.091926708352</v>
      </c>
    </row>
    <row r="241" spans="1:9" ht="12.75" customHeight="1" x14ac:dyDescent="0.3">
      <c r="A241" s="401" t="s">
        <v>54</v>
      </c>
      <c r="C241" s="352"/>
      <c r="D241" s="417"/>
      <c r="E241" s="352"/>
      <c r="F241" s="352"/>
      <c r="G241" s="352"/>
      <c r="H241" s="350"/>
      <c r="I241" s="396">
        <f>I240*0.05</f>
        <v>2633.054596335418</v>
      </c>
    </row>
    <row r="242" spans="1:9" ht="12.75" customHeight="1" x14ac:dyDescent="0.3">
      <c r="A242" s="401"/>
      <c r="C242" s="352"/>
      <c r="D242" s="417"/>
      <c r="E242" s="352"/>
      <c r="F242" s="413" t="s">
        <v>55</v>
      </c>
      <c r="G242" s="350"/>
      <c r="H242" s="350"/>
      <c r="I242" s="396">
        <f>ROUND(I240+I241+I228+I222+I232,0)</f>
        <v>320240</v>
      </c>
    </row>
    <row r="243" spans="1:9" ht="12.75" customHeight="1" x14ac:dyDescent="0.3">
      <c r="A243" s="414"/>
      <c r="B243" s="415"/>
      <c r="C243" s="415"/>
      <c r="D243" s="450"/>
      <c r="E243" s="415"/>
      <c r="F243" s="415"/>
      <c r="G243" s="415"/>
      <c r="H243" s="415"/>
      <c r="I243" s="396"/>
    </row>
    <row r="244" spans="1:9" ht="76.95" customHeight="1" x14ac:dyDescent="0.3">
      <c r="A244" s="724" t="s">
        <v>114</v>
      </c>
      <c r="B244" s="710"/>
      <c r="C244" s="710"/>
      <c r="D244" s="450"/>
      <c r="E244" s="415"/>
      <c r="F244" s="710" t="s">
        <v>396</v>
      </c>
      <c r="G244" s="710"/>
      <c r="H244" s="710"/>
      <c r="I244" s="711"/>
    </row>
    <row r="245" spans="1:9" ht="12.75" customHeight="1" x14ac:dyDescent="0.3">
      <c r="A245" s="397" t="s">
        <v>111</v>
      </c>
      <c r="B245" s="712"/>
      <c r="C245" s="712"/>
      <c r="D245" s="417"/>
      <c r="E245" s="352"/>
      <c r="F245" s="350" t="s">
        <v>111</v>
      </c>
      <c r="G245" s="712"/>
      <c r="H245" s="712"/>
      <c r="I245" s="713"/>
    </row>
    <row r="246" spans="1:9" ht="12.75" customHeight="1" x14ac:dyDescent="0.3">
      <c r="A246" s="439" t="s">
        <v>115</v>
      </c>
      <c r="B246" s="710" t="s">
        <v>1551</v>
      </c>
      <c r="C246" s="710"/>
      <c r="F246" s="432" t="s">
        <v>112</v>
      </c>
      <c r="G246" s="712"/>
      <c r="H246" s="712"/>
      <c r="I246" s="713"/>
    </row>
    <row r="247" spans="1:9" ht="12.75" customHeight="1" x14ac:dyDescent="0.3">
      <c r="A247" s="439" t="s">
        <v>113</v>
      </c>
      <c r="B247" s="710" t="s">
        <v>1554</v>
      </c>
      <c r="C247" s="710"/>
      <c r="F247" s="432" t="s">
        <v>113</v>
      </c>
      <c r="G247" s="712"/>
      <c r="H247" s="712"/>
      <c r="I247" s="713"/>
    </row>
    <row r="248" spans="1:9" ht="12.75" customHeight="1" x14ac:dyDescent="0.3">
      <c r="A248" s="439"/>
      <c r="B248" s="350"/>
      <c r="C248" s="350"/>
      <c r="F248" s="432"/>
      <c r="G248" s="350"/>
      <c r="H248" s="350"/>
      <c r="I248" s="416"/>
    </row>
    <row r="249" spans="1:9" ht="12.75" customHeight="1" x14ac:dyDescent="0.3">
      <c r="A249" s="735" t="s">
        <v>110</v>
      </c>
      <c r="B249" s="736"/>
      <c r="C249" s="736"/>
      <c r="D249" s="736"/>
      <c r="E249" s="736"/>
      <c r="F249" s="736"/>
      <c r="G249" s="736"/>
      <c r="H249" s="736"/>
      <c r="I249" s="737"/>
    </row>
    <row r="250" spans="1:9" ht="28.95" customHeight="1" x14ac:dyDescent="0.3">
      <c r="A250" s="729"/>
      <c r="B250" s="730"/>
      <c r="C250" s="730"/>
      <c r="D250" s="730"/>
      <c r="E250" s="730"/>
      <c r="F250" s="730"/>
      <c r="G250" s="730"/>
      <c r="H250" s="730"/>
      <c r="I250" s="731"/>
    </row>
    <row r="251" spans="1:9" ht="18" customHeight="1" x14ac:dyDescent="0.3">
      <c r="A251" s="714"/>
      <c r="B251" s="715"/>
      <c r="C251" s="715"/>
      <c r="D251" s="715"/>
      <c r="E251" s="715"/>
      <c r="F251" s="715"/>
      <c r="G251" s="715"/>
      <c r="H251" s="715"/>
      <c r="I251" s="716"/>
    </row>
    <row r="252" spans="1:9" ht="12.75" customHeight="1" x14ac:dyDescent="0.3">
      <c r="A252" s="725" t="s">
        <v>68</v>
      </c>
      <c r="B252" s="726"/>
      <c r="C252" s="726"/>
      <c r="D252" s="726"/>
      <c r="E252" s="726"/>
      <c r="F252" s="726"/>
      <c r="G252" s="726"/>
      <c r="H252" s="726"/>
      <c r="I252" s="727"/>
    </row>
    <row r="253" spans="1:9" ht="12.75" customHeight="1" x14ac:dyDescent="0.3">
      <c r="A253" s="390" t="s">
        <v>69</v>
      </c>
      <c r="B253" s="391" t="s">
        <v>218</v>
      </c>
      <c r="C253" s="710" t="s">
        <v>70</v>
      </c>
      <c r="D253" s="723" t="str">
        <f>VLOOKUP(B253,'AJUSTE PRESUPUESTO'!$A$18:$I$95,3,FALSE)</f>
        <v>Realce de cajas domiciliarias medidor acueducto incluye formaleta y aprovechamiento de la tapa</v>
      </c>
      <c r="E253" s="723"/>
      <c r="F253" s="723"/>
      <c r="G253" s="723"/>
      <c r="H253" s="723"/>
      <c r="I253" s="728"/>
    </row>
    <row r="254" spans="1:9" x14ac:dyDescent="0.3">
      <c r="A254" s="390" t="s">
        <v>71</v>
      </c>
      <c r="B254" s="391" t="str">
        <f>VLOOKUP(B253,[6]PRESUPUESTO!$A$18:$I$90,2,FALSE)</f>
        <v>812-EPM</v>
      </c>
      <c r="C254" s="710"/>
      <c r="D254" s="355" t="s">
        <v>12</v>
      </c>
      <c r="E254" s="392" t="s">
        <v>12</v>
      </c>
      <c r="F254" s="392" t="s">
        <v>13</v>
      </c>
      <c r="G254" s="392">
        <f>VLOOKUP(B253,PRESUPUESTO!$A$15:$I$1652,6,FALSE)</f>
        <v>165</v>
      </c>
      <c r="H254" s="393" t="s">
        <v>27</v>
      </c>
      <c r="I254" s="394">
        <f>+I276</f>
        <v>76455</v>
      </c>
    </row>
    <row r="255" spans="1:9" ht="12.75" customHeight="1" x14ac:dyDescent="0.3">
      <c r="A255" s="395" t="s">
        <v>14</v>
      </c>
      <c r="B255" s="386"/>
      <c r="C255" s="352"/>
      <c r="D255" s="417"/>
      <c r="E255" s="352"/>
      <c r="F255" s="352"/>
      <c r="G255" s="352"/>
      <c r="H255" s="352"/>
      <c r="I255" s="396"/>
    </row>
    <row r="256" spans="1:9" ht="12.75" customHeight="1" x14ac:dyDescent="0.3">
      <c r="A256" s="720" t="s">
        <v>19</v>
      </c>
      <c r="B256" s="712"/>
      <c r="C256" s="712"/>
      <c r="D256" s="712"/>
      <c r="E256" s="712"/>
      <c r="F256" s="350" t="s">
        <v>28</v>
      </c>
      <c r="G256" s="350" t="s">
        <v>29</v>
      </c>
      <c r="H256" s="350" t="s">
        <v>30</v>
      </c>
      <c r="I256" s="403"/>
    </row>
    <row r="257" spans="1:15" ht="12.75" customHeight="1" x14ac:dyDescent="0.3">
      <c r="A257" s="397" t="s">
        <v>1</v>
      </c>
      <c r="B257" s="398"/>
      <c r="C257" s="721"/>
      <c r="D257" s="721"/>
      <c r="E257" s="721"/>
      <c r="F257" s="355"/>
      <c r="G257" s="352"/>
      <c r="H257" s="404">
        <f>+F257*G257</f>
        <v>0</v>
      </c>
      <c r="I257" s="403"/>
    </row>
    <row r="258" spans="1:15" ht="12.75" customHeight="1" x14ac:dyDescent="0.3">
      <c r="A258" s="401"/>
      <c r="C258" s="352"/>
      <c r="D258" s="417"/>
      <c r="E258" s="352"/>
      <c r="F258" s="413" t="s">
        <v>32</v>
      </c>
      <c r="G258" s="402" t="str">
        <f>+B253</f>
        <v>2.6</v>
      </c>
      <c r="H258" s="402" t="s">
        <v>303</v>
      </c>
      <c r="I258" s="396">
        <f>SUM(H257:H257)</f>
        <v>0</v>
      </c>
    </row>
    <row r="259" spans="1:15" ht="12.75" customHeight="1" x14ac:dyDescent="0.3">
      <c r="A259" s="395" t="s">
        <v>34</v>
      </c>
      <c r="B259" s="386"/>
      <c r="C259" s="352"/>
      <c r="D259" s="417"/>
      <c r="E259" s="352"/>
      <c r="F259" s="352"/>
      <c r="G259" s="352"/>
      <c r="H259" s="352"/>
      <c r="I259" s="403"/>
    </row>
    <row r="260" spans="1:15" ht="12.75" customHeight="1" x14ac:dyDescent="0.3">
      <c r="A260" s="720" t="s">
        <v>35</v>
      </c>
      <c r="B260" s="712"/>
      <c r="C260" s="712"/>
      <c r="D260" s="712"/>
      <c r="E260" s="350" t="s">
        <v>12</v>
      </c>
      <c r="F260" s="350" t="s">
        <v>36</v>
      </c>
      <c r="G260" s="350" t="s">
        <v>37</v>
      </c>
      <c r="H260" s="350" t="s">
        <v>38</v>
      </c>
      <c r="I260" s="403"/>
    </row>
    <row r="261" spans="1:15" ht="12.75" customHeight="1" x14ac:dyDescent="0.3">
      <c r="A261" s="397" t="s">
        <v>523</v>
      </c>
      <c r="B261" s="398" t="s">
        <v>138</v>
      </c>
      <c r="C261" s="721" t="str">
        <f>IF($A261="EQUI",VLOOKUP($B261,EQUI!B$16:G$35,2,FALSE),IF($A261="TRAN",VLOOKUP($B261,TRAN!$B$16:$G$26,2,FALSE),IF($A261="MAT1",VLOOKUP($B261,'MAT1'!$B$16:$G$43,2,FALSE),IF($A261="MAT2",VLOOKUP($B261,'MAT2'!$B$16:$G$35,2,FALSE),IF($A261="MDEO",VLOOKUP($B261,MDEO!$B$16:$P$27,2,FALSE))))))</f>
        <v>Concreto 2500 psi en obra</v>
      </c>
      <c r="D261" s="721"/>
      <c r="E261" s="355" t="str">
        <f>IF($A261="EQUI",VLOOKUP($B261,EQUI!B$16:G$35,3,FALSE),IF($A261="TRAN",VLOOKUP($B261,TRAN!$B$16:$G$26,3,FALSE),IF($A261="MAT1",VLOOKUP($B261,'MAT1'!$B$16:$G$43,3,FALSE),IF($A261="MAT2",VLOOKUP($B261,'MAT2'!$B$16:$G$45,3,FALSE),IF($A261="MDEO",VLOOKUP($B261,MDEO!$B$16:$P$27,3,FALSE))))))</f>
        <v>M3</v>
      </c>
      <c r="F261" s="355">
        <f>IF($A261="EQUI",VLOOKUP($B261,EQUI!B$16:G$35,4,FALSE),IF($A261="TRAN",VLOOKUP($B261,TRAN!$B$16:$G$26,4,FALSE),IF($A261="MAT1",VLOOKUP($B261,'MAT1'!$B$16:$G$43,4,FALSE),IF($A261="MAT2",VLOOKUP($B261,'MAT2'!$B$16:$G$34,4,FALSE),IF($A261="MDEO",VLOOKUP($B261,MDEO!$B$16:$P$27,4,FALSE))))))</f>
        <v>439313</v>
      </c>
      <c r="G261" s="352">
        <f>0.1*0.6*0.3*4+0.6*0.6*0.1</f>
        <v>0.10799999999999998</v>
      </c>
      <c r="H261" s="404">
        <f>+G261*F261</f>
        <v>47445.803999999996</v>
      </c>
      <c r="I261" s="403"/>
      <c r="K261" s="441">
        <f>+G261*G254</f>
        <v>17.819999999999997</v>
      </c>
      <c r="M261" s="430">
        <f>+G261*G254*7</f>
        <v>124.73999999999998</v>
      </c>
      <c r="N261" s="430">
        <f>+G261*G254*0.52</f>
        <v>9.2663999999999991</v>
      </c>
      <c r="O261" s="430">
        <f>+G261*G254*0.94</f>
        <v>16.750799999999995</v>
      </c>
    </row>
    <row r="262" spans="1:15" ht="12.75" customHeight="1" x14ac:dyDescent="0.3">
      <c r="A262" s="397" t="s">
        <v>522</v>
      </c>
      <c r="B262" s="398" t="s">
        <v>1232</v>
      </c>
      <c r="C262" s="721" t="str">
        <f>IF($A262="EQUI",VLOOKUP($B262,EQUI!B$16:G$35,2,FALSE),IF($A262="TRAN",VLOOKUP($B262,TRAN!$B$16:$G$26,2,FALSE),IF($A262="MAT1",VLOOKUP($B262,'MAT1'!$B$16:$G$49,2,FALSE),IF($A262="MAT2",VLOOKUP($B262,'MAT2'!$B$16:$G$44,2,FALSE),IF($A262="MDEO",VLOOKUP($B262,MDEO!$B$16:$P$27,2,FALSE))))))</f>
        <v>tabla común 3m</v>
      </c>
      <c r="D262" s="721"/>
      <c r="E262" s="355" t="str">
        <f>IF($A262="EQUI",VLOOKUP($B262,EQUI!B$16:G$35,3,FALSE),IF($A262="TRAN",VLOOKUP($B262,TRAN!$B$16:$G$26,3,FALSE),IF($A262="MAT1",VLOOKUP($B262,'MAT1'!$B$16:$G$49,3,FALSE),IF($A262="MAT2",VLOOKUP($B262,'MAT2'!$B$16:$G$45,3,FALSE),IF($A262="MDEO",VLOOKUP($B262,MDEO!$B$16:$P$27,3,FALSE))))))</f>
        <v>UN</v>
      </c>
      <c r="F262" s="355">
        <f>IF($A262="EQUI",VLOOKUP($B262,EQUI!B$16:G$35,4,FALSE),IF($A262="TRAN",VLOOKUP($B262,TRAN!$B$16:$G$26,4,FALSE),IF($A262="MAT1",VLOOKUP($B262,'MAT1'!$B$16:$G$49,4,FALSE),IF($A262="MAT2",VLOOKUP($B262,'MAT2'!$B$16:$G$34,4,FALSE),IF($A262="MDEO",VLOOKUP($B262,MDEO!$B$16:$P$27,4,FALSE))))))</f>
        <v>7500</v>
      </c>
      <c r="G262" s="352">
        <v>0.4</v>
      </c>
      <c r="H262" s="404">
        <f>G262*F262</f>
        <v>3000</v>
      </c>
      <c r="I262" s="403"/>
    </row>
    <row r="263" spans="1:15" ht="12.75" customHeight="1" x14ac:dyDescent="0.3">
      <c r="A263" s="401"/>
      <c r="C263" s="352"/>
      <c r="D263" s="417"/>
      <c r="E263" s="352"/>
      <c r="F263" s="413" t="s">
        <v>32</v>
      </c>
      <c r="G263" s="402" t="str">
        <f>+B253</f>
        <v>2.6</v>
      </c>
      <c r="H263" s="402" t="s">
        <v>304</v>
      </c>
      <c r="I263" s="396">
        <f>SUM(H261:H262)</f>
        <v>50445.803999999996</v>
      </c>
    </row>
    <row r="264" spans="1:15" ht="12.75" customHeight="1" x14ac:dyDescent="0.3">
      <c r="A264" s="395" t="s">
        <v>15</v>
      </c>
      <c r="B264" s="386"/>
      <c r="C264" s="352"/>
      <c r="D264" s="417"/>
      <c r="E264" s="352"/>
      <c r="F264" s="352"/>
      <c r="G264" s="352"/>
      <c r="H264" s="352"/>
      <c r="I264" s="403"/>
    </row>
    <row r="265" spans="1:15" ht="12.75" customHeight="1" x14ac:dyDescent="0.3">
      <c r="A265" s="720" t="s">
        <v>19</v>
      </c>
      <c r="B265" s="712"/>
      <c r="C265" s="712"/>
      <c r="D265" s="355" t="s">
        <v>43</v>
      </c>
      <c r="E265" s="350" t="s">
        <v>44</v>
      </c>
      <c r="F265" s="355" t="s">
        <v>45</v>
      </c>
      <c r="G265" s="350" t="s">
        <v>17</v>
      </c>
      <c r="H265" s="350" t="s">
        <v>30</v>
      </c>
      <c r="I265" s="403"/>
    </row>
    <row r="266" spans="1:15" ht="12.75" customHeight="1" x14ac:dyDescent="0.3">
      <c r="A266" s="405" t="s">
        <v>3</v>
      </c>
      <c r="B266" s="406"/>
      <c r="C266" s="440"/>
      <c r="D266" s="355"/>
      <c r="E266" s="352"/>
      <c r="F266" s="352"/>
      <c r="G266" s="352"/>
      <c r="H266" s="352">
        <f>+G266*F266</f>
        <v>0</v>
      </c>
      <c r="I266" s="403"/>
    </row>
    <row r="267" spans="1:15" ht="12.75" customHeight="1" x14ac:dyDescent="0.3">
      <c r="A267" s="401"/>
      <c r="C267" s="352"/>
      <c r="D267" s="417"/>
      <c r="E267" s="352"/>
      <c r="F267" s="413" t="s">
        <v>32</v>
      </c>
      <c r="G267" s="402" t="str">
        <f>+B253</f>
        <v>2.6</v>
      </c>
      <c r="H267" s="402" t="s">
        <v>305</v>
      </c>
      <c r="I267" s="403">
        <f>SUM(H266:H266)</f>
        <v>0</v>
      </c>
    </row>
    <row r="268" spans="1:15" ht="12.75" customHeight="1" x14ac:dyDescent="0.3">
      <c r="A268" s="395" t="s">
        <v>1107</v>
      </c>
      <c r="B268" s="386"/>
      <c r="C268" s="352"/>
      <c r="D268" s="417"/>
      <c r="E268" s="352"/>
      <c r="F268" s="352"/>
      <c r="G268" s="352"/>
      <c r="H268" s="352"/>
      <c r="I268" s="403"/>
    </row>
    <row r="269" spans="1:15" ht="12.75" customHeight="1" x14ac:dyDescent="0.3">
      <c r="A269" s="722" t="s">
        <v>47</v>
      </c>
      <c r="B269" s="723"/>
      <c r="C269" s="723"/>
      <c r="D269" s="355" t="s">
        <v>48</v>
      </c>
      <c r="E269" s="355" t="s">
        <v>109</v>
      </c>
      <c r="F269" s="380" t="s">
        <v>49</v>
      </c>
      <c r="G269" s="380" t="s">
        <v>29</v>
      </c>
      <c r="H269" s="355" t="s">
        <v>30</v>
      </c>
      <c r="I269" s="407"/>
    </row>
    <row r="270" spans="1:15" ht="12.75" customHeight="1" x14ac:dyDescent="0.3">
      <c r="A270" s="405" t="s">
        <v>4</v>
      </c>
      <c r="B270" s="408" t="s">
        <v>175</v>
      </c>
      <c r="C270" s="409" t="str">
        <f>IF($A270="EQUI",VLOOKUP($B270,EQUI!B$16:G$37,2,FALSE),IF($A270="TRAN",VLOOKUP($B270,TRAN!$B$16:$G$26,2,FALSE),IF($A270="MAT",VLOOKUP($B270,'MAT1'!$B$16:$G$43,2,FALSE),IF($A270="MDEO",VLOOKUP($B270,MDEO!$B$16:$P$27,2,FALSE)))))</f>
        <v xml:space="preserve">oficial </v>
      </c>
      <c r="D270" s="449">
        <f>IF($A270="EQUI",VLOOKUP($B270,EQUI!B$16:G$35,3,FALSE),IF($A270="TRAN",VLOOKUP($B270,TRAN!$B$16:$G$26,3,FALSE),IF($A270="MAT",VLOOKUP($B270,'MAT1'!$B$16:$G$43,3,FALSE),IF($A270="MDEO",VLOOKUP($B270,MDEO!$B$16:$P$33,10,FALSE)))))</f>
        <v>12336.644836388892</v>
      </c>
      <c r="E270" s="410"/>
      <c r="F270" s="438">
        <f>+D270+D270*E270</f>
        <v>12336.644836388892</v>
      </c>
      <c r="G270" s="412">
        <v>1</v>
      </c>
      <c r="H270" s="411">
        <f>G270*F270</f>
        <v>12336.644836388892</v>
      </c>
      <c r="I270" s="403"/>
    </row>
    <row r="271" spans="1:15" ht="12.75" customHeight="1" x14ac:dyDescent="0.3">
      <c r="A271" s="405" t="s">
        <v>4</v>
      </c>
      <c r="B271" s="408" t="s">
        <v>176</v>
      </c>
      <c r="C271" s="409" t="str">
        <f>IF($A271="EQUI",VLOOKUP($B271,EQUI!B$16:G$37,2,FALSE),IF($A271="TRAN",VLOOKUP($B271,TRAN!$B$16:$G$26,2,FALSE),IF($A271="MAT",VLOOKUP($B271,'MAT1'!$B$16:$G$43,2,FALSE),IF($A271="MDEO",VLOOKUP($B271,MDEO!$B$16:$P$27,2,FALSE)))))</f>
        <v xml:space="preserve">ayudante entendido </v>
      </c>
      <c r="D271" s="449">
        <f>IF($A271="EQUI",VLOOKUP($B271,EQUI!B$16:G$35,3,FALSE),IF($A271="TRAN",VLOOKUP($B271,TRAN!$B$16:$G$26,3,FALSE),IF($A271="MAT",VLOOKUP($B271,'MAT1'!$B$16:$G$43,3,FALSE),IF($A271="MDEO",VLOOKUP($B271,MDEO!$B$16:$P$33,10,FALSE)))))</f>
        <v>11136.644836388892</v>
      </c>
      <c r="E271" s="410"/>
      <c r="F271" s="438">
        <f>+D271+D271*E271</f>
        <v>11136.644836388892</v>
      </c>
      <c r="G271" s="412">
        <v>1</v>
      </c>
      <c r="H271" s="411">
        <f>G271*F271</f>
        <v>11136.644836388892</v>
      </c>
      <c r="I271" s="403"/>
    </row>
    <row r="272" spans="1:15" ht="12.75" customHeight="1" x14ac:dyDescent="0.3">
      <c r="A272" s="405" t="s">
        <v>4</v>
      </c>
      <c r="B272" s="408" t="s">
        <v>178</v>
      </c>
      <c r="C272" s="409" t="str">
        <f>IF($A272="EQUI",VLOOKUP($B272,EQUI!B$16:G$37,2,FALSE),IF($A272="TRAN",VLOOKUP($B272,TRAN!$B$16:$G$26,2,FALSE),IF($A272="MAT",VLOOKUP($B272,'MAT1'!$B$16:$G$43,2,FALSE),IF($A272="MDEO",VLOOKUP($B272,MDEO!$B$16:$P$33,2,FALSE)))))</f>
        <v>contra maestro</v>
      </c>
      <c r="D272" s="449">
        <f>IF($A272="EQUI",VLOOKUP($B272,EQUI!B$16:G$35,3,FALSE),IF($A272="TRAN",VLOOKUP($B272,TRAN!$B$16:$G$26,3,FALSE),IF($A272="MAT",VLOOKUP($B272,'MAT1'!$B$16:$G$43,3,FALSE),IF($A272="MDEO",VLOOKUP($B272,MDEO!$B$16:$P$33,10,FALSE)))))</f>
        <v>12974.601086388891</v>
      </c>
      <c r="E272" s="410"/>
      <c r="F272" s="438">
        <f>+D272+D272*E272</f>
        <v>12974.601086388891</v>
      </c>
      <c r="G272" s="412">
        <f>+G270*0.1</f>
        <v>0.1</v>
      </c>
      <c r="H272" s="411">
        <f>G272*F272</f>
        <v>1297.4601086388893</v>
      </c>
      <c r="I272" s="403"/>
    </row>
    <row r="273" spans="1:9" ht="12.75" customHeight="1" x14ac:dyDescent="0.3">
      <c r="A273" s="720"/>
      <c r="B273" s="712"/>
      <c r="C273" s="352"/>
      <c r="D273" s="417"/>
      <c r="E273" s="352"/>
      <c r="F273" s="352"/>
      <c r="G273" s="352"/>
      <c r="H273" s="352"/>
      <c r="I273" s="403"/>
    </row>
    <row r="274" spans="1:9" ht="12.75" customHeight="1" x14ac:dyDescent="0.3">
      <c r="A274" s="401"/>
      <c r="C274" s="352"/>
      <c r="D274" s="417"/>
      <c r="E274" s="352"/>
      <c r="F274" s="413" t="s">
        <v>32</v>
      </c>
      <c r="G274" s="402" t="str">
        <f>+B253</f>
        <v>2.6</v>
      </c>
      <c r="H274" s="413" t="s">
        <v>306</v>
      </c>
      <c r="I274" s="396">
        <f>SUM(H270:H273)</f>
        <v>24770.749781416675</v>
      </c>
    </row>
    <row r="275" spans="1:9" ht="12.75" customHeight="1" x14ac:dyDescent="0.3">
      <c r="A275" s="401" t="s">
        <v>54</v>
      </c>
      <c r="C275" s="352"/>
      <c r="D275" s="417"/>
      <c r="E275" s="352"/>
      <c r="F275" s="352"/>
      <c r="G275" s="352"/>
      <c r="H275" s="350"/>
      <c r="I275" s="396">
        <f>I274*0.05</f>
        <v>1238.5374890708338</v>
      </c>
    </row>
    <row r="276" spans="1:9" ht="12.75" customHeight="1" x14ac:dyDescent="0.3">
      <c r="A276" s="401"/>
      <c r="C276" s="352"/>
      <c r="D276" s="417"/>
      <c r="E276" s="352"/>
      <c r="F276" s="413" t="s">
        <v>55</v>
      </c>
      <c r="G276" s="350"/>
      <c r="H276" s="350"/>
      <c r="I276" s="396">
        <f>ROUND(I274+I275+I263+I258+I267,0)</f>
        <v>76455</v>
      </c>
    </row>
    <row r="277" spans="1:9" ht="12.75" customHeight="1" x14ac:dyDescent="0.3">
      <c r="A277" s="414"/>
      <c r="B277" s="415"/>
      <c r="C277" s="415"/>
      <c r="D277" s="450"/>
      <c r="E277" s="415"/>
      <c r="F277" s="415"/>
      <c r="G277" s="415"/>
      <c r="H277" s="415"/>
      <c r="I277" s="396"/>
    </row>
    <row r="278" spans="1:9" ht="76.95" customHeight="1" x14ac:dyDescent="0.3">
      <c r="A278" s="724" t="s">
        <v>114</v>
      </c>
      <c r="B278" s="710"/>
      <c r="C278" s="710"/>
      <c r="D278" s="450"/>
      <c r="E278" s="415"/>
      <c r="F278" s="710" t="s">
        <v>396</v>
      </c>
      <c r="G278" s="710"/>
      <c r="H278" s="710"/>
      <c r="I278" s="711"/>
    </row>
    <row r="279" spans="1:9" ht="12.75" customHeight="1" x14ac:dyDescent="0.3">
      <c r="A279" s="397" t="s">
        <v>111</v>
      </c>
      <c r="B279" s="712"/>
      <c r="C279" s="712"/>
      <c r="D279" s="417"/>
      <c r="E279" s="352"/>
      <c r="F279" s="350" t="s">
        <v>111</v>
      </c>
      <c r="G279" s="712"/>
      <c r="H279" s="712"/>
      <c r="I279" s="713"/>
    </row>
    <row r="280" spans="1:9" ht="12.75" customHeight="1" x14ac:dyDescent="0.3">
      <c r="A280" s="439" t="s">
        <v>115</v>
      </c>
      <c r="B280" s="710" t="s">
        <v>1551</v>
      </c>
      <c r="C280" s="710"/>
      <c r="F280" s="432" t="s">
        <v>112</v>
      </c>
      <c r="G280" s="712"/>
      <c r="H280" s="712"/>
      <c r="I280" s="713"/>
    </row>
    <row r="281" spans="1:9" ht="12.75" customHeight="1" x14ac:dyDescent="0.3">
      <c r="A281" s="439" t="s">
        <v>113</v>
      </c>
      <c r="B281" s="710" t="s">
        <v>1554</v>
      </c>
      <c r="C281" s="710"/>
      <c r="F281" s="432" t="s">
        <v>113</v>
      </c>
      <c r="G281" s="712"/>
      <c r="H281" s="712"/>
      <c r="I281" s="713"/>
    </row>
    <row r="282" spans="1:9" ht="12.75" customHeight="1" x14ac:dyDescent="0.3">
      <c r="A282" s="439"/>
      <c r="B282" s="350"/>
      <c r="C282" s="350"/>
      <c r="F282" s="432"/>
      <c r="G282" s="350"/>
      <c r="H282" s="350"/>
      <c r="I282" s="416"/>
    </row>
    <row r="283" spans="1:9" ht="12.75" customHeight="1" x14ac:dyDescent="0.3">
      <c r="A283" s="714" t="s">
        <v>110</v>
      </c>
      <c r="B283" s="715"/>
      <c r="C283" s="715"/>
      <c r="D283" s="715"/>
      <c r="E283" s="715"/>
      <c r="F283" s="715"/>
      <c r="G283" s="715"/>
      <c r="H283" s="715"/>
      <c r="I283" s="716"/>
    </row>
    <row r="284" spans="1:9" ht="18.600000000000001" customHeight="1" x14ac:dyDescent="0.3">
      <c r="A284" s="729"/>
      <c r="B284" s="730"/>
      <c r="C284" s="730"/>
      <c r="D284" s="730"/>
      <c r="E284" s="730"/>
      <c r="F284" s="730"/>
      <c r="G284" s="730"/>
      <c r="H284" s="730"/>
      <c r="I284" s="731"/>
    </row>
    <row r="285" spans="1:9" ht="18.600000000000001" customHeight="1" x14ac:dyDescent="0.3">
      <c r="A285" s="714"/>
      <c r="B285" s="715"/>
      <c r="C285" s="715"/>
      <c r="D285" s="715"/>
      <c r="E285" s="715"/>
      <c r="F285" s="715"/>
      <c r="G285" s="715"/>
      <c r="H285" s="715"/>
      <c r="I285" s="716"/>
    </row>
    <row r="286" spans="1:9" ht="12.75" customHeight="1" x14ac:dyDescent="0.3">
      <c r="A286" s="725" t="s">
        <v>68</v>
      </c>
      <c r="B286" s="726"/>
      <c r="C286" s="726"/>
      <c r="D286" s="726"/>
      <c r="E286" s="726"/>
      <c r="F286" s="726"/>
      <c r="G286" s="726"/>
      <c r="H286" s="726"/>
      <c r="I286" s="727"/>
    </row>
    <row r="287" spans="1:9" ht="14.4" customHeight="1" x14ac:dyDescent="0.3">
      <c r="A287" s="390" t="s">
        <v>69</v>
      </c>
      <c r="B287" s="391" t="s">
        <v>219</v>
      </c>
      <c r="C287" s="710" t="s">
        <v>70</v>
      </c>
      <c r="D287" s="723" t="str">
        <f>VLOOKUP(B287,'AJUSTE PRESUPUESTO'!$A$18:$I$95,3,FALSE)</f>
        <v>Mano de obra para instalación de tubería Novafort 300mm  para sumideros</v>
      </c>
      <c r="E287" s="723"/>
      <c r="F287" s="723"/>
      <c r="G287" s="723"/>
      <c r="H287" s="723"/>
      <c r="I287" s="728"/>
    </row>
    <row r="288" spans="1:9" x14ac:dyDescent="0.3">
      <c r="A288" s="390" t="s">
        <v>71</v>
      </c>
      <c r="B288" s="391" t="str">
        <f>VLOOKUP(B287,PRESUPUESTO!$A$18:$I$76,2,FALSE)</f>
        <v>803A-EPM</v>
      </c>
      <c r="C288" s="710"/>
      <c r="D288" s="355" t="s">
        <v>12</v>
      </c>
      <c r="E288" s="392" t="s">
        <v>129</v>
      </c>
      <c r="F288" s="392" t="s">
        <v>13</v>
      </c>
      <c r="G288" s="392">
        <f>VLOOKUP(B287,PRESUPUESTO!$A$15:$I$1659,6,FALSE)</f>
        <v>1797</v>
      </c>
      <c r="H288" s="393" t="s">
        <v>27</v>
      </c>
      <c r="I288" s="394">
        <f>+I310</f>
        <v>16220</v>
      </c>
    </row>
    <row r="289" spans="1:11" x14ac:dyDescent="0.3">
      <c r="A289" s="395" t="s">
        <v>14</v>
      </c>
      <c r="B289" s="386"/>
      <c r="C289" s="352"/>
      <c r="D289" s="417"/>
      <c r="E289" s="352"/>
      <c r="F289" s="352"/>
      <c r="G289" s="352"/>
      <c r="H289" s="352"/>
      <c r="I289" s="396"/>
    </row>
    <row r="290" spans="1:11" x14ac:dyDescent="0.3">
      <c r="A290" s="720" t="s">
        <v>19</v>
      </c>
      <c r="B290" s="712"/>
      <c r="C290" s="712"/>
      <c r="D290" s="712"/>
      <c r="E290" s="712"/>
      <c r="F290" s="350" t="s">
        <v>28</v>
      </c>
      <c r="G290" s="350" t="s">
        <v>29</v>
      </c>
      <c r="H290" s="350" t="s">
        <v>30</v>
      </c>
      <c r="I290" s="403"/>
    </row>
    <row r="291" spans="1:11" x14ac:dyDescent="0.3">
      <c r="A291" s="397" t="s">
        <v>1</v>
      </c>
      <c r="B291" s="398"/>
      <c r="C291" s="721"/>
      <c r="D291" s="721"/>
      <c r="E291" s="721"/>
      <c r="F291" s="355"/>
      <c r="G291" s="352"/>
      <c r="H291" s="404">
        <f>+F291*G291</f>
        <v>0</v>
      </c>
      <c r="I291" s="403"/>
    </row>
    <row r="292" spans="1:11" x14ac:dyDescent="0.3">
      <c r="A292" s="401"/>
      <c r="C292" s="352"/>
      <c r="D292" s="417"/>
      <c r="E292" s="352"/>
      <c r="F292" s="413" t="s">
        <v>32</v>
      </c>
      <c r="G292" s="402" t="str">
        <f>+B287</f>
        <v>2.7</v>
      </c>
      <c r="H292" s="402" t="s">
        <v>307</v>
      </c>
      <c r="I292" s="396">
        <f>SUM(H291:H291)</f>
        <v>0</v>
      </c>
    </row>
    <row r="293" spans="1:11" x14ac:dyDescent="0.3">
      <c r="A293" s="395" t="s">
        <v>34</v>
      </c>
      <c r="B293" s="386"/>
      <c r="C293" s="352"/>
      <c r="D293" s="417"/>
      <c r="E293" s="352"/>
      <c r="F293" s="352"/>
      <c r="G293" s="352"/>
      <c r="H293" s="352"/>
      <c r="I293" s="403"/>
    </row>
    <row r="294" spans="1:11" x14ac:dyDescent="0.3">
      <c r="A294" s="720" t="s">
        <v>35</v>
      </c>
      <c r="B294" s="712"/>
      <c r="C294" s="712"/>
      <c r="D294" s="712"/>
      <c r="E294" s="350" t="s">
        <v>12</v>
      </c>
      <c r="F294" s="350" t="s">
        <v>36</v>
      </c>
      <c r="G294" s="350" t="s">
        <v>37</v>
      </c>
      <c r="H294" s="350" t="s">
        <v>38</v>
      </c>
      <c r="I294" s="403"/>
    </row>
    <row r="295" spans="1:11" x14ac:dyDescent="0.3">
      <c r="A295" s="397" t="s">
        <v>523</v>
      </c>
      <c r="B295" s="398" t="s">
        <v>526</v>
      </c>
      <c r="C295" s="721" t="str">
        <f>IF($A295="EQUI",VLOOKUP($B295,EQUI!B$16:G$35,2,FALSE),IF($A295="TRAN",VLOOKUP($B295,TRAN!$B$16:$G$26,2,FALSE),IF($A295="MAT1",VLOOKUP($B295,'MAT1'!$B$16:$G$43,2,FALSE),IF($A295="MAT2",VLOOKUP($B295,'MAT2'!$B$16:$G$35,2,FALSE),IF($A295="MDEO",VLOOKUP($B295,MDEO!$B$16:$P$27,2,FALSE))))))</f>
        <v>Tubería Novafort 12"</v>
      </c>
      <c r="D295" s="721"/>
      <c r="E295" s="355" t="str">
        <f>IF($A295="EQUI",VLOOKUP($B295,EQUI!B$16:G$35,3,FALSE),IF($A295="TRAN",VLOOKUP($B295,TRAN!$B$16:$G$26,3,FALSE),IF($A295="MAT1",VLOOKUP($B295,'MAT1'!$B$16:$G$43,3,FALSE),IF($A295="MAT2",VLOOKUP($B295,'MAT2'!$B$16:$G$45,3,FALSE),IF($A295="MDEO",VLOOKUP($B295,MDEO!$B$16:$P$27,3,FALSE))))))</f>
        <v>ML</v>
      </c>
      <c r="F295" s="355">
        <f>IF($A295="EQUI",VLOOKUP($B295,EQUI!B$16:G$35,4,FALSE),IF($A295="TRAN",VLOOKUP($B295,TRAN!$B$16:$G$26,4,FALSE),IF($A295="MAT1",VLOOKUP($B295,'MAT1'!$B$16:$G$43,4,FALSE),IF($A295="MAT2",VLOOKUP($B295,'MAT2'!$B$16:$G$34,4,FALSE),IF($A295="MDEO",VLOOKUP($B295,MDEO!$B$16:$P$27,4,FALSE))))))</f>
        <v>102263.16666666667</v>
      </c>
      <c r="G295" s="352">
        <v>1</v>
      </c>
      <c r="H295" s="404"/>
      <c r="I295" s="403"/>
      <c r="K295" s="441">
        <f>+G295*G288</f>
        <v>1797</v>
      </c>
    </row>
    <row r="296" spans="1:11" x14ac:dyDescent="0.3">
      <c r="A296" s="401"/>
      <c r="C296" s="352"/>
      <c r="D296" s="417"/>
      <c r="E296" s="352"/>
      <c r="F296" s="413" t="s">
        <v>32</v>
      </c>
      <c r="G296" s="402" t="str">
        <f>+B287</f>
        <v>2.7</v>
      </c>
      <c r="H296" s="402" t="s">
        <v>308</v>
      </c>
      <c r="I296" s="403">
        <f>SUM(H295:H295)</f>
        <v>0</v>
      </c>
    </row>
    <row r="297" spans="1:11" x14ac:dyDescent="0.3">
      <c r="A297" s="395" t="s">
        <v>15</v>
      </c>
      <c r="B297" s="386"/>
      <c r="C297" s="352"/>
      <c r="D297" s="417"/>
      <c r="E297" s="352"/>
      <c r="F297" s="352"/>
      <c r="G297" s="352"/>
      <c r="H297" s="352"/>
      <c r="I297" s="403"/>
    </row>
    <row r="298" spans="1:11" ht="21" customHeight="1" x14ac:dyDescent="0.3">
      <c r="A298" s="720" t="s">
        <v>19</v>
      </c>
      <c r="B298" s="712"/>
      <c r="C298" s="712"/>
      <c r="D298" s="355" t="s">
        <v>43</v>
      </c>
      <c r="E298" s="350" t="s">
        <v>44</v>
      </c>
      <c r="F298" s="355" t="s">
        <v>45</v>
      </c>
      <c r="G298" s="350" t="s">
        <v>17</v>
      </c>
      <c r="H298" s="350" t="s">
        <v>30</v>
      </c>
      <c r="I298" s="403"/>
    </row>
    <row r="299" spans="1:11" x14ac:dyDescent="0.3">
      <c r="A299" s="405" t="s">
        <v>3</v>
      </c>
      <c r="B299" s="406"/>
      <c r="C299" s="440"/>
      <c r="D299" s="355"/>
      <c r="E299" s="352"/>
      <c r="F299" s="352"/>
      <c r="G299" s="352"/>
      <c r="H299" s="352">
        <f>+G299*F299</f>
        <v>0</v>
      </c>
      <c r="I299" s="403"/>
    </row>
    <row r="300" spans="1:11" x14ac:dyDescent="0.3">
      <c r="A300" s="401"/>
      <c r="C300" s="352"/>
      <c r="D300" s="417"/>
      <c r="E300" s="352"/>
      <c r="F300" s="413" t="s">
        <v>32</v>
      </c>
      <c r="G300" s="402" t="str">
        <f>+B287</f>
        <v>2.7</v>
      </c>
      <c r="H300" s="402" t="s">
        <v>309</v>
      </c>
      <c r="I300" s="403">
        <f>SUM(H299:H299)</f>
        <v>0</v>
      </c>
    </row>
    <row r="301" spans="1:11" ht="12.75" customHeight="1" x14ac:dyDescent="0.3">
      <c r="A301" s="395" t="s">
        <v>1107</v>
      </c>
      <c r="B301" s="386"/>
      <c r="C301" s="352"/>
      <c r="D301" s="417"/>
      <c r="E301" s="352"/>
      <c r="F301" s="352"/>
      <c r="G301" s="352"/>
      <c r="H301" s="352"/>
      <c r="I301" s="403"/>
    </row>
    <row r="302" spans="1:11" x14ac:dyDescent="0.3">
      <c r="A302" s="722" t="s">
        <v>47</v>
      </c>
      <c r="B302" s="723"/>
      <c r="C302" s="723"/>
      <c r="D302" s="355" t="s">
        <v>48</v>
      </c>
      <c r="E302" s="355" t="s">
        <v>109</v>
      </c>
      <c r="F302" s="380" t="s">
        <v>49</v>
      </c>
      <c r="G302" s="380" t="s">
        <v>29</v>
      </c>
      <c r="H302" s="355" t="s">
        <v>30</v>
      </c>
      <c r="I302" s="407"/>
    </row>
    <row r="303" spans="1:11" x14ac:dyDescent="0.3">
      <c r="A303" s="405" t="s">
        <v>4</v>
      </c>
      <c r="B303" s="408" t="s">
        <v>175</v>
      </c>
      <c r="C303" s="409" t="str">
        <f>IF($A303="EQUI",VLOOKUP($B303,EQUI!B$16:G$37,2,FALSE),IF($A303="TRAN",VLOOKUP($B303,TRAN!$B$16:$G$26,2,FALSE),IF($A303="MAT",VLOOKUP($B303,'MAT1'!$B$16:$G$43,2,FALSE),IF($A303="MDEO",VLOOKUP($B303,MDEO!$B$16:$P$27,2,FALSE)))))</f>
        <v xml:space="preserve">oficial </v>
      </c>
      <c r="D303" s="449">
        <f>IF($A303="EQUI",VLOOKUP($B303,EQUI!B$16:G$35,3,FALSE),IF($A303="TRAN",VLOOKUP($B303,TRAN!$B$16:$G$26,3,FALSE),IF($A303="MAT",VLOOKUP($B303,'MAT1'!$B$16:$G$43,3,FALSE),IF($A303="MDEO",VLOOKUP($B303,MDEO!$B$16:$P$33,10,FALSE)))))</f>
        <v>12336.644836388892</v>
      </c>
      <c r="E303" s="410"/>
      <c r="F303" s="438">
        <f>+D303+D303*E303</f>
        <v>12336.644836388892</v>
      </c>
      <c r="G303" s="412">
        <v>0.44</v>
      </c>
      <c r="H303" s="411">
        <f>G303*F303</f>
        <v>5428.1237280111127</v>
      </c>
      <c r="I303" s="403"/>
    </row>
    <row r="304" spans="1:11" x14ac:dyDescent="0.3">
      <c r="A304" s="405" t="s">
        <v>4</v>
      </c>
      <c r="B304" s="408" t="s">
        <v>176</v>
      </c>
      <c r="C304" s="409" t="str">
        <f>IF($A304="EQUI",VLOOKUP($B304,EQUI!B$16:G$37,2,FALSE),IF($A304="TRAN",VLOOKUP($B304,TRAN!$B$16:$G$26,2,FALSE),IF($A304="MAT",VLOOKUP($B304,'MAT1'!$B$16:$G$43,2,FALSE),IF($A304="MDEO",VLOOKUP($B304,MDEO!$B$16:$P$27,2,FALSE)))))</f>
        <v xml:space="preserve">ayudante entendido </v>
      </c>
      <c r="D304" s="449">
        <f>IF($A304="EQUI",VLOOKUP($B304,EQUI!B$16:G$35,3,FALSE),IF($A304="TRAN",VLOOKUP($B304,TRAN!$B$16:$G$26,3,FALSE),IF($A304="MAT",VLOOKUP($B304,'MAT1'!$B$16:$G$43,3,FALSE),IF($A304="MDEO",VLOOKUP($B304,MDEO!$B$16:$P$33,10,FALSE)))))</f>
        <v>11136.644836388892</v>
      </c>
      <c r="E304" s="410"/>
      <c r="F304" s="438">
        <f>+D304+D304*E304</f>
        <v>11136.644836388892</v>
      </c>
      <c r="G304" s="412">
        <v>0.44</v>
      </c>
      <c r="H304" s="411">
        <f>G304*F304</f>
        <v>4900.1237280111127</v>
      </c>
      <c r="I304" s="403"/>
    </row>
    <row r="305" spans="1:9" x14ac:dyDescent="0.3">
      <c r="A305" s="405" t="s">
        <v>4</v>
      </c>
      <c r="B305" s="408" t="s">
        <v>177</v>
      </c>
      <c r="C305" s="409" t="str">
        <f>IF($A305="EQUI",VLOOKUP($B305,EQUI!B$16:G$37,2,FALSE),IF($A305="TRAN",VLOOKUP($B305,TRAN!$B$16:$G$26,2,FALSE),IF($A305="MAT",VLOOKUP($B305,'MAT1'!$B$16:$G$43,2,FALSE),IF($A305="MDEO",VLOOKUP($B305,MDEO!$B$16:$P$27,2,FALSE)))))</f>
        <v xml:space="preserve">ayudante </v>
      </c>
      <c r="D305" s="449">
        <f>IF($A305="EQUI",VLOOKUP($B305,EQUI!B$16:G$35,3,FALSE),IF($A305="TRAN",VLOOKUP($B305,TRAN!$B$16:$G$26,3,FALSE),IF($A305="MAT",VLOOKUP($B305,'MAT1'!$B$16:$G$43,3,FALSE),IF($A305="MDEO",VLOOKUP($B305,MDEO!$B$16:$P$33,10,FALSE)))))</f>
        <v>10336.644836388892</v>
      </c>
      <c r="E305" s="410"/>
      <c r="F305" s="438">
        <f>+D305+D305*E305</f>
        <v>10336.644836388892</v>
      </c>
      <c r="G305" s="412">
        <v>0.44</v>
      </c>
      <c r="H305" s="411">
        <f>G305*F305</f>
        <v>4548.1237280111127</v>
      </c>
      <c r="I305" s="403"/>
    </row>
    <row r="306" spans="1:9" x14ac:dyDescent="0.3">
      <c r="A306" s="405" t="s">
        <v>4</v>
      </c>
      <c r="B306" s="408" t="s">
        <v>178</v>
      </c>
      <c r="C306" s="409" t="str">
        <f>IF($A306="EQUI",VLOOKUP($B306,EQUI!B$16:G$37,2,FALSE),IF($A306="TRAN",VLOOKUP($B306,TRAN!$B$16:$G$26,2,FALSE),IF($A306="MAT",VLOOKUP($B306,'MAT1'!$B$16:$G$43,2,FALSE),IF($A306="MDEO",VLOOKUP($B306,MDEO!$B$16:$P$33,2,FALSE)))))</f>
        <v>contra maestro</v>
      </c>
      <c r="D306" s="449">
        <f>IF($A306="EQUI",VLOOKUP($B306,EQUI!B$16:G$35,3,FALSE),IF($A306="TRAN",VLOOKUP($B306,TRAN!$B$16:$G$26,3,FALSE),IF($A306="MAT",VLOOKUP($B306,'MAT1'!$B$16:$G$43,3,FALSE),IF($A306="MDEO",VLOOKUP($B306,MDEO!$B$16:$P$33,10,FALSE)))))</f>
        <v>12974.601086388891</v>
      </c>
      <c r="E306" s="410"/>
      <c r="F306" s="438">
        <f>+D306+D306*E306</f>
        <v>12974.601086388891</v>
      </c>
      <c r="G306" s="412">
        <f>+G303*0.1</f>
        <v>4.4000000000000004E-2</v>
      </c>
      <c r="H306" s="411">
        <f>G306*F306</f>
        <v>570.88244780111131</v>
      </c>
      <c r="I306" s="403"/>
    </row>
    <row r="307" spans="1:9" x14ac:dyDescent="0.3">
      <c r="A307" s="720"/>
      <c r="B307" s="712"/>
      <c r="C307" s="352"/>
      <c r="D307" s="417"/>
      <c r="E307" s="352"/>
      <c r="F307" s="352"/>
      <c r="G307" s="352"/>
      <c r="H307" s="352"/>
      <c r="I307" s="403"/>
    </row>
    <row r="308" spans="1:9" x14ac:dyDescent="0.3">
      <c r="A308" s="401"/>
      <c r="C308" s="352"/>
      <c r="D308" s="417"/>
      <c r="E308" s="352"/>
      <c r="F308" s="413" t="s">
        <v>32</v>
      </c>
      <c r="G308" s="402" t="str">
        <f>+B287</f>
        <v>2.7</v>
      </c>
      <c r="H308" s="413" t="s">
        <v>310</v>
      </c>
      <c r="I308" s="396">
        <f>SUM(H303:H307)</f>
        <v>15447.25363183445</v>
      </c>
    </row>
    <row r="309" spans="1:9" x14ac:dyDescent="0.3">
      <c r="A309" s="401" t="s">
        <v>54</v>
      </c>
      <c r="C309" s="352"/>
      <c r="D309" s="417"/>
      <c r="E309" s="352"/>
      <c r="F309" s="352"/>
      <c r="G309" s="352"/>
      <c r="H309" s="350"/>
      <c r="I309" s="396">
        <f>I308*0.05</f>
        <v>772.36268159172255</v>
      </c>
    </row>
    <row r="310" spans="1:9" x14ac:dyDescent="0.3">
      <c r="A310" s="401"/>
      <c r="C310" s="352"/>
      <c r="D310" s="417"/>
      <c r="E310" s="352"/>
      <c r="F310" s="413" t="s">
        <v>55</v>
      </c>
      <c r="G310" s="350"/>
      <c r="H310" s="350"/>
      <c r="I310" s="396">
        <f>ROUND(I308+I309+I296+I292+I300,0)</f>
        <v>16220</v>
      </c>
    </row>
    <row r="311" spans="1:9" x14ac:dyDescent="0.3">
      <c r="A311" s="414"/>
      <c r="B311" s="415"/>
      <c r="C311" s="415"/>
      <c r="D311" s="450"/>
      <c r="E311" s="415"/>
      <c r="F311" s="415"/>
      <c r="G311" s="415"/>
      <c r="H311" s="415"/>
      <c r="I311" s="396"/>
    </row>
    <row r="312" spans="1:9" ht="76.95" customHeight="1" x14ac:dyDescent="0.3">
      <c r="A312" s="724" t="s">
        <v>114</v>
      </c>
      <c r="B312" s="710"/>
      <c r="C312" s="710"/>
      <c r="D312" s="450"/>
      <c r="E312" s="415"/>
      <c r="F312" s="710" t="s">
        <v>396</v>
      </c>
      <c r="G312" s="710"/>
      <c r="H312" s="710"/>
      <c r="I312" s="711"/>
    </row>
    <row r="313" spans="1:9" ht="12.75" customHeight="1" x14ac:dyDescent="0.3">
      <c r="A313" s="397" t="s">
        <v>111</v>
      </c>
      <c r="B313" s="712"/>
      <c r="C313" s="712"/>
      <c r="D313" s="417"/>
      <c r="E313" s="352"/>
      <c r="F313" s="350" t="s">
        <v>111</v>
      </c>
      <c r="G313" s="712"/>
      <c r="H313" s="712"/>
      <c r="I313" s="713"/>
    </row>
    <row r="314" spans="1:9" ht="12.75" customHeight="1" x14ac:dyDescent="0.3">
      <c r="A314" s="439" t="s">
        <v>115</v>
      </c>
      <c r="B314" s="710" t="s">
        <v>1551</v>
      </c>
      <c r="C314" s="710"/>
      <c r="F314" s="432" t="s">
        <v>112</v>
      </c>
      <c r="G314" s="712"/>
      <c r="H314" s="712"/>
      <c r="I314" s="713"/>
    </row>
    <row r="315" spans="1:9" ht="12.75" customHeight="1" x14ac:dyDescent="0.3">
      <c r="A315" s="439" t="s">
        <v>113</v>
      </c>
      <c r="B315" s="710" t="s">
        <v>1554</v>
      </c>
      <c r="C315" s="710"/>
      <c r="F315" s="432" t="s">
        <v>113</v>
      </c>
      <c r="G315" s="712"/>
      <c r="H315" s="712"/>
      <c r="I315" s="713"/>
    </row>
    <row r="316" spans="1:9" ht="12.75" customHeight="1" x14ac:dyDescent="0.3">
      <c r="A316" s="439"/>
      <c r="B316" s="350"/>
      <c r="C316" s="350"/>
      <c r="F316" s="432"/>
      <c r="G316" s="350"/>
      <c r="H316" s="350"/>
      <c r="I316" s="416"/>
    </row>
    <row r="317" spans="1:9" ht="12.75" customHeight="1" x14ac:dyDescent="0.3">
      <c r="A317" s="714" t="s">
        <v>110</v>
      </c>
      <c r="B317" s="715"/>
      <c r="C317" s="715"/>
      <c r="D317" s="715"/>
      <c r="E317" s="715"/>
      <c r="F317" s="715"/>
      <c r="G317" s="715"/>
      <c r="H317" s="715"/>
      <c r="I317" s="716"/>
    </row>
    <row r="318" spans="1:9" ht="19.95" customHeight="1" x14ac:dyDescent="0.3">
      <c r="A318" s="729"/>
      <c r="B318" s="730"/>
      <c r="C318" s="730"/>
      <c r="D318" s="730"/>
      <c r="E318" s="730"/>
      <c r="F318" s="730"/>
      <c r="G318" s="730"/>
      <c r="H318" s="730"/>
      <c r="I318" s="731"/>
    </row>
    <row r="319" spans="1:9" ht="19.95" customHeight="1" x14ac:dyDescent="0.3">
      <c r="A319" s="714"/>
      <c r="B319" s="715"/>
      <c r="C319" s="715"/>
      <c r="D319" s="715"/>
      <c r="E319" s="715"/>
      <c r="F319" s="715"/>
      <c r="G319" s="715"/>
      <c r="H319" s="715"/>
      <c r="I319" s="716"/>
    </row>
    <row r="320" spans="1:9" x14ac:dyDescent="0.3">
      <c r="A320" s="433"/>
      <c r="I320" s="434"/>
    </row>
    <row r="321" spans="1:11" x14ac:dyDescent="0.3">
      <c r="A321" s="724" t="s">
        <v>68</v>
      </c>
      <c r="B321" s="710"/>
      <c r="C321" s="710"/>
      <c r="D321" s="710"/>
      <c r="E321" s="710"/>
      <c r="F321" s="710"/>
      <c r="G321" s="710"/>
      <c r="H321" s="710"/>
      <c r="I321" s="711"/>
    </row>
    <row r="322" spans="1:11" ht="14.4" customHeight="1" x14ac:dyDescent="0.3">
      <c r="A322" s="390" t="s">
        <v>69</v>
      </c>
      <c r="B322" s="391" t="s">
        <v>220</v>
      </c>
      <c r="C322" s="710" t="s">
        <v>70</v>
      </c>
      <c r="D322" s="723" t="str">
        <f>VLOOKUP(B322,'AJUSTE PRESUPUESTO'!$A$18:$I$95,3,FALSE)</f>
        <v>Mano de obra para instalación de tubería Novafort 400mm  para red aguas lluvias</v>
      </c>
      <c r="E322" s="723"/>
      <c r="F322" s="723"/>
      <c r="G322" s="723"/>
      <c r="H322" s="723"/>
      <c r="I322" s="728"/>
    </row>
    <row r="323" spans="1:11" x14ac:dyDescent="0.3">
      <c r="A323" s="390" t="s">
        <v>71</v>
      </c>
      <c r="B323" s="391" t="str">
        <f>VLOOKUP(B322,PRESUPUESTO!$A$18:$I$76,2,FALSE)</f>
        <v>803B-EPM</v>
      </c>
      <c r="C323" s="710"/>
      <c r="D323" s="355" t="s">
        <v>12</v>
      </c>
      <c r="E323" s="392" t="s">
        <v>129</v>
      </c>
      <c r="F323" s="392" t="s">
        <v>13</v>
      </c>
      <c r="G323" s="392">
        <f>VLOOKUP(B322,PRESUPUESTO!$A$15:$I$1659,6,FALSE)</f>
        <v>1428.02</v>
      </c>
      <c r="H323" s="393" t="s">
        <v>27</v>
      </c>
      <c r="I323" s="394">
        <f>+I344</f>
        <v>18431</v>
      </c>
    </row>
    <row r="324" spans="1:11" x14ac:dyDescent="0.3">
      <c r="A324" s="395" t="s">
        <v>14</v>
      </c>
      <c r="B324" s="386"/>
      <c r="C324" s="352"/>
      <c r="D324" s="417"/>
      <c r="E324" s="352"/>
      <c r="F324" s="352"/>
      <c r="G324" s="352"/>
      <c r="H324" s="352"/>
      <c r="I324" s="396"/>
    </row>
    <row r="325" spans="1:11" x14ac:dyDescent="0.3">
      <c r="A325" s="720" t="s">
        <v>19</v>
      </c>
      <c r="B325" s="712"/>
      <c r="C325" s="712"/>
      <c r="D325" s="712"/>
      <c r="E325" s="712"/>
      <c r="F325" s="350" t="s">
        <v>28</v>
      </c>
      <c r="G325" s="350" t="s">
        <v>29</v>
      </c>
      <c r="H325" s="350" t="s">
        <v>30</v>
      </c>
      <c r="I325" s="403"/>
    </row>
    <row r="326" spans="1:11" x14ac:dyDescent="0.3">
      <c r="A326" s="397" t="s">
        <v>1</v>
      </c>
      <c r="B326" s="398"/>
      <c r="C326" s="721"/>
      <c r="D326" s="721"/>
      <c r="E326" s="721"/>
      <c r="F326" s="355"/>
      <c r="G326" s="352"/>
      <c r="H326" s="404">
        <f>+F326*G326</f>
        <v>0</v>
      </c>
      <c r="I326" s="403"/>
    </row>
    <row r="327" spans="1:11" x14ac:dyDescent="0.3">
      <c r="A327" s="401"/>
      <c r="C327" s="352"/>
      <c r="D327" s="417"/>
      <c r="E327" s="352"/>
      <c r="F327" s="413" t="s">
        <v>32</v>
      </c>
      <c r="G327" s="402" t="str">
        <f>+B322</f>
        <v>2.8</v>
      </c>
      <c r="H327" s="402" t="s">
        <v>311</v>
      </c>
      <c r="I327" s="396">
        <f>SUM(H326:H326)</f>
        <v>0</v>
      </c>
    </row>
    <row r="328" spans="1:11" x14ac:dyDescent="0.3">
      <c r="A328" s="395" t="s">
        <v>34</v>
      </c>
      <c r="B328" s="386"/>
      <c r="C328" s="352"/>
      <c r="D328" s="417"/>
      <c r="E328" s="352"/>
      <c r="F328" s="352"/>
      <c r="G328" s="352"/>
      <c r="H328" s="352"/>
      <c r="I328" s="403"/>
    </row>
    <row r="329" spans="1:11" x14ac:dyDescent="0.3">
      <c r="A329" s="720" t="s">
        <v>35</v>
      </c>
      <c r="B329" s="712"/>
      <c r="C329" s="712"/>
      <c r="D329" s="712"/>
      <c r="E329" s="350" t="s">
        <v>12</v>
      </c>
      <c r="F329" s="350" t="s">
        <v>36</v>
      </c>
      <c r="G329" s="350" t="s">
        <v>37</v>
      </c>
      <c r="H329" s="350" t="s">
        <v>38</v>
      </c>
      <c r="I329" s="403"/>
    </row>
    <row r="330" spans="1:11" x14ac:dyDescent="0.3">
      <c r="A330" s="397" t="s">
        <v>523</v>
      </c>
      <c r="B330" s="398" t="s">
        <v>148</v>
      </c>
      <c r="C330" s="721" t="str">
        <f>IF($A330="EQUI",VLOOKUP($B330,EQUI!B$16:G$35,2,FALSE),IF($A330="TRAN",VLOOKUP($B330,TRAN!$B$16:$G$26,2,FALSE),IF($A330="MAT1",VLOOKUP($B330,'MAT1'!$B$16:$G$43,2,FALSE),IF($A330="MAT2",VLOOKUP($B330,'MAT2'!$B$16:$G$55,2,FALSE),IF($A330="MDEO",VLOOKUP($B330,MDEO!$B$16:$P$27,2,FALSE))))))</f>
        <v>Tubería Novafort 16"</v>
      </c>
      <c r="D330" s="721"/>
      <c r="E330" s="355" t="str">
        <f>IF($A330="EQUI",VLOOKUP($B330,EQUI!B$16:G$35,3,FALSE),IF($A330="TRAN",VLOOKUP($B330,TRAN!$B$16:$G$26,3,FALSE),IF($A330="MAT1",VLOOKUP($B330,'MAT1'!$B$16:$G$43,3,FALSE),IF($A330="MAT2",VLOOKUP($B330,'MAT2'!$B$16:$G$55,3,FALSE),IF($A330="MDEO",VLOOKUP($B330,MDEO!$B$16:$P$27,3,FALSE))))))</f>
        <v>ML</v>
      </c>
      <c r="F330" s="355">
        <f>IF($A330="EQUI",VLOOKUP($B330,EQUI!B$16:G$35,4,FALSE),IF($A330="TRAN",VLOOKUP($B330,TRAN!$B$16:$G$26,4,FALSE),IF($A330="MAT1",VLOOKUP($B330,'MAT1'!$B$16:$G$43,4,FALSE),IF($A330="MAT2",VLOOKUP($B330,'MAT2'!$B$16:$G$53,4,FALSE),IF($A330="MDEO",VLOOKUP($B330,MDEO!$B$16:$P$27,4,FALSE))))))</f>
        <v>187447.5</v>
      </c>
      <c r="G330" s="352">
        <v>1</v>
      </c>
      <c r="H330" s="404"/>
      <c r="I330" s="403"/>
      <c r="K330" s="441">
        <f>+G330*G323</f>
        <v>1428.02</v>
      </c>
    </row>
    <row r="331" spans="1:11" x14ac:dyDescent="0.3">
      <c r="A331" s="401"/>
      <c r="C331" s="352"/>
      <c r="D331" s="417"/>
      <c r="E331" s="352"/>
      <c r="F331" s="413" t="s">
        <v>32</v>
      </c>
      <c r="G331" s="402" t="str">
        <f>+B322</f>
        <v>2.8</v>
      </c>
      <c r="H331" s="402" t="s">
        <v>312</v>
      </c>
      <c r="I331" s="403">
        <f>SUM(H330:H330)</f>
        <v>0</v>
      </c>
    </row>
    <row r="332" spans="1:11" x14ac:dyDescent="0.3">
      <c r="A332" s="395" t="s">
        <v>15</v>
      </c>
      <c r="B332" s="386"/>
      <c r="C332" s="352"/>
      <c r="D332" s="417"/>
      <c r="E332" s="352"/>
      <c r="F332" s="352"/>
      <c r="G332" s="352"/>
      <c r="H332" s="352"/>
      <c r="I332" s="403"/>
    </row>
    <row r="333" spans="1:11" ht="11.4" x14ac:dyDescent="0.3">
      <c r="A333" s="720" t="s">
        <v>19</v>
      </c>
      <c r="B333" s="712"/>
      <c r="C333" s="712"/>
      <c r="D333" s="355" t="s">
        <v>43</v>
      </c>
      <c r="E333" s="350" t="s">
        <v>44</v>
      </c>
      <c r="F333" s="355" t="s">
        <v>45</v>
      </c>
      <c r="G333" s="350" t="s">
        <v>17</v>
      </c>
      <c r="H333" s="350" t="s">
        <v>30</v>
      </c>
      <c r="I333" s="403"/>
    </row>
    <row r="334" spans="1:11" x14ac:dyDescent="0.3">
      <c r="A334" s="405" t="s">
        <v>3</v>
      </c>
      <c r="B334" s="406"/>
      <c r="C334" s="440"/>
      <c r="D334" s="355"/>
      <c r="E334" s="352"/>
      <c r="F334" s="352"/>
      <c r="G334" s="352"/>
      <c r="H334" s="352">
        <f>+G334*F334</f>
        <v>0</v>
      </c>
      <c r="I334" s="403"/>
    </row>
    <row r="335" spans="1:11" x14ac:dyDescent="0.3">
      <c r="A335" s="401"/>
      <c r="C335" s="352"/>
      <c r="D335" s="417"/>
      <c r="E335" s="352"/>
      <c r="F335" s="413" t="s">
        <v>32</v>
      </c>
      <c r="G335" s="402" t="str">
        <f>+B322</f>
        <v>2.8</v>
      </c>
      <c r="H335" s="402" t="s">
        <v>313</v>
      </c>
      <c r="I335" s="403">
        <f>SUM(H334:H334)</f>
        <v>0</v>
      </c>
    </row>
    <row r="336" spans="1:11" ht="12.75" customHeight="1" x14ac:dyDescent="0.3">
      <c r="A336" s="395" t="s">
        <v>1107</v>
      </c>
      <c r="B336" s="386"/>
      <c r="C336" s="352"/>
      <c r="D336" s="417"/>
      <c r="E336" s="352"/>
      <c r="F336" s="352"/>
      <c r="G336" s="352"/>
      <c r="H336" s="352"/>
      <c r="I336" s="403"/>
    </row>
    <row r="337" spans="1:9" x14ac:dyDescent="0.3">
      <c r="A337" s="722" t="s">
        <v>47</v>
      </c>
      <c r="B337" s="723"/>
      <c r="C337" s="723"/>
      <c r="D337" s="355" t="s">
        <v>48</v>
      </c>
      <c r="E337" s="355" t="s">
        <v>109</v>
      </c>
      <c r="F337" s="380" t="s">
        <v>49</v>
      </c>
      <c r="G337" s="380" t="s">
        <v>29</v>
      </c>
      <c r="H337" s="355" t="s">
        <v>30</v>
      </c>
      <c r="I337" s="407"/>
    </row>
    <row r="338" spans="1:9" x14ac:dyDescent="0.3">
      <c r="A338" s="405" t="s">
        <v>4</v>
      </c>
      <c r="B338" s="408" t="s">
        <v>175</v>
      </c>
      <c r="C338" s="409" t="str">
        <f>IF($A338="EQUI",VLOOKUP($B338,EQUI!B$16:G$37,2,FALSE),IF($A338="TRAN",VLOOKUP($B338,TRAN!$B$16:$G$26,2,FALSE),IF($A338="MAT",VLOOKUP($B338,'MAT1'!$B$16:$G$43,2,FALSE),IF($A338="MDEO",VLOOKUP($B338,MDEO!$B$16:$P$27,2,FALSE)))))</f>
        <v xml:space="preserve">oficial </v>
      </c>
      <c r="D338" s="449">
        <f>IF($A338="EQUI",VLOOKUP($B338,EQUI!B$16:G$35,3,FALSE),IF($A338="TRAN",VLOOKUP($B338,TRAN!$B$16:$G$26,3,FALSE),IF($A338="MAT",VLOOKUP($B338,'MAT1'!$B$16:$G$43,3,FALSE),IF($A338="MDEO",VLOOKUP($B338,MDEO!$B$16:$P$33,10,FALSE)))))</f>
        <v>12336.644836388892</v>
      </c>
      <c r="E338" s="410"/>
      <c r="F338" s="438">
        <f>+D338+D338*E338</f>
        <v>12336.644836388892</v>
      </c>
      <c r="G338" s="412">
        <v>0.5</v>
      </c>
      <c r="H338" s="411">
        <f>G338*F338</f>
        <v>6168.3224181944461</v>
      </c>
      <c r="I338" s="403"/>
    </row>
    <row r="339" spans="1:9" x14ac:dyDescent="0.3">
      <c r="A339" s="405" t="s">
        <v>4</v>
      </c>
      <c r="B339" s="408" t="s">
        <v>176</v>
      </c>
      <c r="C339" s="409" t="str">
        <f>IF($A339="EQUI",VLOOKUP($B339,EQUI!B$16:G$37,2,FALSE),IF($A339="TRAN",VLOOKUP($B339,TRAN!$B$16:$G$26,2,FALSE),IF($A339="MAT",VLOOKUP($B339,'MAT1'!$B$16:$G$43,2,FALSE),IF($A339="MDEO",VLOOKUP($B339,MDEO!$B$16:$P$27,2,FALSE)))))</f>
        <v xml:space="preserve">ayudante entendido </v>
      </c>
      <c r="D339" s="449">
        <f>IF($A339="EQUI",VLOOKUP($B339,EQUI!B$16:G$35,3,FALSE),IF($A339="TRAN",VLOOKUP($B339,TRAN!$B$16:$G$26,3,FALSE),IF($A339="MAT",VLOOKUP($B339,'MAT1'!$B$16:$G$43,3,FALSE),IF($A339="MDEO",VLOOKUP($B339,MDEO!$B$16:$P$33,10,FALSE)))))</f>
        <v>11136.644836388892</v>
      </c>
      <c r="E339" s="410"/>
      <c r="F339" s="438">
        <f>+D339+D339*E339</f>
        <v>11136.644836388892</v>
      </c>
      <c r="G339" s="412">
        <v>0.5</v>
      </c>
      <c r="H339" s="411">
        <f>G339*F339</f>
        <v>5568.3224181944461</v>
      </c>
      <c r="I339" s="403"/>
    </row>
    <row r="340" spans="1:9" x14ac:dyDescent="0.3">
      <c r="A340" s="405" t="s">
        <v>4</v>
      </c>
      <c r="B340" s="408" t="s">
        <v>177</v>
      </c>
      <c r="C340" s="409" t="str">
        <f>IF($A340="EQUI",VLOOKUP($B340,EQUI!B$16:G$37,2,FALSE),IF($A340="TRAN",VLOOKUP($B340,TRAN!$B$16:$G$26,2,FALSE),IF($A340="MAT",VLOOKUP($B340,'MAT1'!$B$16:$G$43,2,FALSE),IF($A340="MDEO",VLOOKUP($B340,MDEO!$B$16:$P$27,2,FALSE)))))</f>
        <v xml:space="preserve">ayudante </v>
      </c>
      <c r="D340" s="449">
        <f>IF($A340="EQUI",VLOOKUP($B340,EQUI!B$16:G$35,3,FALSE),IF($A340="TRAN",VLOOKUP($B340,TRAN!$B$16:$G$26,3,FALSE),IF($A340="MAT",VLOOKUP($B340,'MAT1'!$B$16:$G$43,3,FALSE),IF($A340="MDEO",VLOOKUP($B340,MDEO!$B$16:$P$33,10,FALSE)))))</f>
        <v>10336.644836388892</v>
      </c>
      <c r="E340" s="410"/>
      <c r="F340" s="438">
        <f>+D340+D340*E340</f>
        <v>10336.644836388892</v>
      </c>
      <c r="G340" s="412">
        <v>0.5</v>
      </c>
      <c r="H340" s="411">
        <f>G340*F340</f>
        <v>5168.3224181944461</v>
      </c>
      <c r="I340" s="403"/>
    </row>
    <row r="341" spans="1:9" x14ac:dyDescent="0.3">
      <c r="A341" s="405" t="s">
        <v>4</v>
      </c>
      <c r="B341" s="408" t="s">
        <v>178</v>
      </c>
      <c r="C341" s="409" t="str">
        <f>IF($A341="EQUI",VLOOKUP($B341,EQUI!B$16:G$37,2,FALSE),IF($A341="TRAN",VLOOKUP($B341,TRAN!$B$16:$G$26,2,FALSE),IF($A341="MAT",VLOOKUP($B341,'MAT1'!$B$16:$G$43,2,FALSE),IF($A341="MDEO",VLOOKUP($B341,MDEO!$B$16:$P$33,2,FALSE)))))</f>
        <v>contra maestro</v>
      </c>
      <c r="D341" s="449">
        <f>IF($A341="EQUI",VLOOKUP($B341,EQUI!B$16:G$35,3,FALSE),IF($A341="TRAN",VLOOKUP($B341,TRAN!$B$16:$G$26,3,FALSE),IF($A341="MAT",VLOOKUP($B341,'MAT1'!$B$16:$G$43,3,FALSE),IF($A341="MDEO",VLOOKUP($B341,MDEO!$B$16:$P$33,10,FALSE)))))</f>
        <v>12974.601086388891</v>
      </c>
      <c r="E341" s="352"/>
      <c r="F341" s="438">
        <f>+D341+D341*E341</f>
        <v>12974.601086388891</v>
      </c>
      <c r="G341" s="412">
        <f>+G338*0.1</f>
        <v>0.05</v>
      </c>
      <c r="H341" s="411">
        <f>G341*F341</f>
        <v>648.73005431944466</v>
      </c>
      <c r="I341" s="403"/>
    </row>
    <row r="342" spans="1:9" x14ac:dyDescent="0.3">
      <c r="A342" s="401"/>
      <c r="C342" s="352"/>
      <c r="D342" s="417"/>
      <c r="E342" s="352"/>
      <c r="F342" s="413" t="s">
        <v>32</v>
      </c>
      <c r="G342" s="402" t="str">
        <f>+B322</f>
        <v>2.8</v>
      </c>
      <c r="H342" s="413" t="s">
        <v>314</v>
      </c>
      <c r="I342" s="396">
        <f>SUM(H338:H341)</f>
        <v>17553.697308902782</v>
      </c>
    </row>
    <row r="343" spans="1:9" x14ac:dyDescent="0.3">
      <c r="A343" s="401" t="s">
        <v>54</v>
      </c>
      <c r="C343" s="352"/>
      <c r="D343" s="417"/>
      <c r="E343" s="352"/>
      <c r="F343" s="352"/>
      <c r="G343" s="352"/>
      <c r="H343" s="350"/>
      <c r="I343" s="396">
        <f>I342*0.05</f>
        <v>877.68486544513917</v>
      </c>
    </row>
    <row r="344" spans="1:9" x14ac:dyDescent="0.3">
      <c r="A344" s="401"/>
      <c r="C344" s="352"/>
      <c r="D344" s="417"/>
      <c r="E344" s="352"/>
      <c r="F344" s="413" t="s">
        <v>55</v>
      </c>
      <c r="G344" s="350"/>
      <c r="H344" s="350"/>
      <c r="I344" s="396">
        <f>ROUND(I342+I343+I331+I327+I335,0)</f>
        <v>18431</v>
      </c>
    </row>
    <row r="345" spans="1:9" x14ac:dyDescent="0.3">
      <c r="A345" s="414"/>
      <c r="B345" s="415"/>
      <c r="C345" s="415"/>
      <c r="D345" s="450"/>
      <c r="E345" s="415"/>
      <c r="F345" s="415"/>
      <c r="G345" s="415"/>
      <c r="H345" s="415"/>
      <c r="I345" s="396"/>
    </row>
    <row r="346" spans="1:9" ht="76.95" customHeight="1" x14ac:dyDescent="0.3">
      <c r="A346" s="724" t="s">
        <v>114</v>
      </c>
      <c r="B346" s="710"/>
      <c r="C346" s="710"/>
      <c r="D346" s="450"/>
      <c r="E346" s="415"/>
      <c r="F346" s="710" t="s">
        <v>396</v>
      </c>
      <c r="G346" s="710"/>
      <c r="H346" s="710"/>
      <c r="I346" s="711"/>
    </row>
    <row r="347" spans="1:9" ht="12.75" customHeight="1" x14ac:dyDescent="0.3">
      <c r="A347" s="397" t="s">
        <v>111</v>
      </c>
      <c r="B347" s="712"/>
      <c r="C347" s="712"/>
      <c r="D347" s="417"/>
      <c r="E347" s="352"/>
      <c r="F347" s="350" t="s">
        <v>111</v>
      </c>
      <c r="G347" s="712"/>
      <c r="H347" s="712"/>
      <c r="I347" s="713"/>
    </row>
    <row r="348" spans="1:9" ht="12.75" customHeight="1" x14ac:dyDescent="0.3">
      <c r="A348" s="439" t="s">
        <v>115</v>
      </c>
      <c r="B348" s="710" t="s">
        <v>1551</v>
      </c>
      <c r="C348" s="710"/>
      <c r="F348" s="432" t="s">
        <v>112</v>
      </c>
      <c r="G348" s="712"/>
      <c r="H348" s="712"/>
      <c r="I348" s="713"/>
    </row>
    <row r="349" spans="1:9" ht="12.75" customHeight="1" x14ac:dyDescent="0.3">
      <c r="A349" s="439" t="s">
        <v>113</v>
      </c>
      <c r="B349" s="710" t="s">
        <v>1554</v>
      </c>
      <c r="C349" s="710"/>
      <c r="F349" s="432" t="s">
        <v>113</v>
      </c>
      <c r="G349" s="712"/>
      <c r="H349" s="712"/>
      <c r="I349" s="713"/>
    </row>
    <row r="350" spans="1:9" ht="12.75" customHeight="1" x14ac:dyDescent="0.3">
      <c r="A350" s="439"/>
      <c r="B350" s="350"/>
      <c r="C350" s="350"/>
      <c r="F350" s="432"/>
      <c r="G350" s="350"/>
      <c r="H350" s="350"/>
      <c r="I350" s="416"/>
    </row>
    <row r="351" spans="1:9" ht="12.75" customHeight="1" x14ac:dyDescent="0.3">
      <c r="A351" s="714" t="s">
        <v>110</v>
      </c>
      <c r="B351" s="715"/>
      <c r="C351" s="715"/>
      <c r="D351" s="715"/>
      <c r="E351" s="715"/>
      <c r="F351" s="715"/>
      <c r="G351" s="715"/>
      <c r="H351" s="715"/>
      <c r="I351" s="716"/>
    </row>
    <row r="352" spans="1:9" ht="22.2" customHeight="1" x14ac:dyDescent="0.3">
      <c r="A352" s="729"/>
      <c r="B352" s="730"/>
      <c r="C352" s="730"/>
      <c r="D352" s="730"/>
      <c r="E352" s="730"/>
      <c r="F352" s="730"/>
      <c r="G352" s="730"/>
      <c r="H352" s="730"/>
      <c r="I352" s="731"/>
    </row>
    <row r="353" spans="1:11" ht="22.2" customHeight="1" x14ac:dyDescent="0.3">
      <c r="A353" s="714"/>
      <c r="B353" s="715"/>
      <c r="C353" s="715"/>
      <c r="D353" s="715"/>
      <c r="E353" s="715"/>
      <c r="F353" s="715"/>
      <c r="G353" s="715"/>
      <c r="H353" s="715"/>
      <c r="I353" s="716"/>
    </row>
    <row r="354" spans="1:11" x14ac:dyDescent="0.3">
      <c r="A354" s="724" t="s">
        <v>68</v>
      </c>
      <c r="B354" s="710"/>
      <c r="C354" s="710"/>
      <c r="D354" s="710"/>
      <c r="E354" s="710"/>
      <c r="F354" s="710"/>
      <c r="G354" s="710"/>
      <c r="H354" s="710"/>
      <c r="I354" s="711"/>
    </row>
    <row r="355" spans="1:11" ht="14.4" customHeight="1" x14ac:dyDescent="0.3">
      <c r="A355" s="390" t="s">
        <v>69</v>
      </c>
      <c r="B355" s="391" t="s">
        <v>221</v>
      </c>
      <c r="C355" s="710" t="s">
        <v>70</v>
      </c>
      <c r="D355" s="723" t="str">
        <f>VLOOKUP(B355,'AJUSTE PRESUPUESTO'!$A$18:$I$95,3,FALSE)</f>
        <v>Mano de obra para instalación de tubería Novafort 450mm  para red aguas lluvias</v>
      </c>
      <c r="E355" s="723"/>
      <c r="F355" s="723"/>
      <c r="G355" s="723"/>
      <c r="H355" s="723"/>
      <c r="I355" s="728"/>
    </row>
    <row r="356" spans="1:11" x14ac:dyDescent="0.3">
      <c r="A356" s="390" t="s">
        <v>71</v>
      </c>
      <c r="B356" s="391" t="str">
        <f>VLOOKUP(B355,PRESUPUESTO!$A$18:$I$76,2,FALSE)</f>
        <v>804C-EPM</v>
      </c>
      <c r="C356" s="710"/>
      <c r="D356" s="355" t="s">
        <v>12</v>
      </c>
      <c r="E356" s="392" t="s">
        <v>129</v>
      </c>
      <c r="F356" s="392" t="s">
        <v>13</v>
      </c>
      <c r="G356" s="392">
        <f>VLOOKUP(B355,PRESUPUESTO!$A$15:$I$1659,6,FALSE)</f>
        <v>1228.6500000000001</v>
      </c>
      <c r="H356" s="393" t="s">
        <v>27</v>
      </c>
      <c r="I356" s="394">
        <f>+I377</f>
        <v>18800</v>
      </c>
    </row>
    <row r="357" spans="1:11" x14ac:dyDescent="0.3">
      <c r="A357" s="395" t="s">
        <v>14</v>
      </c>
      <c r="B357" s="386"/>
      <c r="C357" s="352"/>
      <c r="D357" s="417"/>
      <c r="E357" s="352"/>
      <c r="F357" s="352"/>
      <c r="G357" s="352"/>
      <c r="H357" s="352"/>
      <c r="I357" s="396"/>
    </row>
    <row r="358" spans="1:11" x14ac:dyDescent="0.3">
      <c r="A358" s="720" t="s">
        <v>19</v>
      </c>
      <c r="B358" s="712"/>
      <c r="C358" s="712"/>
      <c r="D358" s="712"/>
      <c r="E358" s="712"/>
      <c r="F358" s="350" t="s">
        <v>28</v>
      </c>
      <c r="G358" s="350" t="s">
        <v>29</v>
      </c>
      <c r="H358" s="350" t="s">
        <v>30</v>
      </c>
      <c r="I358" s="403"/>
    </row>
    <row r="359" spans="1:11" x14ac:dyDescent="0.3">
      <c r="A359" s="397" t="s">
        <v>1</v>
      </c>
      <c r="B359" s="398"/>
      <c r="C359" s="721"/>
      <c r="D359" s="721"/>
      <c r="E359" s="721"/>
      <c r="F359" s="355"/>
      <c r="G359" s="352"/>
      <c r="H359" s="404">
        <f>+F359*G359</f>
        <v>0</v>
      </c>
      <c r="I359" s="403"/>
    </row>
    <row r="360" spans="1:11" x14ac:dyDescent="0.3">
      <c r="A360" s="401"/>
      <c r="C360" s="352"/>
      <c r="D360" s="417"/>
      <c r="E360" s="352"/>
      <c r="F360" s="413" t="s">
        <v>32</v>
      </c>
      <c r="G360" s="402" t="str">
        <f>+B355</f>
        <v>2.9</v>
      </c>
      <c r="H360" s="402" t="s">
        <v>315</v>
      </c>
      <c r="I360" s="396">
        <f>SUM(H359:H359)</f>
        <v>0</v>
      </c>
    </row>
    <row r="361" spans="1:11" x14ac:dyDescent="0.3">
      <c r="A361" s="395" t="s">
        <v>34</v>
      </c>
      <c r="B361" s="386"/>
      <c r="C361" s="352"/>
      <c r="D361" s="417"/>
      <c r="E361" s="352"/>
      <c r="F361" s="352"/>
      <c r="G361" s="352"/>
      <c r="H361" s="352"/>
      <c r="I361" s="403"/>
    </row>
    <row r="362" spans="1:11" x14ac:dyDescent="0.3">
      <c r="A362" s="720" t="s">
        <v>35</v>
      </c>
      <c r="B362" s="712"/>
      <c r="C362" s="712"/>
      <c r="D362" s="712"/>
      <c r="E362" s="350" t="s">
        <v>12</v>
      </c>
      <c r="F362" s="350" t="s">
        <v>36</v>
      </c>
      <c r="G362" s="350" t="s">
        <v>37</v>
      </c>
      <c r="H362" s="350" t="s">
        <v>38</v>
      </c>
      <c r="I362" s="403"/>
    </row>
    <row r="363" spans="1:11" x14ac:dyDescent="0.3">
      <c r="A363" s="397" t="s">
        <v>523</v>
      </c>
      <c r="B363" s="398" t="s">
        <v>39</v>
      </c>
      <c r="C363" s="721" t="str">
        <f>IF($A363="EQUI",VLOOKUP($B363,EQUI!B$16:G$35,2,FALSE),IF($A363="TRAN",VLOOKUP($B363,TRAN!$B$16:$G$26,2,FALSE),IF($A363="MAT1",VLOOKUP($B363,'MAT1'!$B$16:$G$43,2,FALSE),IF($A363="MAT2",VLOOKUP($B363,'MAT2'!$B$16:$G$55,2,FALSE),IF($A363="MDEO",VLOOKUP($B363,MDEO!$B$16:$P$27,2,FALSE))))))</f>
        <v>Tubería Novafort 18"</v>
      </c>
      <c r="D363" s="721"/>
      <c r="E363" s="355" t="str">
        <f>IF($A363="EQUI",VLOOKUP($B363,EQUI!B$16:G$35,3,FALSE),IF($A363="TRAN",VLOOKUP($B363,TRAN!$B$16:$G$26,3,FALSE),IF($A363="MAT1",VLOOKUP($B363,'MAT1'!$B$16:$G$43,3,FALSE),IF($A363="MAT2",VLOOKUP($B363,'MAT2'!$B$16:$G$55,3,FALSE),IF($A363="MDEO",VLOOKUP($B363,MDEO!$B$16:$P$27,3,FALSE))))))</f>
        <v>ML</v>
      </c>
      <c r="F363" s="355">
        <f>IF($A363="EQUI",VLOOKUP($B363,EQUI!B$16:G$35,4,FALSE),IF($A363="TRAN",VLOOKUP($B363,TRAN!$B$16:$G$26,4,FALSE),IF($A363="MAT1",VLOOKUP($B363,'MAT1'!$B$16:$G$43,4,FALSE),IF($A363="MAT2",VLOOKUP($B363,'MAT2'!$B$16:$G$53,4,FALSE),IF($A363="MDEO",VLOOKUP($B363,MDEO!$B$16:$P$27,4,FALSE))))))</f>
        <v>242088.5</v>
      </c>
      <c r="G363" s="352">
        <v>1</v>
      </c>
      <c r="H363" s="404"/>
      <c r="I363" s="403"/>
      <c r="K363" s="441">
        <f>+G363*G356</f>
        <v>1228.6500000000001</v>
      </c>
    </row>
    <row r="364" spans="1:11" x14ac:dyDescent="0.3">
      <c r="A364" s="401"/>
      <c r="C364" s="352"/>
      <c r="D364" s="417"/>
      <c r="E364" s="352"/>
      <c r="F364" s="413" t="s">
        <v>32</v>
      </c>
      <c r="G364" s="402" t="str">
        <f>+B355</f>
        <v>2.9</v>
      </c>
      <c r="H364" s="402" t="s">
        <v>316</v>
      </c>
      <c r="I364" s="403">
        <f>SUM(H363:H363)</f>
        <v>0</v>
      </c>
    </row>
    <row r="365" spans="1:11" x14ac:dyDescent="0.3">
      <c r="A365" s="395" t="s">
        <v>15</v>
      </c>
      <c r="B365" s="386"/>
      <c r="C365" s="352"/>
      <c r="D365" s="417"/>
      <c r="E365" s="352"/>
      <c r="F365" s="352"/>
      <c r="G365" s="352"/>
      <c r="H365" s="352"/>
      <c r="I365" s="403"/>
    </row>
    <row r="366" spans="1:11" ht="11.4" x14ac:dyDescent="0.3">
      <c r="A366" s="720" t="s">
        <v>19</v>
      </c>
      <c r="B366" s="712"/>
      <c r="C366" s="712"/>
      <c r="D366" s="355" t="s">
        <v>43</v>
      </c>
      <c r="E366" s="350" t="s">
        <v>44</v>
      </c>
      <c r="F366" s="355" t="s">
        <v>45</v>
      </c>
      <c r="G366" s="350" t="s">
        <v>17</v>
      </c>
      <c r="H366" s="350" t="s">
        <v>30</v>
      </c>
      <c r="I366" s="403"/>
    </row>
    <row r="367" spans="1:11" x14ac:dyDescent="0.3">
      <c r="A367" s="405" t="s">
        <v>3</v>
      </c>
      <c r="B367" s="406"/>
      <c r="C367" s="440"/>
      <c r="D367" s="355"/>
      <c r="E367" s="352"/>
      <c r="F367" s="352"/>
      <c r="G367" s="352"/>
      <c r="H367" s="352">
        <f>+G367*F367</f>
        <v>0</v>
      </c>
      <c r="I367" s="403"/>
    </row>
    <row r="368" spans="1:11" x14ac:dyDescent="0.3">
      <c r="A368" s="401"/>
      <c r="C368" s="352"/>
      <c r="D368" s="417"/>
      <c r="E368" s="352"/>
      <c r="F368" s="413" t="s">
        <v>32</v>
      </c>
      <c r="G368" s="402" t="str">
        <f>+B355</f>
        <v>2.9</v>
      </c>
      <c r="H368" s="402" t="s">
        <v>317</v>
      </c>
      <c r="I368" s="403">
        <f>SUM(H367:H367)</f>
        <v>0</v>
      </c>
    </row>
    <row r="369" spans="1:9" ht="12.75" customHeight="1" x14ac:dyDescent="0.3">
      <c r="A369" s="395" t="s">
        <v>1107</v>
      </c>
      <c r="B369" s="386"/>
      <c r="C369" s="352"/>
      <c r="D369" s="417"/>
      <c r="E369" s="352"/>
      <c r="F369" s="352"/>
      <c r="G369" s="352"/>
      <c r="H369" s="352"/>
      <c r="I369" s="403"/>
    </row>
    <row r="370" spans="1:9" x14ac:dyDescent="0.3">
      <c r="A370" s="722" t="s">
        <v>47</v>
      </c>
      <c r="B370" s="723"/>
      <c r="C370" s="723"/>
      <c r="D370" s="355" t="s">
        <v>48</v>
      </c>
      <c r="E370" s="355" t="s">
        <v>109</v>
      </c>
      <c r="F370" s="380" t="s">
        <v>49</v>
      </c>
      <c r="G370" s="380" t="s">
        <v>29</v>
      </c>
      <c r="H370" s="355" t="s">
        <v>30</v>
      </c>
      <c r="I370" s="407"/>
    </row>
    <row r="371" spans="1:9" x14ac:dyDescent="0.3">
      <c r="A371" s="405" t="s">
        <v>4</v>
      </c>
      <c r="B371" s="408" t="s">
        <v>175</v>
      </c>
      <c r="C371" s="409" t="str">
        <f>IF($A371="EQUI",VLOOKUP($B371,EQUI!B$16:G$37,2,FALSE),IF($A371="TRAN",VLOOKUP($B371,TRAN!$B$16:$G$26,2,FALSE),IF($A371="MAT",VLOOKUP($B371,'MAT1'!$B$16:$G$43,2,FALSE),IF($A371="MDEO",VLOOKUP($B371,MDEO!$B$16:$P$27,2,FALSE)))))</f>
        <v xml:space="preserve">oficial </v>
      </c>
      <c r="D371" s="449">
        <f>IF($A371="EQUI",VLOOKUP($B371,EQUI!B$16:G$35,3,FALSE),IF($A371="TRAN",VLOOKUP($B371,TRAN!$B$16:$G$26,3,FALSE),IF($A371="MAT",VLOOKUP($B371,'MAT1'!$B$16:$G$43,3,FALSE),IF($A371="MDEO",VLOOKUP($B371,MDEO!$B$16:$P$33,10,FALSE)))))</f>
        <v>12336.644836388892</v>
      </c>
      <c r="E371" s="410"/>
      <c r="F371" s="438">
        <f>+D371+D371*E371</f>
        <v>12336.644836388892</v>
      </c>
      <c r="G371" s="412">
        <v>0.51</v>
      </c>
      <c r="H371" s="411">
        <f>G371*F371</f>
        <v>6291.6888665583347</v>
      </c>
      <c r="I371" s="403"/>
    </row>
    <row r="372" spans="1:9" x14ac:dyDescent="0.3">
      <c r="A372" s="405" t="s">
        <v>4</v>
      </c>
      <c r="B372" s="408" t="s">
        <v>176</v>
      </c>
      <c r="C372" s="409" t="str">
        <f>IF($A372="EQUI",VLOOKUP($B372,EQUI!B$16:G$37,2,FALSE),IF($A372="TRAN",VLOOKUP($B372,TRAN!$B$16:$G$26,2,FALSE),IF($A372="MAT",VLOOKUP($B372,'MAT1'!$B$16:$G$43,2,FALSE),IF($A372="MDEO",VLOOKUP($B372,MDEO!$B$16:$P$27,2,FALSE)))))</f>
        <v xml:space="preserve">ayudante entendido </v>
      </c>
      <c r="D372" s="449">
        <f>IF($A372="EQUI",VLOOKUP($B372,EQUI!B$16:G$35,3,FALSE),IF($A372="TRAN",VLOOKUP($B372,TRAN!$B$16:$G$26,3,FALSE),IF($A372="MAT",VLOOKUP($B372,'MAT1'!$B$16:$G$43,3,FALSE),IF($A372="MDEO",VLOOKUP($B372,MDEO!$B$16:$P$33,10,FALSE)))))</f>
        <v>11136.644836388892</v>
      </c>
      <c r="E372" s="410"/>
      <c r="F372" s="438">
        <f>+D372+D372*E372</f>
        <v>11136.644836388892</v>
      </c>
      <c r="G372" s="412">
        <v>0.51</v>
      </c>
      <c r="H372" s="411">
        <f>G372*F372</f>
        <v>5679.6888665583347</v>
      </c>
      <c r="I372" s="403"/>
    </row>
    <row r="373" spans="1:9" x14ac:dyDescent="0.3">
      <c r="A373" s="405" t="s">
        <v>4</v>
      </c>
      <c r="B373" s="408" t="s">
        <v>177</v>
      </c>
      <c r="C373" s="409" t="str">
        <f>IF($A373="EQUI",VLOOKUP($B373,EQUI!B$16:G$37,2,FALSE),IF($A373="TRAN",VLOOKUP($B373,TRAN!$B$16:$G$26,2,FALSE),IF($A373="MAT",VLOOKUP($B373,'MAT1'!$B$16:$G$43,2,FALSE),IF($A373="MDEO",VLOOKUP($B373,MDEO!$B$16:$P$27,2,FALSE)))))</f>
        <v xml:space="preserve">ayudante </v>
      </c>
      <c r="D373" s="449">
        <f>IF($A373="EQUI",VLOOKUP($B373,EQUI!B$16:G$35,3,FALSE),IF($A373="TRAN",VLOOKUP($B373,TRAN!$B$16:$G$26,3,FALSE),IF($A373="MAT",VLOOKUP($B373,'MAT1'!$B$16:$G$43,3,FALSE),IF($A373="MDEO",VLOOKUP($B373,MDEO!$B$16:$P$33,10,FALSE)))))</f>
        <v>10336.644836388892</v>
      </c>
      <c r="E373" s="410"/>
      <c r="F373" s="438">
        <f>+D373+D373*E373</f>
        <v>10336.644836388892</v>
      </c>
      <c r="G373" s="412">
        <v>0.51</v>
      </c>
      <c r="H373" s="411">
        <f>G373*F373</f>
        <v>5271.6888665583347</v>
      </c>
      <c r="I373" s="403"/>
    </row>
    <row r="374" spans="1:9" x14ac:dyDescent="0.3">
      <c r="A374" s="405" t="s">
        <v>4</v>
      </c>
      <c r="B374" s="408" t="s">
        <v>178</v>
      </c>
      <c r="C374" s="409" t="str">
        <f>IF($A374="EQUI",VLOOKUP($B374,EQUI!B$16:G$37,2,FALSE),IF($A374="TRAN",VLOOKUP($B374,TRAN!$B$16:$G$26,2,FALSE),IF($A374="MAT",VLOOKUP($B374,'MAT1'!$B$16:$G$43,2,FALSE),IF($A374="MDEO",VLOOKUP($B374,MDEO!$B$16:$P$33,2,FALSE)))))</f>
        <v>contra maestro</v>
      </c>
      <c r="D374" s="449">
        <f>IF($A374="EQUI",VLOOKUP($B374,EQUI!B$16:G$35,3,FALSE),IF($A374="TRAN",VLOOKUP($B374,TRAN!$B$16:$G$26,3,FALSE),IF($A374="MAT",VLOOKUP($B374,'MAT1'!$B$16:$G$43,3,FALSE),IF($A374="MDEO",VLOOKUP($B374,MDEO!$B$16:$P$33,10,FALSE)))))</f>
        <v>12974.601086388891</v>
      </c>
      <c r="E374" s="352"/>
      <c r="F374" s="438">
        <f>+D374+D374*E374</f>
        <v>12974.601086388891</v>
      </c>
      <c r="G374" s="412">
        <f>+G371*0.1</f>
        <v>5.1000000000000004E-2</v>
      </c>
      <c r="H374" s="411">
        <f>G374*F374</f>
        <v>661.70465540583348</v>
      </c>
      <c r="I374" s="403"/>
    </row>
    <row r="375" spans="1:9" x14ac:dyDescent="0.3">
      <c r="A375" s="401"/>
      <c r="C375" s="352"/>
      <c r="D375" s="417"/>
      <c r="E375" s="352"/>
      <c r="F375" s="413" t="s">
        <v>32</v>
      </c>
      <c r="G375" s="402" t="str">
        <f>+B355</f>
        <v>2.9</v>
      </c>
      <c r="H375" s="413" t="s">
        <v>318</v>
      </c>
      <c r="I375" s="396">
        <f>SUM(H371:H374)</f>
        <v>17904.771255080836</v>
      </c>
    </row>
    <row r="376" spans="1:9" x14ac:dyDescent="0.3">
      <c r="A376" s="401" t="s">
        <v>54</v>
      </c>
      <c r="C376" s="352"/>
      <c r="D376" s="417"/>
      <c r="E376" s="352"/>
      <c r="F376" s="352"/>
      <c r="G376" s="352"/>
      <c r="H376" s="350"/>
      <c r="I376" s="396">
        <f>I375*0.05</f>
        <v>895.23856275404182</v>
      </c>
    </row>
    <row r="377" spans="1:9" x14ac:dyDescent="0.3">
      <c r="A377" s="401"/>
      <c r="C377" s="352"/>
      <c r="D377" s="417"/>
      <c r="E377" s="352"/>
      <c r="F377" s="413" t="s">
        <v>55</v>
      </c>
      <c r="G377" s="350"/>
      <c r="H377" s="350"/>
      <c r="I377" s="396">
        <f>ROUND(I375+I376+I364+I360+I368,0)</f>
        <v>18800</v>
      </c>
    </row>
    <row r="378" spans="1:9" ht="76.95" customHeight="1" x14ac:dyDescent="0.3">
      <c r="A378" s="724" t="s">
        <v>114</v>
      </c>
      <c r="B378" s="710"/>
      <c r="C378" s="710"/>
      <c r="D378" s="450"/>
      <c r="E378" s="415"/>
      <c r="F378" s="710" t="s">
        <v>396</v>
      </c>
      <c r="G378" s="710"/>
      <c r="H378" s="710"/>
      <c r="I378" s="711"/>
    </row>
    <row r="379" spans="1:9" ht="12.75" customHeight="1" x14ac:dyDescent="0.3">
      <c r="A379" s="397" t="s">
        <v>111</v>
      </c>
      <c r="B379" s="712"/>
      <c r="C379" s="712"/>
      <c r="D379" s="417"/>
      <c r="E379" s="352"/>
      <c r="F379" s="350" t="s">
        <v>111</v>
      </c>
      <c r="G379" s="712"/>
      <c r="H379" s="712"/>
      <c r="I379" s="713"/>
    </row>
    <row r="380" spans="1:9" ht="12.75" customHeight="1" x14ac:dyDescent="0.3">
      <c r="A380" s="439" t="s">
        <v>115</v>
      </c>
      <c r="B380" s="710" t="s">
        <v>1551</v>
      </c>
      <c r="C380" s="710"/>
      <c r="F380" s="432" t="s">
        <v>112</v>
      </c>
      <c r="G380" s="712"/>
      <c r="H380" s="712"/>
      <c r="I380" s="713"/>
    </row>
    <row r="381" spans="1:9" ht="12.75" customHeight="1" x14ac:dyDescent="0.3">
      <c r="A381" s="439" t="s">
        <v>113</v>
      </c>
      <c r="B381" s="710" t="s">
        <v>1554</v>
      </c>
      <c r="C381" s="710"/>
      <c r="F381" s="432" t="s">
        <v>113</v>
      </c>
      <c r="G381" s="712"/>
      <c r="H381" s="712"/>
      <c r="I381" s="713"/>
    </row>
    <row r="382" spans="1:9" ht="12.75" customHeight="1" x14ac:dyDescent="0.3">
      <c r="A382" s="439"/>
      <c r="B382" s="350"/>
      <c r="C382" s="350"/>
      <c r="F382" s="432"/>
      <c r="G382" s="350"/>
      <c r="H382" s="350"/>
      <c r="I382" s="416"/>
    </row>
    <row r="383" spans="1:9" ht="12.75" customHeight="1" x14ac:dyDescent="0.3">
      <c r="A383" s="714" t="s">
        <v>110</v>
      </c>
      <c r="B383" s="715"/>
      <c r="C383" s="715"/>
      <c r="D383" s="715"/>
      <c r="E383" s="715"/>
      <c r="F383" s="715"/>
      <c r="G383" s="715"/>
      <c r="H383" s="715"/>
      <c r="I383" s="716"/>
    </row>
    <row r="384" spans="1:9" ht="22.2" customHeight="1" x14ac:dyDescent="0.3">
      <c r="A384" s="729"/>
      <c r="B384" s="730"/>
      <c r="C384" s="730"/>
      <c r="D384" s="730"/>
      <c r="E384" s="730"/>
      <c r="F384" s="730"/>
      <c r="G384" s="730"/>
      <c r="H384" s="730"/>
      <c r="I384" s="731"/>
    </row>
    <row r="385" spans="1:11" ht="22.2" customHeight="1" x14ac:dyDescent="0.3">
      <c r="A385" s="714"/>
      <c r="B385" s="715"/>
      <c r="C385" s="715"/>
      <c r="D385" s="715"/>
      <c r="E385" s="715"/>
      <c r="F385" s="715"/>
      <c r="G385" s="715"/>
      <c r="H385" s="715"/>
      <c r="I385" s="716"/>
    </row>
    <row r="386" spans="1:11" x14ac:dyDescent="0.3">
      <c r="A386" s="433"/>
      <c r="I386" s="434"/>
    </row>
    <row r="387" spans="1:11" x14ac:dyDescent="0.3">
      <c r="A387" s="724" t="s">
        <v>68</v>
      </c>
      <c r="B387" s="710"/>
      <c r="C387" s="710"/>
      <c r="D387" s="710"/>
      <c r="E387" s="710"/>
      <c r="F387" s="710"/>
      <c r="G387" s="710"/>
      <c r="H387" s="710"/>
      <c r="I387" s="711"/>
    </row>
    <row r="388" spans="1:11" ht="14.4" customHeight="1" x14ac:dyDescent="0.3">
      <c r="A388" s="390" t="s">
        <v>69</v>
      </c>
      <c r="B388" s="391" t="s">
        <v>426</v>
      </c>
      <c r="C388" s="710" t="s">
        <v>70</v>
      </c>
      <c r="D388" s="723" t="str">
        <f>VLOOKUP(B388,'AJUSTE PRESUPUESTO'!$A$18:$I$95,3,FALSE)</f>
        <v>Mano de obra para instalación de tubería Novafort 600mm  para red aguas lluvias</v>
      </c>
      <c r="E388" s="723"/>
      <c r="F388" s="723"/>
      <c r="G388" s="723"/>
      <c r="H388" s="723"/>
      <c r="I388" s="728"/>
    </row>
    <row r="389" spans="1:11" x14ac:dyDescent="0.3">
      <c r="A389" s="390" t="s">
        <v>71</v>
      </c>
      <c r="B389" s="391" t="str">
        <f>VLOOKUP(B388,PRESUPUESTO!$A$18:$I$76,2,FALSE)</f>
        <v>803D-EPM</v>
      </c>
      <c r="C389" s="710"/>
      <c r="D389" s="355" t="s">
        <v>12</v>
      </c>
      <c r="E389" s="392" t="s">
        <v>129</v>
      </c>
      <c r="F389" s="392" t="s">
        <v>13</v>
      </c>
      <c r="G389" s="392">
        <f>VLOOKUP(B388,PRESUPUESTO!$A$15:$I$1659,6,FALSE)</f>
        <v>560</v>
      </c>
      <c r="H389" s="393" t="s">
        <v>27</v>
      </c>
      <c r="I389" s="394">
        <f>+I410</f>
        <v>19169</v>
      </c>
    </row>
    <row r="390" spans="1:11" x14ac:dyDescent="0.3">
      <c r="A390" s="395" t="s">
        <v>14</v>
      </c>
      <c r="B390" s="386"/>
      <c r="C390" s="352"/>
      <c r="D390" s="417"/>
      <c r="E390" s="352"/>
      <c r="F390" s="352"/>
      <c r="G390" s="352"/>
      <c r="H390" s="352"/>
      <c r="I390" s="396"/>
    </row>
    <row r="391" spans="1:11" x14ac:dyDescent="0.3">
      <c r="A391" s="720" t="s">
        <v>19</v>
      </c>
      <c r="B391" s="712"/>
      <c r="C391" s="712"/>
      <c r="D391" s="712"/>
      <c r="E391" s="712"/>
      <c r="F391" s="350" t="s">
        <v>28</v>
      </c>
      <c r="G391" s="350" t="s">
        <v>29</v>
      </c>
      <c r="H391" s="350" t="s">
        <v>30</v>
      </c>
      <c r="I391" s="403"/>
    </row>
    <row r="392" spans="1:11" x14ac:dyDescent="0.3">
      <c r="A392" s="397" t="s">
        <v>1</v>
      </c>
      <c r="B392" s="398"/>
      <c r="C392" s="721"/>
      <c r="D392" s="721"/>
      <c r="E392" s="721"/>
      <c r="F392" s="355"/>
      <c r="G392" s="352"/>
      <c r="H392" s="404">
        <f>+F392*G392</f>
        <v>0</v>
      </c>
      <c r="I392" s="403"/>
    </row>
    <row r="393" spans="1:11" x14ac:dyDescent="0.3">
      <c r="A393" s="401"/>
      <c r="C393" s="352"/>
      <c r="D393" s="417"/>
      <c r="E393" s="352"/>
      <c r="F393" s="413" t="s">
        <v>32</v>
      </c>
      <c r="G393" s="402" t="str">
        <f>+B388</f>
        <v>2.10</v>
      </c>
      <c r="H393" s="402" t="s">
        <v>420</v>
      </c>
      <c r="I393" s="396">
        <f>SUM(H392:H392)</f>
        <v>0</v>
      </c>
    </row>
    <row r="394" spans="1:11" x14ac:dyDescent="0.3">
      <c r="A394" s="395" t="s">
        <v>34</v>
      </c>
      <c r="B394" s="386"/>
      <c r="C394" s="352"/>
      <c r="D394" s="417"/>
      <c r="E394" s="352"/>
      <c r="F394" s="352"/>
      <c r="G394" s="352"/>
      <c r="H394" s="352"/>
      <c r="I394" s="403"/>
    </row>
    <row r="395" spans="1:11" x14ac:dyDescent="0.3">
      <c r="A395" s="720" t="s">
        <v>35</v>
      </c>
      <c r="B395" s="712"/>
      <c r="C395" s="712"/>
      <c r="D395" s="712"/>
      <c r="E395" s="350" t="s">
        <v>12</v>
      </c>
      <c r="F395" s="350" t="s">
        <v>36</v>
      </c>
      <c r="G395" s="350" t="s">
        <v>37</v>
      </c>
      <c r="H395" s="350" t="s">
        <v>38</v>
      </c>
      <c r="I395" s="403"/>
    </row>
    <row r="396" spans="1:11" x14ac:dyDescent="0.3">
      <c r="A396" s="397" t="s">
        <v>523</v>
      </c>
      <c r="B396" s="398" t="s">
        <v>149</v>
      </c>
      <c r="C396" s="721" t="str">
        <f>IF($A396="EQUI",VLOOKUP($B396,EQUI!B$16:G$35,2,FALSE),IF($A396="TRAN",VLOOKUP($B396,TRAN!$B$16:$G$26,2,FALSE),IF($A396="MAT1",VLOOKUP($B396,'MAT1'!$B$16:$G$43,2,FALSE),IF($A396="MAT2",VLOOKUP($B396,'MAT2'!$B$16:$G$55,2,FALSE),IF($A396="MDEO",VLOOKUP($B396,MDEO!$B$16:$P$27,2,FALSE))))))</f>
        <v>Tubería Novafort 24"</v>
      </c>
      <c r="D396" s="721"/>
      <c r="E396" s="355" t="str">
        <f>IF($A396="EQUI",VLOOKUP($B396,EQUI!B$16:G$35,3,FALSE),IF($A396="TRAN",VLOOKUP($B396,TRAN!$B$16:$G$26,3,FALSE),IF($A396="MAT1",VLOOKUP($B396,'MAT1'!$B$16:$G$43,3,FALSE),IF($A396="MAT2",VLOOKUP($B396,'MAT2'!$B$16:$G$55,3,FALSE),IF($A396="MDEO",VLOOKUP($B396,MDEO!$B$16:$P$27,3,FALSE))))))</f>
        <v>ML</v>
      </c>
      <c r="F396" s="355">
        <f>IF($A396="EQUI",VLOOKUP($B396,EQUI!B$16:G$35,4,FALSE),IF($A396="TRAN",VLOOKUP($B396,TRAN!$B$16:$G$26,4,FALSE),IF($A396="MAT1",VLOOKUP($B396,'MAT1'!$B$16:$G$43,4,FALSE),IF($A396="MAT2",VLOOKUP($B396,'MAT2'!$B$16:$G$53,4,FALSE),IF($A396="MDEO",VLOOKUP($B396,MDEO!$B$16:$P$27,4,FALSE))))))</f>
        <v>448153.84615384613</v>
      </c>
      <c r="G396" s="352">
        <v>1</v>
      </c>
      <c r="H396" s="404"/>
      <c r="I396" s="403"/>
      <c r="K396" s="441">
        <f>+G396*G389</f>
        <v>560</v>
      </c>
    </row>
    <row r="397" spans="1:11" x14ac:dyDescent="0.3">
      <c r="A397" s="401"/>
      <c r="C397" s="352"/>
      <c r="D397" s="417"/>
      <c r="E397" s="352"/>
      <c r="F397" s="413" t="s">
        <v>32</v>
      </c>
      <c r="G397" s="402" t="str">
        <f>+B388</f>
        <v>2.10</v>
      </c>
      <c r="H397" s="402" t="s">
        <v>421</v>
      </c>
      <c r="I397" s="403">
        <f>SUM(H396:H396)</f>
        <v>0</v>
      </c>
    </row>
    <row r="398" spans="1:11" x14ac:dyDescent="0.3">
      <c r="A398" s="395" t="s">
        <v>15</v>
      </c>
      <c r="B398" s="386"/>
      <c r="C398" s="352"/>
      <c r="D398" s="417"/>
      <c r="E398" s="352"/>
      <c r="F398" s="352"/>
      <c r="G398" s="352"/>
      <c r="H398" s="352"/>
      <c r="I398" s="403"/>
    </row>
    <row r="399" spans="1:11" ht="11.4" x14ac:dyDescent="0.3">
      <c r="A399" s="720" t="s">
        <v>19</v>
      </c>
      <c r="B399" s="712"/>
      <c r="C399" s="712"/>
      <c r="D399" s="355" t="s">
        <v>43</v>
      </c>
      <c r="E399" s="350" t="s">
        <v>44</v>
      </c>
      <c r="F399" s="355" t="s">
        <v>45</v>
      </c>
      <c r="G399" s="350" t="s">
        <v>17</v>
      </c>
      <c r="H399" s="350" t="s">
        <v>30</v>
      </c>
      <c r="I399" s="403"/>
    </row>
    <row r="400" spans="1:11" x14ac:dyDescent="0.3">
      <c r="A400" s="405" t="s">
        <v>3</v>
      </c>
      <c r="B400" s="406"/>
      <c r="C400" s="440"/>
      <c r="D400" s="355"/>
      <c r="E400" s="352"/>
      <c r="F400" s="352"/>
      <c r="G400" s="352"/>
      <c r="H400" s="352">
        <f>+G400*F400</f>
        <v>0</v>
      </c>
      <c r="I400" s="403"/>
    </row>
    <row r="401" spans="1:9" x14ac:dyDescent="0.3">
      <c r="A401" s="401"/>
      <c r="C401" s="352"/>
      <c r="D401" s="417"/>
      <c r="E401" s="352"/>
      <c r="F401" s="413" t="s">
        <v>32</v>
      </c>
      <c r="G401" s="402" t="str">
        <f>+B388</f>
        <v>2.10</v>
      </c>
      <c r="H401" s="402" t="s">
        <v>422</v>
      </c>
      <c r="I401" s="403">
        <f>SUM(H400:H400)</f>
        <v>0</v>
      </c>
    </row>
    <row r="402" spans="1:9" ht="12.75" customHeight="1" x14ac:dyDescent="0.3">
      <c r="A402" s="395" t="s">
        <v>1107</v>
      </c>
      <c r="B402" s="386"/>
      <c r="C402" s="352"/>
      <c r="D402" s="417"/>
      <c r="E402" s="352"/>
      <c r="F402" s="352"/>
      <c r="G402" s="352"/>
      <c r="H402" s="352"/>
      <c r="I402" s="403"/>
    </row>
    <row r="403" spans="1:9" x14ac:dyDescent="0.3">
      <c r="A403" s="722" t="s">
        <v>47</v>
      </c>
      <c r="B403" s="723"/>
      <c r="C403" s="723"/>
      <c r="D403" s="355" t="s">
        <v>48</v>
      </c>
      <c r="E403" s="355" t="s">
        <v>109</v>
      </c>
      <c r="F403" s="380" t="s">
        <v>49</v>
      </c>
      <c r="G403" s="380" t="s">
        <v>29</v>
      </c>
      <c r="H403" s="355" t="s">
        <v>30</v>
      </c>
      <c r="I403" s="407"/>
    </row>
    <row r="404" spans="1:9" x14ac:dyDescent="0.3">
      <c r="A404" s="405" t="s">
        <v>4</v>
      </c>
      <c r="B404" s="408" t="s">
        <v>175</v>
      </c>
      <c r="C404" s="409" t="str">
        <f>IF($A404="EQUI",VLOOKUP($B404,EQUI!B$16:G$37,2,FALSE),IF($A404="TRAN",VLOOKUP($B404,TRAN!$B$16:$G$26,2,FALSE),IF($A404="MAT",VLOOKUP($B404,'MAT1'!$B$16:$G$43,2,FALSE),IF($A404="MDEO",VLOOKUP($B404,MDEO!$B$16:$P$27,2,FALSE)))))</f>
        <v xml:space="preserve">oficial </v>
      </c>
      <c r="D404" s="449">
        <f>IF($A404="EQUI",VLOOKUP($B404,EQUI!B$16:G$35,3,FALSE),IF($A404="TRAN",VLOOKUP($B404,TRAN!$B$16:$G$26,3,FALSE),IF($A404="MAT",VLOOKUP($B404,'MAT1'!$B$16:$G$43,3,FALSE),IF($A404="MDEO",VLOOKUP($B404,MDEO!$B$16:$P$33,10,FALSE)))))</f>
        <v>12336.644836388892</v>
      </c>
      <c r="E404" s="410"/>
      <c r="F404" s="438">
        <f>+D404+D404*E404</f>
        <v>12336.644836388892</v>
      </c>
      <c r="G404" s="412">
        <v>0.52</v>
      </c>
      <c r="H404" s="411">
        <f>G404*F404</f>
        <v>6415.0553149222242</v>
      </c>
      <c r="I404" s="403"/>
    </row>
    <row r="405" spans="1:9" x14ac:dyDescent="0.3">
      <c r="A405" s="405" t="s">
        <v>4</v>
      </c>
      <c r="B405" s="408" t="s">
        <v>176</v>
      </c>
      <c r="C405" s="409" t="str">
        <f>IF($A405="EQUI",VLOOKUP($B405,EQUI!B$16:G$37,2,FALSE),IF($A405="TRAN",VLOOKUP($B405,TRAN!$B$16:$G$26,2,FALSE),IF($A405="MAT",VLOOKUP($B405,'MAT1'!$B$16:$G$43,2,FALSE),IF($A405="MDEO",VLOOKUP($B405,MDEO!$B$16:$P$27,2,FALSE)))))</f>
        <v xml:space="preserve">ayudante entendido </v>
      </c>
      <c r="D405" s="449">
        <f>IF($A405="EQUI",VLOOKUP($B405,EQUI!B$16:G$35,3,FALSE),IF($A405="TRAN",VLOOKUP($B405,TRAN!$B$16:$G$26,3,FALSE),IF($A405="MAT",VLOOKUP($B405,'MAT1'!$B$16:$G$43,3,FALSE),IF($A405="MDEO",VLOOKUP($B405,MDEO!$B$16:$P$33,10,FALSE)))))</f>
        <v>11136.644836388892</v>
      </c>
      <c r="E405" s="410"/>
      <c r="F405" s="438">
        <f>+D405+D405*E405</f>
        <v>11136.644836388892</v>
      </c>
      <c r="G405" s="412">
        <v>0.52</v>
      </c>
      <c r="H405" s="411">
        <f>G405*F405</f>
        <v>5791.0553149222242</v>
      </c>
      <c r="I405" s="403"/>
    </row>
    <row r="406" spans="1:9" x14ac:dyDescent="0.3">
      <c r="A406" s="405" t="s">
        <v>4</v>
      </c>
      <c r="B406" s="408" t="s">
        <v>177</v>
      </c>
      <c r="C406" s="409" t="str">
        <f>IF($A406="EQUI",VLOOKUP($B406,EQUI!B$16:G$37,2,FALSE),IF($A406="TRAN",VLOOKUP($B406,TRAN!$B$16:$G$26,2,FALSE),IF($A406="MAT",VLOOKUP($B406,'MAT1'!$B$16:$G$43,2,FALSE),IF($A406="MDEO",VLOOKUP($B406,MDEO!$B$16:$P$27,2,FALSE)))))</f>
        <v xml:space="preserve">ayudante </v>
      </c>
      <c r="D406" s="449">
        <f>IF($A406="EQUI",VLOOKUP($B406,EQUI!B$16:G$35,3,FALSE),IF($A406="TRAN",VLOOKUP($B406,TRAN!$B$16:$G$26,3,FALSE),IF($A406="MAT",VLOOKUP($B406,'MAT1'!$B$16:$G$43,3,FALSE),IF($A406="MDEO",VLOOKUP($B406,MDEO!$B$16:$P$33,10,FALSE)))))</f>
        <v>10336.644836388892</v>
      </c>
      <c r="E406" s="410"/>
      <c r="F406" s="438">
        <f>+D406+D406*E406</f>
        <v>10336.644836388892</v>
      </c>
      <c r="G406" s="412">
        <v>0.52</v>
      </c>
      <c r="H406" s="411">
        <f>G406*F406</f>
        <v>5375.0553149222242</v>
      </c>
      <c r="I406" s="403"/>
    </row>
    <row r="407" spans="1:9" x14ac:dyDescent="0.3">
      <c r="A407" s="405" t="s">
        <v>4</v>
      </c>
      <c r="B407" s="408" t="s">
        <v>178</v>
      </c>
      <c r="C407" s="409" t="str">
        <f>IF($A407="EQUI",VLOOKUP($B407,EQUI!B$16:G$37,2,FALSE),IF($A407="TRAN",VLOOKUP($B407,TRAN!$B$16:$G$26,2,FALSE),IF($A407="MAT",VLOOKUP($B407,'MAT1'!$B$16:$G$43,2,FALSE),IF($A407="MDEO",VLOOKUP($B407,MDEO!$B$16:$P$33,2,FALSE)))))</f>
        <v>contra maestro</v>
      </c>
      <c r="D407" s="449">
        <f>IF($A407="EQUI",VLOOKUP($B407,EQUI!B$16:G$35,3,FALSE),IF($A407="TRAN",VLOOKUP($B407,TRAN!$B$16:$G$26,3,FALSE),IF($A407="MAT",VLOOKUP($B407,'MAT1'!$B$16:$G$43,3,FALSE),IF($A407="MDEO",VLOOKUP($B407,MDEO!$B$16:$P$33,10,FALSE)))))</f>
        <v>12974.601086388891</v>
      </c>
      <c r="E407" s="352"/>
      <c r="F407" s="438">
        <f>+D407+D407*E407</f>
        <v>12974.601086388891</v>
      </c>
      <c r="G407" s="412">
        <f>+G404*0.1</f>
        <v>5.2000000000000005E-2</v>
      </c>
      <c r="H407" s="411">
        <f>G407*F407</f>
        <v>674.67925649222241</v>
      </c>
      <c r="I407" s="403"/>
    </row>
    <row r="408" spans="1:9" x14ac:dyDescent="0.3">
      <c r="A408" s="401"/>
      <c r="C408" s="352"/>
      <c r="D408" s="417"/>
      <c r="E408" s="352"/>
      <c r="F408" s="413" t="s">
        <v>32</v>
      </c>
      <c r="G408" s="402" t="str">
        <f>+B388</f>
        <v>2.10</v>
      </c>
      <c r="H408" s="413" t="s">
        <v>423</v>
      </c>
      <c r="I408" s="396">
        <f>SUM(H404:H407)</f>
        <v>18255.845201258893</v>
      </c>
    </row>
    <row r="409" spans="1:9" x14ac:dyDescent="0.3">
      <c r="A409" s="401" t="s">
        <v>54</v>
      </c>
      <c r="C409" s="352"/>
      <c r="D409" s="417"/>
      <c r="E409" s="352"/>
      <c r="F409" s="352"/>
      <c r="G409" s="352"/>
      <c r="H409" s="350"/>
      <c r="I409" s="396">
        <f>I408*0.05</f>
        <v>912.79226006294471</v>
      </c>
    </row>
    <row r="410" spans="1:9" x14ac:dyDescent="0.3">
      <c r="A410" s="401"/>
      <c r="C410" s="352"/>
      <c r="D410" s="417"/>
      <c r="E410" s="352"/>
      <c r="F410" s="413" t="s">
        <v>55</v>
      </c>
      <c r="G410" s="350"/>
      <c r="H410" s="350"/>
      <c r="I410" s="396">
        <f>ROUND(I408+I409+I397+I393+I401,0)</f>
        <v>19169</v>
      </c>
    </row>
    <row r="411" spans="1:9" x14ac:dyDescent="0.3">
      <c r="A411" s="414"/>
      <c r="B411" s="415"/>
      <c r="C411" s="415"/>
      <c r="D411" s="450"/>
      <c r="E411" s="415"/>
      <c r="F411" s="415"/>
      <c r="G411" s="415"/>
      <c r="H411" s="415"/>
      <c r="I411" s="396"/>
    </row>
    <row r="412" spans="1:9" ht="76.95" customHeight="1" x14ac:dyDescent="0.3">
      <c r="A412" s="724" t="s">
        <v>114</v>
      </c>
      <c r="B412" s="710"/>
      <c r="C412" s="710"/>
      <c r="D412" s="450"/>
      <c r="E412" s="415"/>
      <c r="F412" s="710" t="s">
        <v>396</v>
      </c>
      <c r="G412" s="710"/>
      <c r="H412" s="710"/>
      <c r="I412" s="711"/>
    </row>
    <row r="413" spans="1:9" ht="12.75" customHeight="1" x14ac:dyDescent="0.3">
      <c r="A413" s="397" t="s">
        <v>111</v>
      </c>
      <c r="B413" s="712"/>
      <c r="C413" s="712"/>
      <c r="D413" s="417"/>
      <c r="E413" s="352"/>
      <c r="F413" s="350" t="s">
        <v>111</v>
      </c>
      <c r="G413" s="712"/>
      <c r="H413" s="712"/>
      <c r="I413" s="713"/>
    </row>
    <row r="414" spans="1:9" ht="12.75" customHeight="1" x14ac:dyDescent="0.3">
      <c r="A414" s="439" t="s">
        <v>115</v>
      </c>
      <c r="B414" s="710" t="s">
        <v>1551</v>
      </c>
      <c r="C414" s="710"/>
      <c r="F414" s="432" t="s">
        <v>112</v>
      </c>
      <c r="G414" s="712"/>
      <c r="H414" s="712"/>
      <c r="I414" s="713"/>
    </row>
    <row r="415" spans="1:9" ht="12.75" customHeight="1" x14ac:dyDescent="0.3">
      <c r="A415" s="439" t="s">
        <v>113</v>
      </c>
      <c r="B415" s="710" t="s">
        <v>1554</v>
      </c>
      <c r="C415" s="710"/>
      <c r="F415" s="432" t="s">
        <v>113</v>
      </c>
      <c r="G415" s="712"/>
      <c r="H415" s="712"/>
      <c r="I415" s="713"/>
    </row>
    <row r="416" spans="1:9" ht="12.75" customHeight="1" x14ac:dyDescent="0.3">
      <c r="A416" s="439"/>
      <c r="B416" s="350"/>
      <c r="C416" s="350"/>
      <c r="F416" s="432"/>
      <c r="G416" s="350"/>
      <c r="H416" s="350"/>
      <c r="I416" s="416"/>
    </row>
    <row r="417" spans="1:15" ht="12.75" customHeight="1" x14ac:dyDescent="0.3">
      <c r="A417" s="714" t="s">
        <v>110</v>
      </c>
      <c r="B417" s="715"/>
      <c r="C417" s="715"/>
      <c r="D417" s="715"/>
      <c r="E417" s="715"/>
      <c r="F417" s="715"/>
      <c r="G417" s="715"/>
      <c r="H417" s="715"/>
      <c r="I417" s="716"/>
    </row>
    <row r="418" spans="1:15" ht="28.2" customHeight="1" x14ac:dyDescent="0.3">
      <c r="A418" s="729"/>
      <c r="B418" s="730"/>
      <c r="C418" s="730"/>
      <c r="D418" s="730"/>
      <c r="E418" s="730"/>
      <c r="F418" s="730"/>
      <c r="G418" s="730"/>
      <c r="H418" s="730"/>
      <c r="I418" s="731"/>
    </row>
    <row r="419" spans="1:15" ht="28.2" customHeight="1" x14ac:dyDescent="0.3">
      <c r="A419" s="714"/>
      <c r="B419" s="715"/>
      <c r="C419" s="715"/>
      <c r="D419" s="715"/>
      <c r="E419" s="715"/>
      <c r="F419" s="715"/>
      <c r="G419" s="715"/>
      <c r="H419" s="715"/>
      <c r="I419" s="716"/>
    </row>
    <row r="420" spans="1:15" x14ac:dyDescent="0.3">
      <c r="A420" s="433"/>
      <c r="I420" s="434"/>
    </row>
    <row r="421" spans="1:15" x14ac:dyDescent="0.3">
      <c r="A421" s="724" t="s">
        <v>68</v>
      </c>
      <c r="B421" s="710"/>
      <c r="C421" s="710"/>
      <c r="D421" s="710"/>
      <c r="E421" s="710"/>
      <c r="F421" s="710"/>
      <c r="G421" s="710"/>
      <c r="H421" s="710"/>
      <c r="I421" s="711"/>
    </row>
    <row r="422" spans="1:15" ht="14.4" customHeight="1" x14ac:dyDescent="0.3">
      <c r="A422" s="390" t="s">
        <v>69</v>
      </c>
      <c r="B422" s="391" t="s">
        <v>412</v>
      </c>
      <c r="C422" s="710" t="s">
        <v>70</v>
      </c>
      <c r="D422" s="723" t="str">
        <f>VLOOKUP(B422,'AJUSTE PRESUPUESTO'!$A$18:$I$95,3,FALSE)</f>
        <v xml:space="preserve">Construcción de caja colectora zona verde,  medida interna 1*1 h=1.2m espesores de 0,2m </v>
      </c>
      <c r="E422" s="723"/>
      <c r="F422" s="723"/>
      <c r="G422" s="723"/>
      <c r="H422" s="723"/>
      <c r="I422" s="728"/>
    </row>
    <row r="423" spans="1:15" x14ac:dyDescent="0.3">
      <c r="A423" s="390" t="s">
        <v>71</v>
      </c>
      <c r="B423" s="391" t="str">
        <f>VLOOKUP(B422,PRESUPUESTO!$A$18:$I$76,2,FALSE)</f>
        <v>PAR-19</v>
      </c>
      <c r="C423" s="710"/>
      <c r="D423" s="355" t="s">
        <v>12</v>
      </c>
      <c r="E423" s="392" t="s">
        <v>12</v>
      </c>
      <c r="F423" s="392" t="s">
        <v>13</v>
      </c>
      <c r="G423" s="392">
        <f>VLOOKUP(B422,PRESUPUESTO!$A$15:$I$1673,6,FALSE)</f>
        <v>36</v>
      </c>
      <c r="H423" s="393" t="s">
        <v>27</v>
      </c>
      <c r="I423" s="394">
        <f>+I448</f>
        <v>1338089</v>
      </c>
    </row>
    <row r="424" spans="1:15" x14ac:dyDescent="0.3">
      <c r="A424" s="395" t="s">
        <v>14</v>
      </c>
      <c r="B424" s="386"/>
      <c r="C424" s="352"/>
      <c r="D424" s="417"/>
      <c r="E424" s="352"/>
      <c r="F424" s="352"/>
      <c r="G424" s="352"/>
      <c r="H424" s="352"/>
      <c r="I424" s="396"/>
    </row>
    <row r="425" spans="1:15" x14ac:dyDescent="0.3">
      <c r="A425" s="720" t="s">
        <v>19</v>
      </c>
      <c r="B425" s="712"/>
      <c r="C425" s="712"/>
      <c r="D425" s="712"/>
      <c r="E425" s="712"/>
      <c r="F425" s="350" t="s">
        <v>28</v>
      </c>
      <c r="G425" s="350" t="s">
        <v>29</v>
      </c>
      <c r="H425" s="350" t="s">
        <v>30</v>
      </c>
      <c r="I425" s="403"/>
    </row>
    <row r="426" spans="1:15" x14ac:dyDescent="0.3">
      <c r="A426" s="397" t="s">
        <v>1</v>
      </c>
      <c r="B426" s="398" t="s">
        <v>1384</v>
      </c>
      <c r="C426" s="721" t="str">
        <f>IF($A426="EQUI",VLOOKUP($B426,EQUI!B$16:G$48,2,FALSE),IF($A426="TRAN",VLOOKUP($B426,TRAN!$B$16:$G$26,2,FALSE),IF(A426="MAT",VLOOKUP($B426,'MAT1'!$B$16:$G$43,2,FALSE),IF(A426="MDEO",VLOOKUP($B426,MDEO!$B$16:$P$27,2,FALSE)))))</f>
        <v>Formaleta para caja interna de insopecion  1*1</v>
      </c>
      <c r="D426" s="721" t="e">
        <f>IF($A426="EQUI",VLOOKUP($B426,EQUI!C$16:H$40,2,FALSE),IF($A426="TRAN",VLOOKUP($B426,TRAN!$B$16:$G$26,2,FALSE),IF(B426="MAT",VLOOKUP($B426,'MAT1'!$B$16:$G$43,2,FALSE),IF(B426="MDEO",VLOOKUP($B426,MDEO!$B$16:$P$27,2,FALSE)))))</f>
        <v>#N/A</v>
      </c>
      <c r="E426" s="355" t="str">
        <f>IF($A426="EQUI",VLOOKUP($B426,EQUI!B$16:G$49,3,FALSE),IF($A426="TRAN",VLOOKUP($B426,TRAN!$B$16:$G$26,3,FALSE),IF($A426="MAT1",VLOOKUP($B426,'MAT1'!$B$16:$G$43,3,FALSE),IF($A426="MAT2",VLOOKUP($B426,'MAT2'!$B$16:$G$55,3,FALSE),IF($A426="MDEO",VLOOKUP($B426,MDEO!$B$16:$P$27,3,FALSE))))))</f>
        <v>HORA</v>
      </c>
      <c r="F426" s="443">
        <f>IF($A426="EQUI",VLOOKUP($B426,EQUI!B$16:G$48,4,FALSE),IF($A426="TRAN",VLOOKUP($B426,TRAN!$B$16:$G$26,4,FALSE),IF($A426="MAT",VLOOKUP($B426,[7]MAT!$B$16:$G$83,4,FALSE),IF($A426="MDEO",VLOOKUP($B426,MDEO!$B$16:$I$21,4,FALSE)))))</f>
        <v>7500</v>
      </c>
      <c r="G426" s="352">
        <v>4</v>
      </c>
      <c r="H426" s="404">
        <f>+F426*G426</f>
        <v>30000</v>
      </c>
      <c r="I426" s="403"/>
    </row>
    <row r="427" spans="1:15" x14ac:dyDescent="0.3">
      <c r="A427" s="397" t="s">
        <v>1</v>
      </c>
      <c r="B427" s="398" t="s">
        <v>1387</v>
      </c>
      <c r="C427" s="721" t="str">
        <f>IF($A427="EQUI",VLOOKUP($B427,EQUI!B$16:G$49,2,FALSE),IF($A427="TRAN",VLOOKUP($B427,TRAN!$B$16:$G$26,2,FALSE),IF(A427="MAT",VLOOKUP($B427,'MAT1'!$B$16:$G$43,2,FALSE),IF(A427="MDEO",VLOOKUP($B427,MDEO!$B$16:$P$27,2,FALSE)))))</f>
        <v>formaleta para tapa de caja</v>
      </c>
      <c r="D427" s="721" t="e">
        <f>IF($A427="EQUI",VLOOKUP($B427,EQUI!C$16:H$40,2,FALSE),IF($A427="TRAN",VLOOKUP($B427,TRAN!$B$16:$G$26,2,FALSE),IF(B427="MAT",VLOOKUP($B427,'MAT1'!$B$16:$G$43,2,FALSE),IF(B427="MDEO",VLOOKUP($B427,MDEO!$B$16:$P$27,2,FALSE)))))</f>
        <v>#N/A</v>
      </c>
      <c r="E427" s="355" t="str">
        <f>IF($A427="EQUI",VLOOKUP($B427,EQUI!B$16:G$49,3,FALSE),IF($A427="TRAN",VLOOKUP($B427,TRAN!$B$16:$G$26,3,FALSE),IF($A427="MAT1",VLOOKUP($B427,'MAT1'!$B$16:$G$43,3,FALSE),IF($A427="MAT2",VLOOKUP($B427,'MAT2'!$B$16:$G$55,3,FALSE),IF($A427="MDEO",VLOOKUP($B427,MDEO!$B$16:$P$27,3,FALSE))))))</f>
        <v>HORA</v>
      </c>
      <c r="F427" s="443">
        <v>7500</v>
      </c>
      <c r="G427" s="352">
        <v>1</v>
      </c>
      <c r="H427" s="404">
        <f>+F427*G427</f>
        <v>7500</v>
      </c>
      <c r="I427" s="403"/>
    </row>
    <row r="428" spans="1:15" x14ac:dyDescent="0.3">
      <c r="A428" s="401"/>
      <c r="B428" s="398"/>
      <c r="C428" s="352"/>
      <c r="D428" s="417"/>
      <c r="E428" s="352"/>
      <c r="F428" s="413" t="s">
        <v>32</v>
      </c>
      <c r="G428" s="402" t="str">
        <f>+B422</f>
        <v>2.11</v>
      </c>
      <c r="H428" s="402" t="s">
        <v>319</v>
      </c>
      <c r="I428" s="396">
        <f>SUM(H426:H427)</f>
        <v>37500</v>
      </c>
    </row>
    <row r="429" spans="1:15" x14ac:dyDescent="0.3">
      <c r="A429" s="395" t="s">
        <v>34</v>
      </c>
      <c r="B429" s="386"/>
      <c r="C429" s="352"/>
      <c r="D429" s="417"/>
      <c r="E429" s="352"/>
      <c r="F429" s="352"/>
      <c r="G429" s="352"/>
      <c r="H429" s="352"/>
      <c r="I429" s="403"/>
    </row>
    <row r="430" spans="1:15" x14ac:dyDescent="0.3">
      <c r="A430" s="720" t="s">
        <v>35</v>
      </c>
      <c r="B430" s="712"/>
      <c r="C430" s="712"/>
      <c r="D430" s="712"/>
      <c r="E430" s="350" t="s">
        <v>12</v>
      </c>
      <c r="F430" s="350" t="s">
        <v>36</v>
      </c>
      <c r="G430" s="350" t="s">
        <v>37</v>
      </c>
      <c r="H430" s="350" t="s">
        <v>38</v>
      </c>
      <c r="I430" s="403"/>
    </row>
    <row r="431" spans="1:15" ht="15" customHeight="1" x14ac:dyDescent="0.3">
      <c r="A431" s="397" t="s">
        <v>523</v>
      </c>
      <c r="B431" s="398" t="s">
        <v>139</v>
      </c>
      <c r="C431" s="721" t="str">
        <f>IF($A431="EQUI",VLOOKUP($B431,EQUI!B$16:G$35,2,FALSE),IF($A431="TRAN",VLOOKUP($B431,TRAN!$B$16:$G$26,2,FALSE),IF($A431="MAT1",VLOOKUP($B431,'MAT1'!$B$16:$G$43,2,FALSE),IF($A431="MAT2",VLOOKUP($B431,'MAT2'!$B$16:$G$55,2,FALSE),IF($A431="MDEO",VLOOKUP($B431,MDEO!$B$16:$P$27,2,FALSE))))))</f>
        <v>Concreto 3000psi en obra</v>
      </c>
      <c r="D431" s="721"/>
      <c r="E431" s="355" t="str">
        <f>IF($A431="EQUI",VLOOKUP($B431,EQUI!B$16:G$35,3,FALSE),IF($A431="TRAN",VLOOKUP($B431,TRAN!$B$16:$G$26,3,FALSE),IF($A431="MAT1",VLOOKUP($B431,'MAT1'!$B$16:$G$43,3,FALSE),IF($A431="MAT2",VLOOKUP($B431,'MAT2'!$B$16:$G$55,3,FALSE),IF($A431="MDEO",VLOOKUP($B431,MDEO!$B$16:$P$27,3,FALSE))))))</f>
        <v>M3</v>
      </c>
      <c r="F431" s="355">
        <f>IF($A431="EQUI",VLOOKUP($B431,EQUI!B$16:G$35,4,FALSE),IF($A431="TRAN",VLOOKUP($B431,TRAN!$B$16:$G$26,4,FALSE),IF($A431="MAT1",VLOOKUP($B431,'MAT1'!$B$16:$G$43,4,FALSE),IF($A431="MAT2",VLOOKUP($B431,'MAT2'!$B$16:$G$53,4,FALSE),IF($A431="MDEO",VLOOKUP($B431,MDEO!$B$16:$P$27,4,FALSE))))))</f>
        <v>498450</v>
      </c>
      <c r="G431" s="352">
        <v>1.36</v>
      </c>
      <c r="H431" s="404">
        <f>G431*F431</f>
        <v>677892</v>
      </c>
      <c r="I431" s="403"/>
      <c r="K431" s="441">
        <f>+G431*G423</f>
        <v>48.96</v>
      </c>
      <c r="M431" s="430">
        <f>+G431*G423*7</f>
        <v>342.72</v>
      </c>
      <c r="N431" s="430">
        <f>+G431*G423*0.5</f>
        <v>24.48</v>
      </c>
      <c r="O431" s="430">
        <f>+G431*G423*0.8</f>
        <v>39.168000000000006</v>
      </c>
    </row>
    <row r="432" spans="1:15" ht="14.4" customHeight="1" x14ac:dyDescent="0.3">
      <c r="A432" s="397" t="s">
        <v>522</v>
      </c>
      <c r="B432" s="398" t="s">
        <v>145</v>
      </c>
      <c r="C432" s="721" t="str">
        <f>IF($A432="EQUI",VLOOKUP($B432,EQUI!B$16:G$35,2,FALSE),IF($A432="TRAN",VLOOKUP($B432,TRAN!$B$16:$G$26,2,FALSE),IF($A432="MAT1",VLOOKUP($B432,'MAT1'!$B$16:$G$43,2,FALSE),IF($A432="MAT2",VLOOKUP($B432,'MAT2'!$B$16:$G$55,2,FALSE),IF($A432="MDEO",VLOOKUP($B432,MDEO!$B$16:$P$27,2,FALSE))))))</f>
        <v>herraje para caj reg. 1x1 con tapa</v>
      </c>
      <c r="D432" s="721"/>
      <c r="E432" s="355" t="str">
        <f>IF($A432="EQUI",VLOOKUP($B432,EQUI!B$16:G$35,3,FALSE),IF($A432="TRAN",VLOOKUP($B432,TRAN!$B$16:$G$26,3,FALSE),IF($A432="MAT1",VLOOKUP($B432,'MAT1'!$B$16:$G$43,3,FALSE),IF($A432="MAT2",VLOOKUP($B432,'MAT2'!$B$16:$G$55,3,FALSE),IF($A432="MDEO",VLOOKUP($B432,MDEO!$B$16:$P$27,3,FALSE))))))</f>
        <v>UND</v>
      </c>
      <c r="F432" s="355">
        <f>IF($A432="EQUI",VLOOKUP($B432,EQUI!B$16:G$35,4,FALSE),IF($A432="TRAN",VLOOKUP($B432,TRAN!$B$16:$G$26,4,FALSE),IF($A432="MAT1",VLOOKUP($B432,'MAT1'!$B$16:$G$43,4,FALSE),IF($A432="MAT2",VLOOKUP($B432,'MAT2'!$B$16:$G$53,4,FALSE),IF($A432="MDEO",VLOOKUP($B432,MDEO!$B$16:$P$27,4,FALSE))))))</f>
        <v>290000</v>
      </c>
      <c r="G432" s="352">
        <v>1</v>
      </c>
      <c r="H432" s="404">
        <f>G432*F432</f>
        <v>290000</v>
      </c>
      <c r="I432" s="403"/>
    </row>
    <row r="433" spans="1:11" x14ac:dyDescent="0.3">
      <c r="A433" s="397" t="s">
        <v>523</v>
      </c>
      <c r="B433" s="398" t="s">
        <v>134</v>
      </c>
      <c r="C433" s="721" t="str">
        <f>IF($A433="EQUI",VLOOKUP($B433,EQUI!B$16:G$35,2,FALSE),IF($A433="TRAN",VLOOKUP($B433,TRAN!$B$16:$G$26,2,FALSE),IF($A433="MAT1",VLOOKUP($B433,'MAT1'!$B$16:$G$43,2,FALSE),IF($A433="MAT2",VLOOKUP($B433,'MAT2'!$B$16:$G$55,2,FALSE),IF($A433="MDEO",VLOOKUP($B433,MDEO!$B$16:$P$27,2,FALSE))))))</f>
        <v>Acero  60000 psi</v>
      </c>
      <c r="D433" s="721"/>
      <c r="E433" s="355" t="str">
        <f>IF($A433="EQUI",VLOOKUP($B433,EQUI!B$16:G$35,3,FALSE),IF($A433="TRAN",VLOOKUP($B433,TRAN!$B$16:$G$26,3,FALSE),IF($A433="MAT1",VLOOKUP($B433,'MAT1'!$B$16:$G$43,3,FALSE),IF($A433="MAT2",VLOOKUP($B433,'MAT2'!$B$16:$G$55,3,FALSE),IF($A433="MDEO",VLOOKUP($B433,MDEO!$B$16:$P$27,3,FALSE))))))</f>
        <v>KG</v>
      </c>
      <c r="F433" s="355">
        <f>IF($A433="EQUI",VLOOKUP($B433,EQUI!B$16:G$35,4,FALSE),IF($A433="TRAN",VLOOKUP($B433,TRAN!$B$16:$G$26,4,FALSE),IF($A433="MAT1",VLOOKUP($B433,'MAT1'!$B$16:$G$43,4,FALSE),IF($A433="MAT2",VLOOKUP($B433,'MAT2'!$B$16:$G$53,4,FALSE),IF($A433="MDEO",VLOOKUP($B433,MDEO!$B$16:$P$27,4,FALSE))))))</f>
        <v>6913</v>
      </c>
      <c r="G433" s="352">
        <v>28</v>
      </c>
      <c r="H433" s="404"/>
      <c r="I433" s="403"/>
      <c r="K433" s="441">
        <f>+G433*G423</f>
        <v>1008</v>
      </c>
    </row>
    <row r="434" spans="1:11" x14ac:dyDescent="0.3">
      <c r="A434" s="397" t="s">
        <v>523</v>
      </c>
      <c r="B434" s="398" t="s">
        <v>41</v>
      </c>
      <c r="C434" s="721" t="str">
        <f>IF($A434="EQUI",VLOOKUP($B434,EQUI!B$16:G$35,2,FALSE),IF($A434="TRAN",VLOOKUP($B434,TRAN!$B$16:$G$26,2,FALSE),IF($A434="MAT1",VLOOKUP($B434,'MAT1'!$B$16:$G$43,2,FALSE),IF($A434="MAT2",VLOOKUP($B434,'MAT2'!$B$16:$G$55,2,FALSE),IF($A434="MDEO",VLOOKUP($B434,MDEO!$B$16:$P$27,2,FALSE))))))</f>
        <v>Alambre quemado</v>
      </c>
      <c r="D434" s="721"/>
      <c r="E434" s="355" t="str">
        <f>IF($A434="EQUI",VLOOKUP($B434,EQUI!B$16:G$35,3,FALSE),IF($A434="TRAN",VLOOKUP($B434,TRAN!$B$16:$G$26,3,FALSE),IF($A434="MAT1",VLOOKUP($B434,'MAT1'!$B$16:$G$43,3,FALSE),IF($A434="MAT2",VLOOKUP($B434,'MAT2'!$B$16:$G$55,3,FALSE),IF($A434="MDEO",VLOOKUP($B434,MDEO!$B$16:$P$27,3,FALSE))))))</f>
        <v>KG</v>
      </c>
      <c r="F434" s="355">
        <f>IF($A434="EQUI",VLOOKUP($B434,EQUI!B$16:G$35,4,FALSE),IF($A434="TRAN",VLOOKUP($B434,TRAN!$B$16:$G$26,4,FALSE),IF($A434="MAT1",VLOOKUP($B434,'MAT1'!$B$16:$G$43,4,FALSE),IF($A434="MAT2",VLOOKUP($B434,'MAT2'!$B$16:$G$53,4,FALSE),IF($A434="MDEO",VLOOKUP($B434,MDEO!$B$16:$P$27,4,FALSE))))))</f>
        <v>8321</v>
      </c>
      <c r="G434" s="352">
        <f>0.004*G433</f>
        <v>0.112</v>
      </c>
      <c r="H434" s="404">
        <f>G434*F434</f>
        <v>931.952</v>
      </c>
      <c r="I434" s="403"/>
    </row>
    <row r="435" spans="1:11" x14ac:dyDescent="0.3">
      <c r="A435" s="401"/>
      <c r="C435" s="352"/>
      <c r="D435" s="417"/>
      <c r="E435" s="352"/>
      <c r="F435" s="413" t="s">
        <v>32</v>
      </c>
      <c r="G435" s="402" t="str">
        <f>+B422</f>
        <v>2.11</v>
      </c>
      <c r="H435" s="402" t="s">
        <v>320</v>
      </c>
      <c r="I435" s="403">
        <f>SUM(H431:H434)</f>
        <v>968823.95200000005</v>
      </c>
    </row>
    <row r="436" spans="1:11" x14ac:dyDescent="0.3">
      <c r="A436" s="395" t="s">
        <v>15</v>
      </c>
      <c r="B436" s="386"/>
      <c r="C436" s="352"/>
      <c r="D436" s="417"/>
      <c r="E436" s="352"/>
      <c r="F436" s="352"/>
      <c r="G436" s="352"/>
      <c r="H436" s="352"/>
      <c r="I436" s="403"/>
    </row>
    <row r="437" spans="1:11" ht="19.95" customHeight="1" x14ac:dyDescent="0.3">
      <c r="A437" s="720" t="s">
        <v>19</v>
      </c>
      <c r="B437" s="712"/>
      <c r="C437" s="712"/>
      <c r="D437" s="355" t="s">
        <v>43</v>
      </c>
      <c r="E437" s="350" t="s">
        <v>44</v>
      </c>
      <c r="F437" s="355" t="s">
        <v>45</v>
      </c>
      <c r="G437" s="350" t="s">
        <v>17</v>
      </c>
      <c r="H437" s="350" t="s">
        <v>30</v>
      </c>
      <c r="I437" s="403"/>
    </row>
    <row r="438" spans="1:11" x14ac:dyDescent="0.3">
      <c r="A438" s="405" t="s">
        <v>3</v>
      </c>
      <c r="B438" s="406"/>
      <c r="C438" s="440"/>
      <c r="D438" s="355"/>
      <c r="E438" s="352"/>
      <c r="F438" s="352"/>
      <c r="G438" s="352"/>
      <c r="H438" s="352">
        <f>+G438*F438</f>
        <v>0</v>
      </c>
      <c r="I438" s="403"/>
    </row>
    <row r="439" spans="1:11" x14ac:dyDescent="0.3">
      <c r="A439" s="401"/>
      <c r="C439" s="352"/>
      <c r="D439" s="417"/>
      <c r="E439" s="352"/>
      <c r="F439" s="413" t="s">
        <v>32</v>
      </c>
      <c r="G439" s="402" t="str">
        <f>+B422</f>
        <v>2.11</v>
      </c>
      <c r="H439" s="402" t="s">
        <v>321</v>
      </c>
      <c r="I439" s="403">
        <f>SUM(H438:H438)</f>
        <v>0</v>
      </c>
    </row>
    <row r="440" spans="1:11" ht="12.75" customHeight="1" x14ac:dyDescent="0.3">
      <c r="A440" s="395" t="s">
        <v>1107</v>
      </c>
      <c r="B440" s="386"/>
      <c r="C440" s="352"/>
      <c r="D440" s="417"/>
      <c r="E440" s="352"/>
      <c r="F440" s="352"/>
      <c r="G440" s="352"/>
      <c r="H440" s="352"/>
      <c r="I440" s="403"/>
    </row>
    <row r="441" spans="1:11" x14ac:dyDescent="0.3">
      <c r="A441" s="722" t="s">
        <v>47</v>
      </c>
      <c r="B441" s="723"/>
      <c r="C441" s="723"/>
      <c r="D441" s="355" t="s">
        <v>48</v>
      </c>
      <c r="E441" s="355" t="s">
        <v>109</v>
      </c>
      <c r="F441" s="380" t="s">
        <v>49</v>
      </c>
      <c r="G441" s="380" t="s">
        <v>29</v>
      </c>
      <c r="H441" s="355" t="s">
        <v>30</v>
      </c>
      <c r="I441" s="407"/>
    </row>
    <row r="442" spans="1:11" x14ac:dyDescent="0.3">
      <c r="A442" s="405" t="s">
        <v>4</v>
      </c>
      <c r="B442" s="408" t="s">
        <v>175</v>
      </c>
      <c r="C442" s="409" t="str">
        <f>IF($A442="EQUI",VLOOKUP($B442,EQUI!B$16:G$37,2,FALSE),IF($A442="TRAN",VLOOKUP($B442,TRAN!$B$16:$G$26,2,FALSE),IF($A442="MAT",VLOOKUP($B442,'MAT1'!$B$16:$G$43,2,FALSE),IF($A442="MDEO",VLOOKUP($B442,MDEO!$B$16:$P$27,2,FALSE)))))</f>
        <v xml:space="preserve">oficial </v>
      </c>
      <c r="D442" s="449">
        <f>IF($A442="EQUI",VLOOKUP($B442,EQUI!B$16:G$35,3,FALSE),IF($A442="TRAN",VLOOKUP($B442,TRAN!$B$16:$G$26,3,FALSE),IF($A442="MAT",VLOOKUP($B442,'MAT1'!$B$16:$G$43,3,FALSE),IF($A442="MDEO",VLOOKUP($B442,MDEO!$B$16:$P$33,10,FALSE)))))</f>
        <v>12336.644836388892</v>
      </c>
      <c r="E442" s="410"/>
      <c r="F442" s="438">
        <f>+D442+D442*E442</f>
        <v>12336.644836388892</v>
      </c>
      <c r="G442" s="412">
        <v>9</v>
      </c>
      <c r="H442" s="411">
        <f>G442*F442</f>
        <v>111029.80352750003</v>
      </c>
      <c r="I442" s="403"/>
    </row>
    <row r="443" spans="1:11" x14ac:dyDescent="0.3">
      <c r="A443" s="405" t="s">
        <v>4</v>
      </c>
      <c r="B443" s="408" t="s">
        <v>176</v>
      </c>
      <c r="C443" s="409" t="str">
        <f>IF($A443="EQUI",VLOOKUP($B443,EQUI!B$16:G$37,2,FALSE),IF($A443="TRAN",VLOOKUP($B443,TRAN!$B$16:$G$26,2,FALSE),IF($A443="MAT",VLOOKUP($B443,'MAT1'!$B$16:$G$43,2,FALSE),IF($A443="MDEO",VLOOKUP($B443,MDEO!$B$16:$P$27,2,FALSE)))))</f>
        <v xml:space="preserve">ayudante entendido </v>
      </c>
      <c r="D443" s="449">
        <f>IF($A443="EQUI",VLOOKUP($B443,EQUI!B$16:G$35,3,FALSE),IF($A443="TRAN",VLOOKUP($B443,TRAN!$B$16:$G$26,3,FALSE),IF($A443="MAT",VLOOKUP($B443,'MAT1'!$B$16:$G$43,3,FALSE),IF($A443="MDEO",VLOOKUP($B443,MDEO!$B$16:$P$33,10,FALSE)))))</f>
        <v>11136.644836388892</v>
      </c>
      <c r="E443" s="410"/>
      <c r="F443" s="438">
        <f>+D443+D443*E443</f>
        <v>11136.644836388892</v>
      </c>
      <c r="G443" s="412">
        <v>9</v>
      </c>
      <c r="H443" s="411">
        <f>G443*F443</f>
        <v>100229.80352750003</v>
      </c>
      <c r="I443" s="403"/>
    </row>
    <row r="444" spans="1:11" x14ac:dyDescent="0.3">
      <c r="A444" s="405" t="s">
        <v>4</v>
      </c>
      <c r="B444" s="408" t="s">
        <v>177</v>
      </c>
      <c r="C444" s="409" t="str">
        <f>IF($A444="EQUI",VLOOKUP($B444,EQUI!B$16:G$37,2,FALSE),IF($A444="TRAN",VLOOKUP($B444,TRAN!$B$16:$G$26,2,FALSE),IF($A444="MAT",VLOOKUP($B444,'MAT1'!$B$16:$G$43,2,FALSE),IF($A444="MDEO",VLOOKUP($B444,MDEO!$B$16:$P$27,2,FALSE)))))</f>
        <v xml:space="preserve">ayudante </v>
      </c>
      <c r="D444" s="449">
        <f>IF($A444="EQUI",VLOOKUP($B444,EQUI!B$16:G$35,3,FALSE),IF($A444="TRAN",VLOOKUP($B444,TRAN!$B$16:$G$26,3,FALSE),IF($A444="MAT",VLOOKUP($B444,'MAT1'!$B$16:$G$43,3,FALSE),IF($A444="MDEO",VLOOKUP($B444,MDEO!$B$16:$P$33,10,FALSE)))))</f>
        <v>10336.644836388892</v>
      </c>
      <c r="E444" s="410"/>
      <c r="F444" s="438">
        <f>+D444+D444*E444</f>
        <v>10336.644836388892</v>
      </c>
      <c r="G444" s="412">
        <v>9</v>
      </c>
      <c r="H444" s="411">
        <f>G444*F444</f>
        <v>93029.803527500029</v>
      </c>
      <c r="I444" s="403"/>
    </row>
    <row r="445" spans="1:11" x14ac:dyDescent="0.3">
      <c r="A445" s="405" t="s">
        <v>4</v>
      </c>
      <c r="B445" s="408" t="s">
        <v>178</v>
      </c>
      <c r="C445" s="409" t="str">
        <f>IF($A445="EQUI",VLOOKUP($B445,EQUI!B$16:G$37,2,FALSE),IF($A445="TRAN",VLOOKUP($B445,TRAN!$B$16:$G$26,2,FALSE),IF($A445="MAT",VLOOKUP($B445,'MAT1'!$B$16:$G$43,2,FALSE),IF($A445="MDEO",VLOOKUP($B445,MDEO!$B$16:$P$33,2,FALSE)))))</f>
        <v>contra maestro</v>
      </c>
      <c r="D445" s="449">
        <f>IF($A445="EQUI",VLOOKUP($B445,EQUI!B$16:G$35,3,FALSE),IF($A445="TRAN",VLOOKUP($B445,TRAN!$B$16:$G$26,3,FALSE),IF($A445="MAT",VLOOKUP($B445,'MAT1'!$B$16:$G$43,3,FALSE),IF($A445="MDEO",VLOOKUP($B445,MDEO!$B$16:$P$33,10,FALSE)))))</f>
        <v>12974.601086388891</v>
      </c>
      <c r="E445" s="352"/>
      <c r="F445" s="438">
        <f>+D445+D445*E445</f>
        <v>12974.601086388891</v>
      </c>
      <c r="G445" s="412">
        <f>+G442*0.1</f>
        <v>0.9</v>
      </c>
      <c r="H445" s="411">
        <f>G445*F445</f>
        <v>11677.140977750003</v>
      </c>
      <c r="I445" s="403"/>
    </row>
    <row r="446" spans="1:11" x14ac:dyDescent="0.3">
      <c r="A446" s="401"/>
      <c r="C446" s="352"/>
      <c r="D446" s="417"/>
      <c r="E446" s="352"/>
      <c r="F446" s="413" t="s">
        <v>32</v>
      </c>
      <c r="G446" s="402" t="str">
        <f>+B422</f>
        <v>2.11</v>
      </c>
      <c r="H446" s="413" t="s">
        <v>322</v>
      </c>
      <c r="I446" s="396">
        <f>SUM(H442:H445)</f>
        <v>315966.55156025011</v>
      </c>
    </row>
    <row r="447" spans="1:11" x14ac:dyDescent="0.3">
      <c r="A447" s="401" t="s">
        <v>54</v>
      </c>
      <c r="C447" s="352"/>
      <c r="D447" s="417"/>
      <c r="E447" s="352"/>
      <c r="F447" s="352"/>
      <c r="G447" s="352"/>
      <c r="H447" s="350"/>
      <c r="I447" s="396">
        <f>I446*0.05</f>
        <v>15798.327578012506</v>
      </c>
    </row>
    <row r="448" spans="1:11" x14ac:dyDescent="0.3">
      <c r="A448" s="401"/>
      <c r="C448" s="352"/>
      <c r="D448" s="417"/>
      <c r="E448" s="352"/>
      <c r="F448" s="413" t="s">
        <v>55</v>
      </c>
      <c r="G448" s="350"/>
      <c r="H448" s="350"/>
      <c r="I448" s="396">
        <f>ROUND(I446+I447+I435+I428+I439,0)</f>
        <v>1338089</v>
      </c>
    </row>
    <row r="449" spans="1:9" ht="63" customHeight="1" x14ac:dyDescent="0.3">
      <c r="A449" s="724" t="s">
        <v>114</v>
      </c>
      <c r="B449" s="710"/>
      <c r="C449" s="710"/>
      <c r="D449" s="450"/>
      <c r="E449" s="415"/>
      <c r="F449" s="710" t="s">
        <v>396</v>
      </c>
      <c r="G449" s="710"/>
      <c r="H449" s="710"/>
      <c r="I449" s="711"/>
    </row>
    <row r="450" spans="1:9" ht="12.75" customHeight="1" x14ac:dyDescent="0.3">
      <c r="A450" s="397" t="s">
        <v>111</v>
      </c>
      <c r="B450" s="712"/>
      <c r="C450" s="712"/>
      <c r="D450" s="417"/>
      <c r="E450" s="352"/>
      <c r="F450" s="350" t="s">
        <v>111</v>
      </c>
      <c r="G450" s="712"/>
      <c r="H450" s="712"/>
      <c r="I450" s="713"/>
    </row>
    <row r="451" spans="1:9" ht="12.75" customHeight="1" x14ac:dyDescent="0.3">
      <c r="A451" s="439" t="s">
        <v>115</v>
      </c>
      <c r="B451" s="710" t="s">
        <v>1551</v>
      </c>
      <c r="C451" s="710"/>
      <c r="F451" s="432" t="s">
        <v>112</v>
      </c>
      <c r="G451" s="712"/>
      <c r="H451" s="712"/>
      <c r="I451" s="713"/>
    </row>
    <row r="452" spans="1:9" ht="12.75" customHeight="1" x14ac:dyDescent="0.3">
      <c r="A452" s="439" t="s">
        <v>113</v>
      </c>
      <c r="B452" s="710" t="s">
        <v>1554</v>
      </c>
      <c r="C452" s="710"/>
      <c r="F452" s="432" t="s">
        <v>113</v>
      </c>
      <c r="G452" s="712"/>
      <c r="H452" s="712"/>
      <c r="I452" s="713"/>
    </row>
    <row r="453" spans="1:9" ht="12.75" customHeight="1" x14ac:dyDescent="0.3">
      <c r="A453" s="439"/>
      <c r="B453" s="350"/>
      <c r="C453" s="350"/>
      <c r="F453" s="432"/>
      <c r="G453" s="350"/>
      <c r="H453" s="350"/>
      <c r="I453" s="416"/>
    </row>
    <row r="454" spans="1:9" ht="12.75" customHeight="1" x14ac:dyDescent="0.3">
      <c r="A454" s="714" t="s">
        <v>110</v>
      </c>
      <c r="B454" s="715"/>
      <c r="C454" s="715"/>
      <c r="D454" s="715"/>
      <c r="E454" s="715"/>
      <c r="F454" s="715"/>
      <c r="G454" s="715"/>
      <c r="H454" s="715"/>
      <c r="I454" s="716"/>
    </row>
    <row r="455" spans="1:9" ht="21" customHeight="1" x14ac:dyDescent="0.3">
      <c r="A455" s="729"/>
      <c r="B455" s="730"/>
      <c r="C455" s="730"/>
      <c r="D455" s="730"/>
      <c r="E455" s="730"/>
      <c r="F455" s="730"/>
      <c r="G455" s="730"/>
      <c r="H455" s="730"/>
      <c r="I455" s="731"/>
    </row>
    <row r="456" spans="1:9" ht="21" customHeight="1" x14ac:dyDescent="0.3">
      <c r="A456" s="714"/>
      <c r="B456" s="715"/>
      <c r="C456" s="715"/>
      <c r="D456" s="715"/>
      <c r="E456" s="715"/>
      <c r="F456" s="715"/>
      <c r="G456" s="715"/>
      <c r="H456" s="715"/>
      <c r="I456" s="716"/>
    </row>
    <row r="457" spans="1:9" x14ac:dyDescent="0.3">
      <c r="A457" s="433"/>
      <c r="I457" s="434"/>
    </row>
    <row r="458" spans="1:9" x14ac:dyDescent="0.3">
      <c r="A458" s="724" t="s">
        <v>68</v>
      </c>
      <c r="B458" s="710"/>
      <c r="C458" s="710"/>
      <c r="D458" s="710"/>
      <c r="E458" s="710"/>
      <c r="F458" s="710"/>
      <c r="G458" s="710"/>
      <c r="H458" s="710"/>
      <c r="I458" s="711"/>
    </row>
    <row r="459" spans="1:9" ht="18" customHeight="1" x14ac:dyDescent="0.3">
      <c r="A459" s="390" t="s">
        <v>69</v>
      </c>
      <c r="B459" s="391" t="s">
        <v>413</v>
      </c>
      <c r="C459" s="710" t="s">
        <v>70</v>
      </c>
      <c r="D459" s="723" t="str">
        <f>VLOOKUP(B459,'AJUSTE PRESUPUESTO'!$A$18:$I$95,3,FALSE)</f>
        <v>Lleno de material granular rio para cimiento de la tubería de la red de aguas lluvias</v>
      </c>
      <c r="E459" s="723"/>
      <c r="F459" s="723"/>
      <c r="G459" s="723"/>
      <c r="H459" s="723"/>
      <c r="I459" s="728"/>
    </row>
    <row r="460" spans="1:9" x14ac:dyDescent="0.3">
      <c r="A460" s="390" t="s">
        <v>71</v>
      </c>
      <c r="B460" s="391" t="str">
        <f>VLOOKUP(B459,PRESUPUESTO!$A$18:$I$76,2,FALSE)</f>
        <v>803C-EPM</v>
      </c>
      <c r="C460" s="710"/>
      <c r="D460" s="355" t="s">
        <v>12</v>
      </c>
      <c r="E460" s="392" t="s">
        <v>124</v>
      </c>
      <c r="F460" s="392" t="s">
        <v>13</v>
      </c>
      <c r="G460" s="392">
        <f>VLOOKUP(B459,PRESUPUESTO!$A$15:$I$1659,6,FALSE)</f>
        <v>1890</v>
      </c>
      <c r="H460" s="393" t="s">
        <v>27</v>
      </c>
      <c r="I460" s="394">
        <f>+I482</f>
        <v>113921</v>
      </c>
    </row>
    <row r="461" spans="1:9" x14ac:dyDescent="0.3">
      <c r="A461" s="395" t="s">
        <v>14</v>
      </c>
      <c r="B461" s="386"/>
      <c r="C461" s="352"/>
      <c r="D461" s="417"/>
      <c r="E461" s="352"/>
      <c r="F461" s="352"/>
      <c r="G461" s="352"/>
      <c r="H461" s="352"/>
      <c r="I461" s="396"/>
    </row>
    <row r="462" spans="1:9" x14ac:dyDescent="0.3">
      <c r="A462" s="720" t="s">
        <v>19</v>
      </c>
      <c r="B462" s="712"/>
      <c r="C462" s="712"/>
      <c r="D462" s="712"/>
      <c r="E462" s="712"/>
      <c r="F462" s="350" t="s">
        <v>28</v>
      </c>
      <c r="G462" s="350" t="s">
        <v>29</v>
      </c>
      <c r="H462" s="350" t="s">
        <v>30</v>
      </c>
      <c r="I462" s="403"/>
    </row>
    <row r="463" spans="1:9" ht="18.75" customHeight="1" x14ac:dyDescent="0.3">
      <c r="A463" s="397" t="s">
        <v>1</v>
      </c>
      <c r="B463" s="398" t="s">
        <v>431</v>
      </c>
      <c r="C463" s="721" t="str">
        <f>IF($A463="EQUI",VLOOKUP($B463,EQUI!B$16:G$48,2,FALSE),IF($A463="TRAN",VLOOKUP($B463,TRAN!$B$16:$G$26,2,FALSE),IF(A463="MAT",VLOOKUP($B463,'MAT1'!$B$16:$G$43,2,FALSE),IF(A463="MDEO",VLOOKUP($B463,MDEO!$B$16:$P$27,2,FALSE)))))</f>
        <v>compactador tipo canguro</v>
      </c>
      <c r="D463" s="721" t="e">
        <f>IF($A463="EQUI",VLOOKUP($B463,EQUI!C$16:H$40,2,FALSE),IF($A463="TRAN",VLOOKUP($B463,TRAN!$B$16:$G$26,2,FALSE),IF(B463="MAT",VLOOKUP($B463,'MAT1'!$B$16:$G$43,2,FALSE),IF(B463="MDEO",VLOOKUP($B463,MDEO!$B$16:$P$27,2,FALSE)))))</f>
        <v>#N/A</v>
      </c>
      <c r="E463" s="355" t="str">
        <f>IF($A463="EQUI",VLOOKUP($B463,EQUI!B$16:G$49,3,FALSE),IF($A463="TRAN",VLOOKUP($B463,TRAN!$B$16:$G$26,3,FALSE),IF($A463="MAT1",VLOOKUP($B463,'MAT1'!$B$16:$G$43,3,FALSE),IF($A463="MAT2",VLOOKUP($B463,'MAT2'!$B$16:$G$55,3,FALSE),IF($A463="MDEO",VLOOKUP($B463,MDEO!$B$16:$P$27,3,FALSE))))))</f>
        <v>HORA</v>
      </c>
      <c r="F463" s="443">
        <f>IF($A463="EQUI",VLOOKUP($B463,EQUI!B$16:G$48,4,FALSE),IF($A463="TRAN",VLOOKUP($B463,TRAN!$B$16:$G$26,4,FALSE),IF($A463="MAT",VLOOKUP($B463,[7]MAT!$B$16:$G$83,4,FALSE),IF($A463="MDEO",VLOOKUP($B463,MDEO!$B$16:$I$21,4,FALSE)))))</f>
        <v>7500</v>
      </c>
      <c r="G463" s="352">
        <v>0.5</v>
      </c>
      <c r="H463" s="404">
        <f>G463*F463</f>
        <v>3750</v>
      </c>
      <c r="I463" s="403"/>
    </row>
    <row r="464" spans="1:9" x14ac:dyDescent="0.3">
      <c r="A464" s="401"/>
      <c r="C464" s="352"/>
      <c r="D464" s="417"/>
      <c r="E464" s="352"/>
      <c r="F464" s="413" t="s">
        <v>32</v>
      </c>
      <c r="G464" s="402" t="str">
        <f>+B459</f>
        <v>2.12</v>
      </c>
      <c r="H464" s="402" t="s">
        <v>477</v>
      </c>
      <c r="I464" s="396">
        <f>SUM(H463:H463)</f>
        <v>3750</v>
      </c>
    </row>
    <row r="465" spans="1:13" x14ac:dyDescent="0.3">
      <c r="A465" s="395" t="s">
        <v>34</v>
      </c>
      <c r="B465" s="386"/>
      <c r="C465" s="352"/>
      <c r="D465" s="417"/>
      <c r="E465" s="352"/>
      <c r="F465" s="352"/>
      <c r="G465" s="352"/>
      <c r="H465" s="352"/>
      <c r="I465" s="403"/>
    </row>
    <row r="466" spans="1:13" x14ac:dyDescent="0.3">
      <c r="A466" s="720" t="s">
        <v>35</v>
      </c>
      <c r="B466" s="712"/>
      <c r="C466" s="712"/>
      <c r="D466" s="712"/>
      <c r="E466" s="350" t="s">
        <v>12</v>
      </c>
      <c r="F466" s="350" t="s">
        <v>36</v>
      </c>
      <c r="G466" s="350" t="s">
        <v>37</v>
      </c>
      <c r="H466" s="350" t="s">
        <v>38</v>
      </c>
      <c r="I466" s="403"/>
    </row>
    <row r="467" spans="1:13" x14ac:dyDescent="0.3">
      <c r="A467" s="397" t="s">
        <v>523</v>
      </c>
      <c r="B467" s="398" t="s">
        <v>524</v>
      </c>
      <c r="C467" s="721" t="str">
        <f>IF($A467="EQUI",VLOOKUP($B467,EQUI!B$16:G$35,2,FALSE),IF($A467="TRAN",VLOOKUP($B467,TRAN!$B$16:$G$26,2,FALSE),IF($A467="MAT1",VLOOKUP($B467,'MAT1'!$B$16:$G$43,2,FALSE),IF($A467="MAT2",VLOOKUP($B467,'MAT2'!$B$16:$G$55,2,FALSE),IF($A467="MDEO",VLOOKUP($B467,MDEO!$B$16:$P$27,2,FALSE))))))</f>
        <v>Material granular de préstamo</v>
      </c>
      <c r="D467" s="721"/>
      <c r="E467" s="355" t="str">
        <f>IF($A467="EQUI",VLOOKUP($B467,EQUI!B$16:G$35,3,FALSE),IF($A467="TRAN",VLOOKUP($B467,TRAN!$B$16:$G$26,3,FALSE),IF($A467="MAT1",VLOOKUP($B467,'MAT1'!$B$16:$G$43,3,FALSE),IF($A467="MAT2",VLOOKUP($B467,'MAT2'!$B$16:$G$55,3,FALSE),IF($A467="MDEO",VLOOKUP($B467,MDEO!$B$16:$P$27,3,FALSE))))))</f>
        <v>M3</v>
      </c>
      <c r="F467" s="355">
        <f>IF($A467="EQUI",VLOOKUP($B467,EQUI!B$16:G$35,4,FALSE),IF($A467="TRAN",VLOOKUP($B467,TRAN!$B$16:$G$26,4,FALSE),IF($A467="MAT1",VLOOKUP($B467,'MAT1'!$B$16:$G$43,4,FALSE),IF($A467="MAT2",VLOOKUP($B467,'MAT2'!$B$16:$G$53,4,FALSE),IF($A467="MDEO",VLOOKUP($B467,MDEO!$B$16:$P$27,4,FALSE))))))</f>
        <v>29500</v>
      </c>
      <c r="G467" s="352">
        <v>1.1000000000000001</v>
      </c>
      <c r="H467" s="404">
        <f>G467*F467</f>
        <v>32450.000000000004</v>
      </c>
      <c r="I467" s="403"/>
    </row>
    <row r="468" spans="1:13" x14ac:dyDescent="0.3">
      <c r="A468" s="401"/>
      <c r="C468" s="352"/>
      <c r="D468" s="417"/>
      <c r="E468" s="352"/>
      <c r="F468" s="413" t="s">
        <v>32</v>
      </c>
      <c r="G468" s="402" t="str">
        <f>+B459</f>
        <v>2.12</v>
      </c>
      <c r="H468" s="402" t="s">
        <v>478</v>
      </c>
      <c r="I468" s="403">
        <f>SUM(H467:H467)</f>
        <v>32450.000000000004</v>
      </c>
      <c r="M468" s="430">
        <f>+G467*G460</f>
        <v>2079</v>
      </c>
    </row>
    <row r="469" spans="1:13" x14ac:dyDescent="0.3">
      <c r="A469" s="395" t="s">
        <v>15</v>
      </c>
      <c r="B469" s="386"/>
      <c r="C469" s="352"/>
      <c r="D469" s="417"/>
      <c r="E469" s="352"/>
      <c r="F469" s="352"/>
      <c r="G469" s="352"/>
      <c r="H469" s="352"/>
      <c r="I469" s="403"/>
    </row>
    <row r="470" spans="1:13" ht="11.4" x14ac:dyDescent="0.3">
      <c r="A470" s="720" t="s">
        <v>19</v>
      </c>
      <c r="B470" s="712"/>
      <c r="C470" s="712"/>
      <c r="D470" s="355" t="s">
        <v>43</v>
      </c>
      <c r="E470" s="350" t="s">
        <v>44</v>
      </c>
      <c r="F470" s="355" t="s">
        <v>45</v>
      </c>
      <c r="G470" s="350" t="s">
        <v>17</v>
      </c>
      <c r="H470" s="350" t="s">
        <v>30</v>
      </c>
      <c r="I470" s="403"/>
    </row>
    <row r="471" spans="1:13" x14ac:dyDescent="0.3">
      <c r="A471" s="405" t="s">
        <v>3</v>
      </c>
      <c r="B471" s="406" t="s">
        <v>171</v>
      </c>
      <c r="C471" s="417" t="str">
        <f>IF($A471="EQUI",VLOOKUP($B471,EQUI!B$16:G$40,2,FALSE),IF($A471="TRAN",VLOOKUP($B471,TRAN!$B$16:$G$37,2,FALSE),IF(A471="MAT",VLOOKUP($B471,'MAT1'!$B$16:$G$43,2,FALSE),IF(A471="MDEO",VLOOKUP($B471,MDEO!$B$16:$P$27,2,FALSE)))))</f>
        <v>trans material &gt; 10 km</v>
      </c>
      <c r="D471" s="417">
        <f>+G467</f>
        <v>1.1000000000000001</v>
      </c>
      <c r="E471" s="352">
        <v>55</v>
      </c>
      <c r="F471" s="352">
        <f>+E471*D471</f>
        <v>60.500000000000007</v>
      </c>
      <c r="G471" s="352">
        <f>IF($A471="EQUI",VLOOKUP($B471,EQUI!B$16:G$50,4,FALSE),IF($A471="TRAN",VLOOKUP($B471,TRAN!$B$16:$G$37,4,FALSE),IF($A471="MAT",VLOOKUP($B471,[7]MAT!$B$16:$G$83,4,FALSE),IF($A471="MDEO",VLOOKUP($B471,MDEO!$B$16:$I$21,4,FALSE)))))</f>
        <v>980</v>
      </c>
      <c r="H471" s="352">
        <f>+G471*F471</f>
        <v>59290.000000000007</v>
      </c>
      <c r="I471" s="403"/>
    </row>
    <row r="472" spans="1:13" x14ac:dyDescent="0.3">
      <c r="A472" s="401"/>
      <c r="C472" s="352"/>
      <c r="D472" s="417"/>
      <c r="E472" s="352"/>
      <c r="F472" s="413" t="s">
        <v>32</v>
      </c>
      <c r="G472" s="402" t="str">
        <f>+B459</f>
        <v>2.12</v>
      </c>
      <c r="H472" s="402" t="s">
        <v>479</v>
      </c>
      <c r="I472" s="403">
        <f>SUM(H471:H471)</f>
        <v>59290.000000000007</v>
      </c>
    </row>
    <row r="473" spans="1:13" ht="12.75" customHeight="1" x14ac:dyDescent="0.3">
      <c r="A473" s="395" t="s">
        <v>1107</v>
      </c>
      <c r="B473" s="386"/>
      <c r="C473" s="352"/>
      <c r="D473" s="417"/>
      <c r="E473" s="352"/>
      <c r="F473" s="352"/>
      <c r="G473" s="352"/>
      <c r="H473" s="352"/>
      <c r="I473" s="403"/>
    </row>
    <row r="474" spans="1:13" x14ac:dyDescent="0.3">
      <c r="A474" s="722" t="s">
        <v>47</v>
      </c>
      <c r="B474" s="723"/>
      <c r="C474" s="723"/>
      <c r="D474" s="355" t="s">
        <v>48</v>
      </c>
      <c r="E474" s="355" t="s">
        <v>109</v>
      </c>
      <c r="F474" s="380" t="s">
        <v>49</v>
      </c>
      <c r="G474" s="380" t="s">
        <v>29</v>
      </c>
      <c r="H474" s="355" t="s">
        <v>30</v>
      </c>
      <c r="I474" s="407"/>
    </row>
    <row r="475" spans="1:13" x14ac:dyDescent="0.3">
      <c r="A475" s="405" t="s">
        <v>4</v>
      </c>
      <c r="B475" s="408" t="s">
        <v>175</v>
      </c>
      <c r="C475" s="409" t="str">
        <f>IF($A475="EQUI",VLOOKUP($B475,EQUI!B$16:G$37,2,FALSE),IF($A475="TRAN",VLOOKUP($B475,TRAN!$B$16:$G$26,2,FALSE),IF($A475="MAT",VLOOKUP($B475,'MAT1'!$B$16:$G$43,2,FALSE),IF($A475="MDEO",VLOOKUP($B475,MDEO!$B$16:$P$27,2,FALSE)))))</f>
        <v xml:space="preserve">oficial </v>
      </c>
      <c r="D475" s="449">
        <f>IF($A475="EQUI",VLOOKUP($B475,EQUI!B$16:G$35,3,FALSE),IF($A475="TRAN",VLOOKUP($B475,TRAN!$B$16:$G$26,3,FALSE),IF($A475="MAT",VLOOKUP($B475,'MAT1'!$B$16:$G$43,3,FALSE),IF($A475="MDEO",VLOOKUP($B475,MDEO!$B$16:$P$33,10,FALSE)))))</f>
        <v>12336.644836388892</v>
      </c>
      <c r="E475" s="410"/>
      <c r="F475" s="438">
        <f>+D475+D475*E475</f>
        <v>12336.644836388892</v>
      </c>
      <c r="G475" s="412">
        <v>0.5</v>
      </c>
      <c r="H475" s="411">
        <f>G475*F475</f>
        <v>6168.3224181944461</v>
      </c>
      <c r="I475" s="403"/>
    </row>
    <row r="476" spans="1:13" x14ac:dyDescent="0.3">
      <c r="A476" s="405" t="s">
        <v>4</v>
      </c>
      <c r="B476" s="408" t="s">
        <v>176</v>
      </c>
      <c r="C476" s="409" t="str">
        <f>IF($A476="EQUI",VLOOKUP($B476,EQUI!B$16:G$37,2,FALSE),IF($A476="TRAN",VLOOKUP($B476,TRAN!$B$16:$G$26,2,FALSE),IF($A476="MAT",VLOOKUP($B476,'MAT1'!$B$16:$G$43,2,FALSE),IF($A476="MDEO",VLOOKUP($B476,MDEO!$B$16:$P$27,2,FALSE)))))</f>
        <v xml:space="preserve">ayudante entendido </v>
      </c>
      <c r="D476" s="449">
        <f>IF($A476="EQUI",VLOOKUP($B476,EQUI!B$16:G$35,3,FALSE),IF($A476="TRAN",VLOOKUP($B476,TRAN!$B$16:$G$26,3,FALSE),IF($A476="MAT",VLOOKUP($B476,'MAT1'!$B$16:$G$43,3,FALSE),IF($A476="MDEO",VLOOKUP($B476,MDEO!$B$16:$P$33,10,FALSE)))))</f>
        <v>11136.644836388892</v>
      </c>
      <c r="E476" s="410"/>
      <c r="F476" s="438">
        <f>+D476+D476*E476</f>
        <v>11136.644836388892</v>
      </c>
      <c r="G476" s="412">
        <v>0.5</v>
      </c>
      <c r="H476" s="411">
        <f>G476*F476</f>
        <v>5568.3224181944461</v>
      </c>
      <c r="I476" s="403"/>
    </row>
    <row r="477" spans="1:13" x14ac:dyDescent="0.3">
      <c r="A477" s="405" t="s">
        <v>4</v>
      </c>
      <c r="B477" s="408" t="s">
        <v>177</v>
      </c>
      <c r="C477" s="409" t="str">
        <f>IF($A477="EQUI",VLOOKUP($B477,EQUI!B$16:G$37,2,FALSE),IF($A477="TRAN",VLOOKUP($B477,TRAN!$B$16:$G$26,2,FALSE),IF($A477="MAT",VLOOKUP($B477,'MAT1'!$B$16:$G$43,2,FALSE),IF($A477="MDEO",VLOOKUP($B477,MDEO!$B$16:$P$27,2,FALSE)))))</f>
        <v xml:space="preserve">ayudante </v>
      </c>
      <c r="D477" s="449">
        <f>IF($A477="EQUI",VLOOKUP($B477,EQUI!B$16:G$35,3,FALSE),IF($A477="TRAN",VLOOKUP($B477,TRAN!$B$16:$G$26,3,FALSE),IF($A477="MAT",VLOOKUP($B477,'MAT1'!$B$16:$G$43,3,FALSE),IF($A477="MDEO",VLOOKUP($B477,MDEO!$B$16:$P$33,10,FALSE)))))</f>
        <v>10336.644836388892</v>
      </c>
      <c r="E477" s="410"/>
      <c r="F477" s="438">
        <f>+D477+D477*E477</f>
        <v>10336.644836388892</v>
      </c>
      <c r="G477" s="412">
        <v>0.5</v>
      </c>
      <c r="H477" s="411">
        <f>G477*F477</f>
        <v>5168.3224181944461</v>
      </c>
      <c r="I477" s="403"/>
    </row>
    <row r="478" spans="1:13" x14ac:dyDescent="0.3">
      <c r="A478" s="405" t="s">
        <v>4</v>
      </c>
      <c r="B478" s="408" t="s">
        <v>178</v>
      </c>
      <c r="C478" s="409" t="str">
        <f>IF($A478="EQUI",VLOOKUP($B478,EQUI!B$16:G$37,2,FALSE),IF($A478="TRAN",VLOOKUP($B478,TRAN!$B$16:$G$26,2,FALSE),IF($A478="MAT",VLOOKUP($B478,'MAT1'!$B$16:$G$43,2,FALSE),IF($A478="MDEO",VLOOKUP($B478,MDEO!$B$16:$P$33,2,FALSE)))))</f>
        <v>contra maestro</v>
      </c>
      <c r="D478" s="449">
        <f>IF($A478="EQUI",VLOOKUP($B478,EQUI!B$16:G$35,3,FALSE),IF($A478="TRAN",VLOOKUP($B478,TRAN!$B$16:$G$26,3,FALSE),IF($A478="MAT",VLOOKUP($B478,'MAT1'!$B$16:$G$43,3,FALSE),IF($A478="MDEO",VLOOKUP($B478,MDEO!$B$16:$P$33,10,FALSE)))))</f>
        <v>12974.601086388891</v>
      </c>
      <c r="E478" s="410"/>
      <c r="F478" s="438">
        <f>+D478+D478*E478</f>
        <v>12974.601086388891</v>
      </c>
      <c r="G478" s="412">
        <f>+G475*0.1</f>
        <v>0.05</v>
      </c>
      <c r="H478" s="411">
        <f>G478*F478</f>
        <v>648.73005431944466</v>
      </c>
      <c r="I478" s="403"/>
    </row>
    <row r="479" spans="1:13" x14ac:dyDescent="0.3">
      <c r="A479" s="720"/>
      <c r="B479" s="712"/>
      <c r="C479" s="352"/>
      <c r="D479" s="417"/>
      <c r="E479" s="352"/>
      <c r="F479" s="352"/>
      <c r="G479" s="352"/>
      <c r="H479" s="352"/>
      <c r="I479" s="403"/>
    </row>
    <row r="480" spans="1:13" x14ac:dyDescent="0.3">
      <c r="A480" s="401"/>
      <c r="C480" s="352"/>
      <c r="D480" s="417"/>
      <c r="E480" s="352"/>
      <c r="F480" s="413" t="s">
        <v>32</v>
      </c>
      <c r="G480" s="402" t="str">
        <f>+B459</f>
        <v>2.12</v>
      </c>
      <c r="H480" s="413" t="s">
        <v>480</v>
      </c>
      <c r="I480" s="396">
        <f>SUM(H475:H479)</f>
        <v>17553.697308902782</v>
      </c>
    </row>
    <row r="481" spans="1:9" x14ac:dyDescent="0.3">
      <c r="A481" s="401" t="s">
        <v>54</v>
      </c>
      <c r="C481" s="352"/>
      <c r="D481" s="417"/>
      <c r="E481" s="352"/>
      <c r="F481" s="352"/>
      <c r="G481" s="352"/>
      <c r="H481" s="350"/>
      <c r="I481" s="396">
        <f>I480*0.05</f>
        <v>877.68486544513917</v>
      </c>
    </row>
    <row r="482" spans="1:9" x14ac:dyDescent="0.3">
      <c r="A482" s="401"/>
      <c r="C482" s="352"/>
      <c r="D482" s="417"/>
      <c r="E482" s="352"/>
      <c r="F482" s="413" t="s">
        <v>55</v>
      </c>
      <c r="G482" s="350"/>
      <c r="H482" s="350"/>
      <c r="I482" s="396">
        <f>ROUND(I480+I481+I468+I464+I472,0)</f>
        <v>113921</v>
      </c>
    </row>
    <row r="483" spans="1:9" x14ac:dyDescent="0.3">
      <c r="A483" s="414"/>
      <c r="B483" s="415"/>
      <c r="C483" s="415"/>
      <c r="D483" s="450"/>
      <c r="E483" s="415"/>
      <c r="F483" s="415"/>
      <c r="G483" s="415"/>
      <c r="H483" s="415"/>
      <c r="I483" s="396"/>
    </row>
    <row r="484" spans="1:9" ht="76.95" customHeight="1" x14ac:dyDescent="0.3">
      <c r="A484" s="724" t="s">
        <v>114</v>
      </c>
      <c r="B484" s="710"/>
      <c r="C484" s="710"/>
      <c r="D484" s="450"/>
      <c r="E484" s="415"/>
      <c r="F484" s="710" t="s">
        <v>396</v>
      </c>
      <c r="G484" s="710"/>
      <c r="H484" s="710"/>
      <c r="I484" s="711"/>
    </row>
    <row r="485" spans="1:9" ht="12.75" customHeight="1" x14ac:dyDescent="0.3">
      <c r="A485" s="397" t="s">
        <v>111</v>
      </c>
      <c r="B485" s="712"/>
      <c r="C485" s="712"/>
      <c r="D485" s="417"/>
      <c r="E485" s="352"/>
      <c r="F485" s="350" t="s">
        <v>111</v>
      </c>
      <c r="G485" s="712"/>
      <c r="H485" s="712"/>
      <c r="I485" s="713"/>
    </row>
    <row r="486" spans="1:9" ht="12.75" customHeight="1" x14ac:dyDescent="0.3">
      <c r="A486" s="439" t="s">
        <v>115</v>
      </c>
      <c r="B486" s="710" t="s">
        <v>1551</v>
      </c>
      <c r="C486" s="710"/>
      <c r="F486" s="432" t="s">
        <v>112</v>
      </c>
      <c r="G486" s="712"/>
      <c r="H486" s="712"/>
      <c r="I486" s="713"/>
    </row>
    <row r="487" spans="1:9" ht="12.75" customHeight="1" x14ac:dyDescent="0.3">
      <c r="A487" s="439" t="s">
        <v>113</v>
      </c>
      <c r="B487" s="710" t="s">
        <v>1554</v>
      </c>
      <c r="C487" s="710"/>
      <c r="F487" s="432" t="s">
        <v>113</v>
      </c>
      <c r="G487" s="712"/>
      <c r="H487" s="712"/>
      <c r="I487" s="713"/>
    </row>
    <row r="488" spans="1:9" ht="12.75" customHeight="1" x14ac:dyDescent="0.3">
      <c r="A488" s="439"/>
      <c r="B488" s="350"/>
      <c r="C488" s="350"/>
      <c r="F488" s="432"/>
      <c r="G488" s="350"/>
      <c r="H488" s="350"/>
      <c r="I488" s="416"/>
    </row>
    <row r="489" spans="1:9" ht="12.75" customHeight="1" x14ac:dyDescent="0.3">
      <c r="A489" s="714" t="s">
        <v>110</v>
      </c>
      <c r="B489" s="715"/>
      <c r="C489" s="715"/>
      <c r="D489" s="715"/>
      <c r="E489" s="715"/>
      <c r="F489" s="715"/>
      <c r="G489" s="715"/>
      <c r="H489" s="715"/>
      <c r="I489" s="716"/>
    </row>
    <row r="490" spans="1:9" ht="25.2" customHeight="1" x14ac:dyDescent="0.3">
      <c r="A490" s="729"/>
      <c r="B490" s="730"/>
      <c r="C490" s="730"/>
      <c r="D490" s="730"/>
      <c r="E490" s="730"/>
      <c r="F490" s="730"/>
      <c r="G490" s="730"/>
      <c r="H490" s="730"/>
      <c r="I490" s="731"/>
    </row>
    <row r="491" spans="1:9" ht="25.2" customHeight="1" x14ac:dyDescent="0.3">
      <c r="A491" s="714"/>
      <c r="B491" s="715"/>
      <c r="C491" s="715"/>
      <c r="D491" s="715"/>
      <c r="E491" s="715"/>
      <c r="F491" s="715"/>
      <c r="G491" s="715"/>
      <c r="H491" s="715"/>
      <c r="I491" s="716"/>
    </row>
    <row r="492" spans="1:9" x14ac:dyDescent="0.3">
      <c r="A492" s="725" t="s">
        <v>68</v>
      </c>
      <c r="B492" s="726"/>
      <c r="C492" s="726"/>
      <c r="D492" s="726"/>
      <c r="E492" s="726"/>
      <c r="F492" s="726"/>
      <c r="G492" s="726"/>
      <c r="H492" s="726"/>
      <c r="I492" s="727"/>
    </row>
    <row r="493" spans="1:9" ht="14.4" customHeight="1" x14ac:dyDescent="0.3">
      <c r="A493" s="390" t="s">
        <v>69</v>
      </c>
      <c r="B493" s="391" t="s">
        <v>864</v>
      </c>
      <c r="C493" s="710" t="s">
        <v>70</v>
      </c>
      <c r="D493" s="723" t="str">
        <f>VLOOKUP(B493,'AJUSTE PRESUPUESTO'!$A$18:$I$76,3,FALSE)</f>
        <v xml:space="preserve">Lleno con material de préstamo tipo limo </v>
      </c>
      <c r="E493" s="723"/>
      <c r="F493" s="723"/>
      <c r="G493" s="723"/>
      <c r="H493" s="723"/>
      <c r="I493" s="728"/>
    </row>
    <row r="494" spans="1:9" x14ac:dyDescent="0.3">
      <c r="A494" s="390" t="s">
        <v>71</v>
      </c>
      <c r="B494" s="391" t="str">
        <f>VLOOKUP(B493,PRESUPUESTO!$A$18:$I$76,2,FALSE)</f>
        <v>PAR-20</v>
      </c>
      <c r="C494" s="710"/>
      <c r="D494" s="355" t="s">
        <v>12</v>
      </c>
      <c r="E494" s="392" t="s">
        <v>124</v>
      </c>
      <c r="F494" s="392" t="s">
        <v>13</v>
      </c>
      <c r="G494" s="392">
        <v>1573</v>
      </c>
      <c r="H494" s="393" t="s">
        <v>27</v>
      </c>
      <c r="I494" s="394">
        <f>+I515</f>
        <v>55597</v>
      </c>
    </row>
    <row r="495" spans="1:9" x14ac:dyDescent="0.3">
      <c r="A495" s="395" t="s">
        <v>14</v>
      </c>
      <c r="B495" s="386"/>
      <c r="C495" s="352"/>
      <c r="D495" s="417"/>
      <c r="E495" s="352"/>
      <c r="F495" s="352"/>
      <c r="G495" s="352"/>
      <c r="H495" s="352"/>
      <c r="I495" s="396"/>
    </row>
    <row r="496" spans="1:9" x14ac:dyDescent="0.3">
      <c r="A496" s="720" t="s">
        <v>19</v>
      </c>
      <c r="B496" s="712"/>
      <c r="C496" s="712"/>
      <c r="D496" s="712"/>
      <c r="E496" s="712"/>
      <c r="F496" s="350" t="s">
        <v>28</v>
      </c>
      <c r="G496" s="350" t="s">
        <v>29</v>
      </c>
      <c r="H496" s="350" t="s">
        <v>30</v>
      </c>
      <c r="I496" s="403"/>
    </row>
    <row r="497" spans="1:13" ht="18.75" customHeight="1" x14ac:dyDescent="0.3">
      <c r="A497" s="397" t="s">
        <v>1</v>
      </c>
      <c r="B497" s="398" t="s">
        <v>431</v>
      </c>
      <c r="C497" s="721" t="str">
        <f>IF($A497="EQUI",VLOOKUP($B497,EQUI!B$16:G$48,2,FALSE),IF($A497="TRAN",VLOOKUP($B497,TRAN!$B$16:$G$26,2,FALSE),IF(A497="MAT",VLOOKUP($B497,'MAT1'!$B$16:$G$43,2,FALSE),IF(A497="MDEO",VLOOKUP($B497,MDEO!$B$16:$P$27,2,FALSE)))))</f>
        <v>compactador tipo canguro</v>
      </c>
      <c r="D497" s="721" t="e">
        <f>IF($A497="EQUI",VLOOKUP($B497,EQUI!C$16:H$40,2,FALSE),IF($A497="TRAN",VLOOKUP($B497,TRAN!$B$16:$G$26,2,FALSE),IF(B497="MAT",VLOOKUP($B497,'MAT1'!$B$16:$G$43,2,FALSE),IF(B497="MDEO",VLOOKUP($B497,MDEO!$B$16:$P$27,2,FALSE)))))</f>
        <v>#N/A</v>
      </c>
      <c r="E497" s="355" t="str">
        <f>IF($A497="EQUI",VLOOKUP($B497,EQUI!B$16:G$49,3,FALSE),IF($A497="TRAN",VLOOKUP($B497,TRAN!$B$16:$G$26,3,FALSE),IF($A497="MAT1",VLOOKUP($B497,'MAT1'!$B$16:$G$43,3,FALSE),IF($A497="MAT2",VLOOKUP($B497,'MAT2'!$B$16:$G$55,3,FALSE),IF($A497="MDEO",VLOOKUP($B497,MDEO!$B$16:$P$27,3,FALSE))))))</f>
        <v>HORA</v>
      </c>
      <c r="F497" s="443">
        <f>IF($A497="EQUI",VLOOKUP($B497,EQUI!B$16:G$48,4,FALSE),IF($A497="TRAN",VLOOKUP($B497,TRAN!$B$16:$G$26,4,FALSE),IF($A497="MAT",VLOOKUP($B497,[7]MAT!$B$16:$G$83,4,FALSE),IF($A497="MDEO",VLOOKUP($B497,MDEO!$B$16:$I$21,4,FALSE)))))</f>
        <v>7500</v>
      </c>
      <c r="G497" s="352">
        <v>0.5</v>
      </c>
      <c r="H497" s="404">
        <f>G497*F497</f>
        <v>3750</v>
      </c>
      <c r="I497" s="403"/>
    </row>
    <row r="498" spans="1:13" x14ac:dyDescent="0.3">
      <c r="A498" s="401"/>
      <c r="C498" s="352"/>
      <c r="D498" s="417"/>
      <c r="E498" s="352"/>
      <c r="F498" s="413" t="s">
        <v>32</v>
      </c>
      <c r="G498" s="402" t="str">
        <f>+B493</f>
        <v>2.13</v>
      </c>
      <c r="H498" s="402" t="s">
        <v>996</v>
      </c>
      <c r="I498" s="396">
        <f>SUM(H497:H497)</f>
        <v>3750</v>
      </c>
    </row>
    <row r="499" spans="1:13" x14ac:dyDescent="0.3">
      <c r="A499" s="395" t="s">
        <v>34</v>
      </c>
      <c r="B499" s="386"/>
      <c r="C499" s="352"/>
      <c r="D499" s="417"/>
      <c r="E499" s="352"/>
      <c r="F499" s="352"/>
      <c r="G499" s="352"/>
      <c r="H499" s="352"/>
      <c r="I499" s="403"/>
    </row>
    <row r="500" spans="1:13" x14ac:dyDescent="0.3">
      <c r="A500" s="720" t="s">
        <v>35</v>
      </c>
      <c r="B500" s="712"/>
      <c r="C500" s="712"/>
      <c r="D500" s="712"/>
      <c r="E500" s="350" t="s">
        <v>12</v>
      </c>
      <c r="F500" s="350" t="s">
        <v>36</v>
      </c>
      <c r="G500" s="350" t="s">
        <v>37</v>
      </c>
      <c r="H500" s="350" t="s">
        <v>38</v>
      </c>
      <c r="I500" s="403"/>
    </row>
    <row r="501" spans="1:13" ht="23.25" customHeight="1" x14ac:dyDescent="0.3">
      <c r="A501" s="397" t="s">
        <v>523</v>
      </c>
      <c r="B501" s="398" t="s">
        <v>40</v>
      </c>
      <c r="C501" s="721" t="str">
        <f>IF($A501="EQUI",VLOOKUP($B501,EQUI!B$16:G$35,2,FALSE),IF($A501="TRAN",VLOOKUP($B501,TRAN!$B$16:$G$26,2,FALSE),IF($A501="MAT1",VLOOKUP($B501,'MAT1'!$B$16:$G$43,2,FALSE),IF($A501="MAT2",VLOOKUP($B501,'MAT2'!$B$16:$G$55,2,FALSE),IF($A501="MDEO",VLOOKUP($B501,MDEO!$B$16:$P$27,2,FALSE))))))</f>
        <v>Material tipo limo de préstamo</v>
      </c>
      <c r="D501" s="721"/>
      <c r="E501" s="355" t="str">
        <f>IF($A501="EQUI",VLOOKUP($B501,EQUI!B$16:G$35,3,FALSE),IF($A501="TRAN",VLOOKUP($B501,TRAN!$B$16:$G$26,3,FALSE),IF($A501="MAT1",VLOOKUP($B501,'MAT1'!$B$16:$G$43,3,FALSE),IF($A501="MAT2",VLOOKUP($B501,'MAT2'!$B$16:$G$55,3,FALSE),IF($A501="MDEO",VLOOKUP($B501,MDEO!$B$16:$P$27,3,FALSE))))))</f>
        <v>M3</v>
      </c>
      <c r="F501" s="355">
        <f>IF($A501="EQUI",VLOOKUP($B501,EQUI!B$16:G$35,4,FALSE),IF($A501="TRAN",VLOOKUP($B501,TRAN!$B$16:$G$26,4,FALSE),IF($A501="MAT1",VLOOKUP($B501,'MAT1'!$B$16:$G$43,4,FALSE),IF($A501="MAT2",VLOOKUP($B501,'MAT2'!$B$16:$G$53,4,FALSE),IF($A501="MDEO",VLOOKUP($B501,MDEO!$B$16:$P$27,4,FALSE))))))</f>
        <v>22000</v>
      </c>
      <c r="G501" s="352">
        <v>1.1000000000000001</v>
      </c>
      <c r="H501" s="404">
        <f>G501*F501</f>
        <v>24200.000000000004</v>
      </c>
      <c r="I501" s="403"/>
      <c r="M501" s="430">
        <f>+G501*1573</f>
        <v>1730.3000000000002</v>
      </c>
    </row>
    <row r="502" spans="1:13" x14ac:dyDescent="0.3">
      <c r="A502" s="401"/>
      <c r="C502" s="352"/>
      <c r="D502" s="417"/>
      <c r="E502" s="352"/>
      <c r="F502" s="413" t="s">
        <v>32</v>
      </c>
      <c r="G502" s="402" t="str">
        <f>+B493</f>
        <v>2.13</v>
      </c>
      <c r="H502" s="402" t="s">
        <v>1002</v>
      </c>
      <c r="I502" s="403">
        <f>SUM(H501:H501)</f>
        <v>24200.000000000004</v>
      </c>
    </row>
    <row r="503" spans="1:13" x14ac:dyDescent="0.3">
      <c r="A503" s="395" t="s">
        <v>15</v>
      </c>
      <c r="B503" s="386"/>
      <c r="C503" s="352"/>
      <c r="D503" s="417"/>
      <c r="E503" s="352"/>
      <c r="F503" s="352"/>
      <c r="G503" s="352"/>
      <c r="H503" s="352"/>
      <c r="I503" s="403"/>
    </row>
    <row r="504" spans="1:13" ht="11.4" x14ac:dyDescent="0.3">
      <c r="A504" s="720" t="s">
        <v>19</v>
      </c>
      <c r="B504" s="712"/>
      <c r="C504" s="712"/>
      <c r="D504" s="355" t="s">
        <v>43</v>
      </c>
      <c r="E504" s="350" t="s">
        <v>44</v>
      </c>
      <c r="F504" s="355" t="s">
        <v>45</v>
      </c>
      <c r="G504" s="350" t="s">
        <v>17</v>
      </c>
      <c r="H504" s="350" t="s">
        <v>30</v>
      </c>
      <c r="I504" s="403"/>
    </row>
    <row r="505" spans="1:13" x14ac:dyDescent="0.3">
      <c r="A505" s="405" t="s">
        <v>3</v>
      </c>
      <c r="B505" s="406" t="s">
        <v>172</v>
      </c>
      <c r="C505" s="417" t="str">
        <f>IF($A505="EQUI",VLOOKUP($B505,EQUI!B$16:G$40,2,FALSE),IF($A505="TRAN",VLOOKUP($B505,TRAN!$B$16:$G$37,2,FALSE),IF(A505="MAT",VLOOKUP($B505,'MAT1'!$B$16:$G$43,2,FALSE),IF(A505="MDEO",VLOOKUP($B505,MDEO!$B$16:$P$27,2,FALSE)))))</f>
        <v>trans material &lt; 10 km</v>
      </c>
      <c r="D505" s="417">
        <f>+G501</f>
        <v>1.1000000000000001</v>
      </c>
      <c r="E505" s="352">
        <v>8</v>
      </c>
      <c r="F505" s="352">
        <f>+E505*D505</f>
        <v>8.8000000000000007</v>
      </c>
      <c r="G505" s="352">
        <f>IF($A505="EQUI",VLOOKUP($B505,EQUI!B$16:G$50,4,FALSE),IF($A505="TRAN",VLOOKUP($B505,TRAN!$B$16:$G$37,4,FALSE),IF($A505="MAT",VLOOKUP($B505,[7]MAT!$B$16:$G$83,4,FALSE),IF($A505="MDEO",VLOOKUP($B505,MDEO!$B$16:$I$21,4,FALSE)))))</f>
        <v>1095</v>
      </c>
      <c r="H505" s="352">
        <f>+G505*F505</f>
        <v>9636</v>
      </c>
      <c r="I505" s="403"/>
    </row>
    <row r="506" spans="1:13" x14ac:dyDescent="0.3">
      <c r="A506" s="401"/>
      <c r="C506" s="352"/>
      <c r="D506" s="417"/>
      <c r="E506" s="352"/>
      <c r="F506" s="413" t="s">
        <v>32</v>
      </c>
      <c r="G506" s="402" t="str">
        <f>+B493</f>
        <v>2.13</v>
      </c>
      <c r="H506" s="402" t="s">
        <v>1001</v>
      </c>
      <c r="I506" s="403">
        <f>SUM(H505:H505)</f>
        <v>9636</v>
      </c>
    </row>
    <row r="507" spans="1:13" ht="12.75" customHeight="1" x14ac:dyDescent="0.3">
      <c r="A507" s="395" t="s">
        <v>1107</v>
      </c>
      <c r="B507" s="386"/>
      <c r="C507" s="352"/>
      <c r="D507" s="417"/>
      <c r="E507" s="352"/>
      <c r="F507" s="352"/>
      <c r="G507" s="352"/>
      <c r="H507" s="352"/>
      <c r="I507" s="403"/>
    </row>
    <row r="508" spans="1:13" x14ac:dyDescent="0.3">
      <c r="A508" s="722" t="s">
        <v>47</v>
      </c>
      <c r="B508" s="723"/>
      <c r="C508" s="723"/>
      <c r="D508" s="355" t="s">
        <v>48</v>
      </c>
      <c r="E508" s="355" t="s">
        <v>109</v>
      </c>
      <c r="F508" s="380" t="s">
        <v>49</v>
      </c>
      <c r="G508" s="380" t="s">
        <v>29</v>
      </c>
      <c r="H508" s="355" t="s">
        <v>30</v>
      </c>
      <c r="I508" s="407"/>
    </row>
    <row r="509" spans="1:13" x14ac:dyDescent="0.3">
      <c r="A509" s="405" t="s">
        <v>4</v>
      </c>
      <c r="B509" s="408" t="s">
        <v>175</v>
      </c>
      <c r="C509" s="409" t="str">
        <f>IF($A509="EQUI",VLOOKUP($B509,EQUI!B$16:G$37,2,FALSE),IF($A509="TRAN",VLOOKUP($B509,TRAN!$B$16:$G$26,2,FALSE),IF($A509="MAT",VLOOKUP($B509,'MAT1'!$B$16:$G$43,2,FALSE),IF($A509="MDEO",VLOOKUP($B509,MDEO!$B$16:$P$27,2,FALSE)))))</f>
        <v xml:space="preserve">oficial </v>
      </c>
      <c r="D509" s="449">
        <f>IF($A509="EQUI",VLOOKUP($B509,EQUI!B$16:G$35,3,FALSE),IF($A509="TRAN",VLOOKUP($B509,TRAN!$B$16:$G$26,3,FALSE),IF($A509="MAT",VLOOKUP($B509,'MAT1'!$B$16:$G$43,3,FALSE),IF($A509="MDEO",VLOOKUP($B509,MDEO!$B$16:$P$33,10,FALSE)))))</f>
        <v>12336.644836388892</v>
      </c>
      <c r="E509" s="410"/>
      <c r="F509" s="438">
        <f>+D509+D509*E509</f>
        <v>12336.644836388892</v>
      </c>
      <c r="G509" s="412">
        <v>0.5</v>
      </c>
      <c r="H509" s="411">
        <f>G509*F509</f>
        <v>6168.3224181944461</v>
      </c>
      <c r="I509" s="403"/>
    </row>
    <row r="510" spans="1:13" x14ac:dyDescent="0.3">
      <c r="A510" s="405" t="s">
        <v>4</v>
      </c>
      <c r="B510" s="408" t="s">
        <v>177</v>
      </c>
      <c r="C510" s="409" t="str">
        <f>IF($A510="EQUI",VLOOKUP($B510,EQUI!B$16:G$37,2,FALSE),IF($A510="TRAN",VLOOKUP($B510,TRAN!$B$16:$G$26,2,FALSE),IF($A510="MAT",VLOOKUP($B510,'MAT1'!$B$16:$G$43,2,FALSE),IF($A510="MDEO",VLOOKUP($B510,MDEO!$B$16:$P$27,2,FALSE)))))</f>
        <v xml:space="preserve">ayudante </v>
      </c>
      <c r="D510" s="449">
        <f>IF($A510="EQUI",VLOOKUP($B510,EQUI!B$16:G$35,3,FALSE),IF($A510="TRAN",VLOOKUP($B510,TRAN!$B$16:$G$26,3,FALSE),IF($A510="MAT",VLOOKUP($B510,'MAT1'!$B$16:$G$43,3,FALSE),IF($A510="MDEO",VLOOKUP($B510,MDEO!$B$16:$P$33,10,FALSE)))))</f>
        <v>10336.644836388892</v>
      </c>
      <c r="E510" s="410"/>
      <c r="F510" s="438">
        <f>+D510+D510*E510</f>
        <v>10336.644836388892</v>
      </c>
      <c r="G510" s="412">
        <v>1</v>
      </c>
      <c r="H510" s="411">
        <f>G510*F510</f>
        <v>10336.644836388892</v>
      </c>
      <c r="I510" s="403"/>
    </row>
    <row r="511" spans="1:13" x14ac:dyDescent="0.3">
      <c r="A511" s="405" t="s">
        <v>4</v>
      </c>
      <c r="B511" s="408" t="s">
        <v>178</v>
      </c>
      <c r="C511" s="409" t="str">
        <f>IF($A511="EQUI",VLOOKUP($B511,EQUI!B$16:G$37,2,FALSE),IF($A511="TRAN",VLOOKUP($B511,TRAN!$B$16:$G$26,2,FALSE),IF($A511="MAT",VLOOKUP($B511,'MAT1'!$B$16:$G$43,2,FALSE),IF($A511="MDEO",VLOOKUP($B511,MDEO!$B$16:$P$33,2,FALSE)))))</f>
        <v>contra maestro</v>
      </c>
      <c r="D511" s="449">
        <f>IF($A511="EQUI",VLOOKUP($B511,EQUI!B$16:G$35,3,FALSE),IF($A511="TRAN",VLOOKUP($B511,TRAN!$B$16:$G$26,3,FALSE),IF($A511="MAT",VLOOKUP($B511,'MAT1'!$B$16:$G$43,3,FALSE),IF($A511="MDEO",VLOOKUP($B511,MDEO!$B$16:$P$33,10,FALSE)))))</f>
        <v>12974.601086388891</v>
      </c>
      <c r="E511" s="410"/>
      <c r="F511" s="438">
        <f>+D511+D511*E511</f>
        <v>12974.601086388891</v>
      </c>
      <c r="G511" s="412">
        <f>+G509*0.1</f>
        <v>0.05</v>
      </c>
      <c r="H511" s="411">
        <f>G511*F511</f>
        <v>648.73005431944466</v>
      </c>
      <c r="I511" s="403"/>
    </row>
    <row r="512" spans="1:13" x14ac:dyDescent="0.3">
      <c r="A512" s="720"/>
      <c r="B512" s="712"/>
      <c r="C512" s="352"/>
      <c r="D512" s="417"/>
      <c r="E512" s="352"/>
      <c r="F512" s="352"/>
      <c r="G512" s="352"/>
      <c r="H512" s="352"/>
      <c r="I512" s="403"/>
    </row>
    <row r="513" spans="1:9" x14ac:dyDescent="0.3">
      <c r="A513" s="401"/>
      <c r="C513" s="352"/>
      <c r="D513" s="417"/>
      <c r="E513" s="352"/>
      <c r="F513" s="413" t="s">
        <v>32</v>
      </c>
      <c r="G513" s="402" t="str">
        <f>+B493</f>
        <v>2.13</v>
      </c>
      <c r="H513" s="413" t="s">
        <v>1003</v>
      </c>
      <c r="I513" s="396">
        <f>SUM(H509:H512)</f>
        <v>17153.697308902782</v>
      </c>
    </row>
    <row r="514" spans="1:9" x14ac:dyDescent="0.3">
      <c r="A514" s="401" t="s">
        <v>54</v>
      </c>
      <c r="C514" s="352"/>
      <c r="D514" s="417"/>
      <c r="E514" s="352"/>
      <c r="F514" s="352"/>
      <c r="G514" s="352"/>
      <c r="H514" s="350"/>
      <c r="I514" s="396">
        <f>I513*0.05</f>
        <v>857.68486544513917</v>
      </c>
    </row>
    <row r="515" spans="1:9" x14ac:dyDescent="0.3">
      <c r="A515" s="401"/>
      <c r="C515" s="352"/>
      <c r="D515" s="417"/>
      <c r="E515" s="352"/>
      <c r="F515" s="413" t="s">
        <v>55</v>
      </c>
      <c r="G515" s="350"/>
      <c r="H515" s="350"/>
      <c r="I515" s="396">
        <f>ROUND(I513+I514+I502+I498+I506,0)</f>
        <v>55597</v>
      </c>
    </row>
    <row r="516" spans="1:9" ht="76.95" customHeight="1" x14ac:dyDescent="0.3">
      <c r="A516" s="724" t="s">
        <v>114</v>
      </c>
      <c r="B516" s="710"/>
      <c r="C516" s="710"/>
      <c r="D516" s="450"/>
      <c r="E516" s="415"/>
      <c r="F516" s="710" t="s">
        <v>396</v>
      </c>
      <c r="G516" s="710"/>
      <c r="H516" s="710"/>
      <c r="I516" s="711"/>
    </row>
    <row r="517" spans="1:9" ht="12.75" customHeight="1" x14ac:dyDescent="0.3">
      <c r="A517" s="397" t="s">
        <v>111</v>
      </c>
      <c r="B517" s="712"/>
      <c r="C517" s="712"/>
      <c r="D517" s="417"/>
      <c r="E517" s="352"/>
      <c r="F517" s="350" t="s">
        <v>111</v>
      </c>
      <c r="G517" s="712"/>
      <c r="H517" s="712"/>
      <c r="I517" s="713"/>
    </row>
    <row r="518" spans="1:9" ht="12.75" customHeight="1" x14ac:dyDescent="0.3">
      <c r="A518" s="439" t="s">
        <v>115</v>
      </c>
      <c r="B518" s="710" t="s">
        <v>1551</v>
      </c>
      <c r="C518" s="710"/>
      <c r="F518" s="432" t="s">
        <v>112</v>
      </c>
      <c r="G518" s="712"/>
      <c r="H518" s="712"/>
      <c r="I518" s="713"/>
    </row>
    <row r="519" spans="1:9" ht="12.75" customHeight="1" x14ac:dyDescent="0.3">
      <c r="A519" s="439" t="s">
        <v>113</v>
      </c>
      <c r="B519" s="710" t="s">
        <v>1554</v>
      </c>
      <c r="C519" s="710"/>
      <c r="F519" s="432" t="s">
        <v>113</v>
      </c>
      <c r="G519" s="712"/>
      <c r="H519" s="712"/>
      <c r="I519" s="713"/>
    </row>
    <row r="520" spans="1:9" ht="12.75" customHeight="1" x14ac:dyDescent="0.3">
      <c r="A520" s="439"/>
      <c r="B520" s="350"/>
      <c r="C520" s="350"/>
      <c r="F520" s="432"/>
      <c r="G520" s="350"/>
      <c r="H520" s="350"/>
      <c r="I520" s="416"/>
    </row>
    <row r="521" spans="1:9" ht="12.75" customHeight="1" x14ac:dyDescent="0.3">
      <c r="A521" s="714" t="s">
        <v>110</v>
      </c>
      <c r="B521" s="715"/>
      <c r="C521" s="715"/>
      <c r="D521" s="715"/>
      <c r="E521" s="715"/>
      <c r="F521" s="715"/>
      <c r="G521" s="715"/>
      <c r="H521" s="715"/>
      <c r="I521" s="716"/>
    </row>
    <row r="522" spans="1:9" x14ac:dyDescent="0.3">
      <c r="A522" s="729"/>
      <c r="B522" s="730"/>
      <c r="C522" s="730"/>
      <c r="D522" s="730"/>
      <c r="E522" s="730"/>
      <c r="F522" s="730"/>
      <c r="G522" s="730"/>
      <c r="H522" s="730"/>
      <c r="I522" s="731"/>
    </row>
    <row r="523" spans="1:9" x14ac:dyDescent="0.3">
      <c r="A523" s="714"/>
      <c r="B523" s="715"/>
      <c r="C523" s="715"/>
      <c r="D523" s="715"/>
      <c r="E523" s="715"/>
      <c r="F523" s="715"/>
      <c r="G523" s="715"/>
      <c r="H523" s="715"/>
      <c r="I523" s="716"/>
    </row>
    <row r="524" spans="1:9" x14ac:dyDescent="0.3">
      <c r="A524" s="439"/>
      <c r="B524" s="432"/>
      <c r="C524" s="432"/>
      <c r="D524" s="447"/>
      <c r="E524" s="432"/>
      <c r="F524" s="432"/>
      <c r="G524" s="432"/>
      <c r="H524" s="432"/>
      <c r="I524" s="442"/>
    </row>
    <row r="525" spans="1:9" ht="12.75" customHeight="1" x14ac:dyDescent="0.3">
      <c r="A525" s="724" t="s">
        <v>68</v>
      </c>
      <c r="B525" s="710"/>
      <c r="C525" s="710"/>
      <c r="D525" s="710"/>
      <c r="E525" s="710"/>
      <c r="F525" s="710"/>
      <c r="G525" s="710"/>
      <c r="H525" s="710"/>
      <c r="I525" s="711"/>
    </row>
    <row r="526" spans="1:9" ht="12.75" customHeight="1" x14ac:dyDescent="0.3">
      <c r="A526" s="390" t="s">
        <v>69</v>
      </c>
      <c r="B526" s="418" t="s">
        <v>865</v>
      </c>
      <c r="C526" s="710" t="s">
        <v>70</v>
      </c>
      <c r="D526" s="733" t="str">
        <f>VLOOKUP(B526,'AJUSTE PRESUPUESTO'!$A$18:$I$76,3,FALSE)</f>
        <v>Construcción de sumidero tipo b norma EPM</v>
      </c>
      <c r="E526" s="733"/>
      <c r="F526" s="733"/>
      <c r="G526" s="733"/>
      <c r="H526" s="733"/>
      <c r="I526" s="734"/>
    </row>
    <row r="527" spans="1:9" ht="12.75" customHeight="1" x14ac:dyDescent="0.3">
      <c r="A527" s="390" t="s">
        <v>71</v>
      </c>
      <c r="B527" s="391" t="str">
        <f>VLOOKUP(B526,PRESUPUESTO!$A$18:$I$76,2,FALSE)</f>
        <v>PAR-17</v>
      </c>
      <c r="C527" s="710"/>
      <c r="D527" s="355" t="s">
        <v>12</v>
      </c>
      <c r="E527" s="392" t="s">
        <v>12</v>
      </c>
      <c r="F527" s="392" t="s">
        <v>13</v>
      </c>
      <c r="G527" s="392">
        <f>VLOOKUP(B526,PRESUPUESTO!$A$15:$I$1659,6,FALSE)</f>
        <v>426</v>
      </c>
      <c r="H527" s="393" t="s">
        <v>27</v>
      </c>
      <c r="I527" s="394">
        <f>+I551</f>
        <v>1113660</v>
      </c>
    </row>
    <row r="528" spans="1:9" ht="12.75" customHeight="1" x14ac:dyDescent="0.3">
      <c r="A528" s="395" t="s">
        <v>14</v>
      </c>
      <c r="B528" s="386"/>
      <c r="C528" s="352"/>
      <c r="D528" s="417"/>
      <c r="E528" s="352"/>
      <c r="F528" s="352"/>
      <c r="G528" s="352"/>
      <c r="H528" s="352"/>
      <c r="I528" s="396"/>
    </row>
    <row r="529" spans="1:15" ht="12.75" customHeight="1" x14ac:dyDescent="0.3">
      <c r="A529" s="720" t="s">
        <v>19</v>
      </c>
      <c r="B529" s="712"/>
      <c r="C529" s="712"/>
      <c r="D529" s="712"/>
      <c r="E529" s="712"/>
      <c r="F529" s="350" t="s">
        <v>28</v>
      </c>
      <c r="G529" s="350" t="s">
        <v>29</v>
      </c>
      <c r="H529" s="350" t="s">
        <v>30</v>
      </c>
      <c r="I529" s="403"/>
    </row>
    <row r="530" spans="1:15" ht="12.75" customHeight="1" x14ac:dyDescent="0.3">
      <c r="A530" s="397" t="s">
        <v>1</v>
      </c>
      <c r="B530" s="398" t="s">
        <v>88</v>
      </c>
      <c r="C530" s="721" t="str">
        <f>IF($A530="EQUI",VLOOKUP($B530,EQUI!B$16:G$48,2,FALSE),IF($A530="TRAN",VLOOKUP($B530,TRAN!$B$16:$G$26,2,FALSE),IF(A530="MAT",VLOOKUP($B530,'MAT1'!$B$16:$G$43,2,FALSE),IF(A530="MDEO",VLOOKUP($B530,MDEO!$B$16:$P$27,2,FALSE)))))</f>
        <v>formaleta cajasumidero tipo b</v>
      </c>
      <c r="D530" s="721" t="e">
        <f>IF($A530="EQUI",VLOOKUP($B530,EQUI!C$16:H$40,2,FALSE),IF($A530="TRAN",VLOOKUP($B530,TRAN!$B$16:$G$26,2,FALSE),IF(B530="MAT",VLOOKUP($B530,'MAT1'!$B$16:$G$43,2,FALSE),IF(B530="MDEO",VLOOKUP($B530,MDEO!$B$16:$P$27,2,FALSE)))))</f>
        <v>#N/A</v>
      </c>
      <c r="E530" s="355" t="str">
        <f>IF($A530="EQUI",VLOOKUP($B530,EQUI!B$16:G$49,3,FALSE),IF($A530="TRAN",VLOOKUP($B530,TRAN!$B$16:$G$26,3,FALSE),IF($A530="MAT1",VLOOKUP($B530,'MAT1'!$B$16:$G$43,3,FALSE),IF($A530="MAT2",VLOOKUP($B530,'MAT2'!$B$16:$G$55,3,FALSE),IF($A530="MDEO",VLOOKUP($B530,MDEO!$B$16:$P$27,3,FALSE))))))</f>
        <v>HORA</v>
      </c>
      <c r="F530" s="443">
        <f>IF($A530="EQUI",VLOOKUP($B530,EQUI!B$16:G$48,4,FALSE),IF($A530="TRAN",VLOOKUP($B530,TRAN!$B$16:$G$26,4,FALSE),IF($A530="MAT",VLOOKUP($B530,[7]MAT!$B$16:$G$83,4,FALSE),IF($A530="MDEO",VLOOKUP($B530,MDEO!$B$16:$I$21,4,FALSE)))))</f>
        <v>7500</v>
      </c>
      <c r="G530" s="352">
        <v>4</v>
      </c>
      <c r="H530" s="404">
        <f>+F530*G530</f>
        <v>30000</v>
      </c>
      <c r="I530" s="403"/>
    </row>
    <row r="531" spans="1:15" ht="12.75" customHeight="1" x14ac:dyDescent="0.3">
      <c r="A531" s="401"/>
      <c r="C531" s="352"/>
      <c r="D531" s="417"/>
      <c r="E531" s="352"/>
      <c r="F531" s="413" t="s">
        <v>32</v>
      </c>
      <c r="G531" s="402" t="str">
        <f>+B526</f>
        <v>2.14</v>
      </c>
      <c r="H531" s="402" t="s">
        <v>997</v>
      </c>
      <c r="I531" s="396">
        <f>SUM(H530:H530)</f>
        <v>30000</v>
      </c>
    </row>
    <row r="532" spans="1:15" ht="12.75" customHeight="1" x14ac:dyDescent="0.3">
      <c r="A532" s="395" t="s">
        <v>34</v>
      </c>
      <c r="B532" s="386"/>
      <c r="C532" s="352"/>
      <c r="D532" s="417"/>
      <c r="E532" s="352"/>
      <c r="F532" s="352"/>
      <c r="G532" s="352"/>
      <c r="H532" s="352"/>
      <c r="I532" s="403"/>
    </row>
    <row r="533" spans="1:15" ht="12.75" customHeight="1" x14ac:dyDescent="0.3">
      <c r="A533" s="720" t="s">
        <v>35</v>
      </c>
      <c r="B533" s="712"/>
      <c r="C533" s="712"/>
      <c r="D533" s="712"/>
      <c r="E533" s="350" t="s">
        <v>12</v>
      </c>
      <c r="F533" s="350" t="s">
        <v>36</v>
      </c>
      <c r="G533" s="350" t="s">
        <v>37</v>
      </c>
      <c r="H533" s="350" t="s">
        <v>38</v>
      </c>
      <c r="I533" s="403"/>
    </row>
    <row r="534" spans="1:15" ht="12.75" customHeight="1" x14ac:dyDescent="0.3">
      <c r="A534" s="397" t="s">
        <v>522</v>
      </c>
      <c r="B534" s="398" t="s">
        <v>153</v>
      </c>
      <c r="C534" s="721" t="str">
        <f>IF($A534="EQUI",VLOOKUP($B534,EQUI!B$16:G$35,2,FALSE),IF($A534="TRAN",VLOOKUP($B534,TRAN!$B$16:$G$26,2,FALSE),IF($A534="MAT1",VLOOKUP($B534,'MAT1'!$B$16:$G$43,2,FALSE),IF($A534="MAT2",VLOOKUP($B534,'MAT2'!$B$16:$G$55,2,FALSE),IF($A534="MDEO",VLOOKUP($B534,MDEO!$B$16:$P$27,2,FALSE))))))</f>
        <v>rejilla tipo sumidero</v>
      </c>
      <c r="D534" s="721"/>
      <c r="E534" s="355" t="str">
        <f>IF($A534="EQUI",VLOOKUP($B534,EQUI!B$16:G$35,3,FALSE),IF($A534="TRAN",VLOOKUP($B534,TRAN!$B$16:$G$26,3,FALSE),IF($A534="MAT1",VLOOKUP($B534,'MAT1'!$B$16:$G$43,3,FALSE),IF($A534="MAT2",VLOOKUP($B534,'MAT2'!$B$16:$G$55,3,FALSE),IF($A534="MDEO",VLOOKUP($B534,MDEO!$B$16:$P$27,3,FALSE))))))</f>
        <v>Unidad</v>
      </c>
      <c r="F534" s="355">
        <f>IF($A534="EQUI",VLOOKUP($B534,EQUI!B$16:G$35,4,FALSE),IF($A534="TRAN",VLOOKUP($B534,TRAN!$B$16:$G$26,4,FALSE),IF($A534="MAT1",VLOOKUP($B534,'MAT1'!$B$16:$G$43,4,FALSE),IF($A534="MAT2",VLOOKUP($B534,'MAT2'!$B$16:$G$53,4,FALSE),IF($A534="MDEO",VLOOKUP($B534,MDEO!$B$16:$P$27,4,FALSE))))))</f>
        <v>455700</v>
      </c>
      <c r="G534" s="352">
        <v>1</v>
      </c>
      <c r="H534" s="404">
        <f>+F534*G534</f>
        <v>455700</v>
      </c>
      <c r="I534" s="403"/>
    </row>
    <row r="535" spans="1:15" ht="12.75" customHeight="1" x14ac:dyDescent="0.3">
      <c r="A535" s="397" t="s">
        <v>523</v>
      </c>
      <c r="B535" s="398" t="s">
        <v>139</v>
      </c>
      <c r="C535" s="721" t="str">
        <f>IF($A535="EQUI",VLOOKUP($B535,EQUI!B$16:G$35,2,FALSE),IF($A535="TRAN",VLOOKUP($B535,TRAN!$B$16:$G$26,2,FALSE),IF($A535="MAT1",VLOOKUP($B535,'MAT1'!$B$16:$G$43,2,FALSE),IF($A535="MAT2",VLOOKUP($B535,'MAT2'!$B$16:$G$55,2,FALSE),IF($A535="MDEO",VLOOKUP($B535,MDEO!$B$16:$P$27,2,FALSE))))))</f>
        <v>Concreto 3000psi en obra</v>
      </c>
      <c r="D535" s="721"/>
      <c r="E535" s="355" t="str">
        <f>IF($A535="EQUI",VLOOKUP($B535,EQUI!B$16:G$35,3,FALSE),IF($A535="TRAN",VLOOKUP($B535,TRAN!$B$16:$G$26,3,FALSE),IF($A535="MAT1",VLOOKUP($B535,'MAT1'!$B$16:$G$43,3,FALSE),IF($A535="MAT2",VLOOKUP($B535,'MAT2'!$B$16:$G$55,3,FALSE),IF($A535="MDEO",VLOOKUP($B535,MDEO!$B$16:$P$27,3,FALSE))))))</f>
        <v>M3</v>
      </c>
      <c r="F535" s="355">
        <f>IF($A535="EQUI",VLOOKUP($B535,EQUI!B$16:G$35,4,FALSE),IF($A535="TRAN",VLOOKUP($B535,TRAN!$B$16:$G$26,4,FALSE),IF($A535="MAT1",VLOOKUP($B535,'MAT1'!$B$16:$G$43,4,FALSE),IF($A535="MAT2",VLOOKUP($B535,'MAT2'!$B$16:$G$53,4,FALSE),IF($A535="MDEO",VLOOKUP($B535,MDEO!$B$16:$P$27,4,FALSE))))))</f>
        <v>498450</v>
      </c>
      <c r="G535" s="352">
        <v>0.96</v>
      </c>
      <c r="H535" s="404">
        <f>+F535*G535</f>
        <v>478512</v>
      </c>
      <c r="I535" s="403"/>
      <c r="K535" s="441">
        <f>+G535*G527</f>
        <v>408.96</v>
      </c>
      <c r="M535" s="430">
        <f>+G535*G527*7</f>
        <v>2862.72</v>
      </c>
      <c r="N535" s="430">
        <f>+G535*G527*0.5</f>
        <v>204.48</v>
      </c>
      <c r="O535" s="430">
        <f>+G535*G527*0.8</f>
        <v>327.16800000000001</v>
      </c>
    </row>
    <row r="536" spans="1:15" ht="12.75" customHeight="1" x14ac:dyDescent="0.3">
      <c r="A536" s="397" t="s">
        <v>523</v>
      </c>
      <c r="B536" s="398" t="s">
        <v>134</v>
      </c>
      <c r="C536" s="721" t="str">
        <f>IF($A536="EQUI",VLOOKUP($B536,EQUI!B$16:G$35,2,FALSE),IF($A536="TRAN",VLOOKUP($B536,TRAN!$B$16:$G$26,2,FALSE),IF($A536="MAT1",VLOOKUP($B536,'MAT1'!$B$16:$G$43,2,FALSE),IF($A536="MAT2",VLOOKUP($B536,'MAT2'!$B$16:$G$55,2,FALSE),IF($A536="MDEO",VLOOKUP($B536,MDEO!$B$16:$P$27,2,FALSE))))))</f>
        <v>Acero  60000 psi</v>
      </c>
      <c r="D536" s="721"/>
      <c r="E536" s="355" t="str">
        <f>IF($A536="EQUI",VLOOKUP($B536,EQUI!B$16:G$35,3,FALSE),IF($A536="TRAN",VLOOKUP($B536,TRAN!$B$16:$G$26,3,FALSE),IF($A536="MAT1",VLOOKUP($B536,'MAT1'!$B$16:$G$43,3,FALSE),IF($A536="MAT2",VLOOKUP($B536,'MAT2'!$B$16:$G$55,3,FALSE),IF($A536="MDEO",VLOOKUP($B536,MDEO!$B$16:$P$27,3,FALSE))))))</f>
        <v>KG</v>
      </c>
      <c r="F536" s="355">
        <f>IF($A536="EQUI",VLOOKUP($B536,EQUI!B$16:G$35,4,FALSE),IF($A536="TRAN",VLOOKUP($B536,TRAN!$B$16:$G$26,4,FALSE),IF($A536="MAT1",VLOOKUP($B536,'MAT1'!$B$16:$G$43,4,FALSE),IF($A536="MAT2",VLOOKUP($B536,'MAT2'!$B$16:$G$53,4,FALSE),IF($A536="MDEO",VLOOKUP($B536,MDEO!$B$16:$P$27,4,FALSE))))))</f>
        <v>6913</v>
      </c>
      <c r="G536" s="352">
        <v>6</v>
      </c>
      <c r="H536" s="404"/>
      <c r="I536" s="403"/>
      <c r="K536" s="441">
        <f>+G536*G527</f>
        <v>2556</v>
      </c>
    </row>
    <row r="537" spans="1:15" ht="12.75" customHeight="1" x14ac:dyDescent="0.3">
      <c r="A537" s="397" t="s">
        <v>523</v>
      </c>
      <c r="B537" s="398" t="s">
        <v>41</v>
      </c>
      <c r="C537" s="721" t="str">
        <f>IF($A537="EQUI",VLOOKUP($B537,EQUI!B$16:G$35,2,FALSE),IF($A537="TRAN",VLOOKUP($B537,TRAN!$B$16:$G$26,2,FALSE),IF($A537="MAT1",VLOOKUP($B537,'MAT1'!$B$16:$G$43,2,FALSE),IF($A537="MAT2",VLOOKUP($B537,'MAT2'!$B$16:$G$55,2,FALSE),IF($A537="MDEO",VLOOKUP($B537,MDEO!$B$16:$P$27,2,FALSE))))))</f>
        <v>Alambre quemado</v>
      </c>
      <c r="D537" s="721"/>
      <c r="E537" s="355" t="str">
        <f>IF($A537="EQUI",VLOOKUP($B537,EQUI!B$16:G$35,3,FALSE),IF($A537="TRAN",VLOOKUP($B537,TRAN!$B$16:$G$26,3,FALSE),IF($A537="MAT1",VLOOKUP($B537,'MAT1'!$B$16:$G$43,3,FALSE),IF($A537="MAT2",VLOOKUP($B537,'MAT2'!$B$16:$G$55,3,FALSE),IF($A537="MDEO",VLOOKUP($B537,MDEO!$B$16:$P$27,3,FALSE))))))</f>
        <v>KG</v>
      </c>
      <c r="F537" s="355">
        <f>IF($A537="EQUI",VLOOKUP($B537,EQUI!B$16:G$35,4,FALSE),IF($A537="TRAN",VLOOKUP($B537,TRAN!$B$16:$G$26,4,FALSE),IF($A537="MAT1",VLOOKUP($B537,'MAT1'!$B$16:$G$43,4,FALSE),IF($A537="MAT2",VLOOKUP($B537,'MAT2'!$B$16:$G$53,4,FALSE),IF($A537="MDEO",VLOOKUP($B537,MDEO!$B$16:$P$27,4,FALSE))))))</f>
        <v>8321</v>
      </c>
      <c r="G537" s="352">
        <v>0.24</v>
      </c>
      <c r="H537" s="404">
        <f>+F537*G537</f>
        <v>1997.04</v>
      </c>
      <c r="I537" s="403"/>
    </row>
    <row r="538" spans="1:15" ht="12.75" customHeight="1" x14ac:dyDescent="0.3">
      <c r="A538" s="401"/>
      <c r="C538" s="419"/>
      <c r="D538" s="419"/>
      <c r="E538" s="352"/>
      <c r="F538" s="413" t="s">
        <v>32</v>
      </c>
      <c r="G538" s="402" t="str">
        <f>+B526</f>
        <v>2.14</v>
      </c>
      <c r="H538" s="402" t="s">
        <v>998</v>
      </c>
      <c r="I538" s="396">
        <f>SUM(H534:H537)</f>
        <v>936209.04</v>
      </c>
    </row>
    <row r="539" spans="1:15" ht="12.75" customHeight="1" x14ac:dyDescent="0.3">
      <c r="A539" s="395" t="s">
        <v>15</v>
      </c>
      <c r="B539" s="386"/>
      <c r="C539" s="419"/>
      <c r="D539" s="419"/>
      <c r="E539" s="352"/>
      <c r="F539" s="352"/>
      <c r="G539" s="352"/>
      <c r="H539" s="352"/>
      <c r="I539" s="403"/>
    </row>
    <row r="540" spans="1:15" ht="12.75" customHeight="1" x14ac:dyDescent="0.3">
      <c r="A540" s="720" t="s">
        <v>19</v>
      </c>
      <c r="B540" s="712"/>
      <c r="C540" s="712"/>
      <c r="D540" s="355" t="s">
        <v>43</v>
      </c>
      <c r="E540" s="350" t="s">
        <v>44</v>
      </c>
      <c r="F540" s="355" t="s">
        <v>45</v>
      </c>
      <c r="G540" s="350" t="s">
        <v>17</v>
      </c>
      <c r="H540" s="350" t="s">
        <v>30</v>
      </c>
      <c r="I540" s="403"/>
    </row>
    <row r="541" spans="1:15" ht="12.75" customHeight="1" x14ac:dyDescent="0.3">
      <c r="A541" s="405"/>
      <c r="B541" s="398"/>
      <c r="C541" s="417"/>
      <c r="D541" s="355"/>
      <c r="E541" s="355"/>
      <c r="F541" s="355"/>
      <c r="G541" s="350"/>
      <c r="H541" s="404"/>
      <c r="I541" s="403"/>
    </row>
    <row r="542" spans="1:15" ht="12.75" customHeight="1" x14ac:dyDescent="0.3">
      <c r="A542" s="401"/>
      <c r="C542" s="352"/>
      <c r="D542" s="417"/>
      <c r="E542" s="352"/>
      <c r="F542" s="413" t="s">
        <v>32</v>
      </c>
      <c r="G542" s="402" t="str">
        <f>+B526</f>
        <v>2.14</v>
      </c>
      <c r="H542" s="402" t="s">
        <v>999</v>
      </c>
      <c r="I542" s="396">
        <f>SUM(H541:H541)</f>
        <v>0</v>
      </c>
    </row>
    <row r="543" spans="1:15" ht="12.75" customHeight="1" x14ac:dyDescent="0.3">
      <c r="A543" s="395" t="s">
        <v>1107</v>
      </c>
      <c r="B543" s="386"/>
      <c r="C543" s="352"/>
      <c r="D543" s="417"/>
      <c r="E543" s="352"/>
      <c r="F543" s="352"/>
      <c r="G543" s="352"/>
      <c r="H543" s="352"/>
      <c r="I543" s="403"/>
    </row>
    <row r="544" spans="1:15" ht="20.399999999999999" customHeight="1" x14ac:dyDescent="0.3">
      <c r="A544" s="722" t="s">
        <v>18</v>
      </c>
      <c r="B544" s="723"/>
      <c r="C544" s="723"/>
      <c r="D544" s="355" t="s">
        <v>48</v>
      </c>
      <c r="E544" s="355" t="s">
        <v>109</v>
      </c>
      <c r="F544" s="380" t="s">
        <v>250</v>
      </c>
      <c r="G544" s="380" t="s">
        <v>251</v>
      </c>
      <c r="H544" s="355" t="s">
        <v>252</v>
      </c>
      <c r="I544" s="407"/>
    </row>
    <row r="545" spans="1:9" ht="12.75" customHeight="1" x14ac:dyDescent="0.3">
      <c r="A545" s="405" t="s">
        <v>4</v>
      </c>
      <c r="B545" s="408" t="s">
        <v>175</v>
      </c>
      <c r="C545" s="409" t="str">
        <f>IF($A545="EQUI",VLOOKUP($B545,EQUI!B$16:G$37,2,FALSE),IF($A545="TRAN",VLOOKUP($B545,TRAN!$B$16:$G$26,2,FALSE),IF($A545="MAT",VLOOKUP($B545,'MAT1'!$B$16:$G$43,2,FALSE),IF($A545="MDEO",VLOOKUP($B545,MDEO!$B$16:$P$27,2,FALSE)))))</f>
        <v xml:space="preserve">oficial </v>
      </c>
      <c r="D545" s="449">
        <f>IF($A545="EQUI",VLOOKUP($B545,EQUI!B$16:G$35,3,FALSE),IF($A545="TRAN",VLOOKUP($B545,TRAN!$B$16:$G$26,3,FALSE),IF($A545="MAT",VLOOKUP($B545,'MAT1'!$B$16:$G$43,3,FALSE),IF($A545="MDEO",VLOOKUP($B545,MDEO!$B$16:$P$33,10,FALSE)))))</f>
        <v>12336.644836388892</v>
      </c>
      <c r="E545" s="410"/>
      <c r="F545" s="438">
        <f>+D545+D545*E545</f>
        <v>12336.644836388892</v>
      </c>
      <c r="G545" s="412">
        <v>4</v>
      </c>
      <c r="H545" s="411">
        <f>G545*F545</f>
        <v>49346.579345555569</v>
      </c>
      <c r="I545" s="403"/>
    </row>
    <row r="546" spans="1:9" ht="12.75" customHeight="1" x14ac:dyDescent="0.3">
      <c r="A546" s="405" t="s">
        <v>4</v>
      </c>
      <c r="B546" s="408" t="s">
        <v>176</v>
      </c>
      <c r="C546" s="409" t="str">
        <f>IF($A546="EQUI",VLOOKUP($B546,EQUI!B$16:G$37,2,FALSE),IF($A546="TRAN",VLOOKUP($B546,TRAN!$B$16:$G$26,2,FALSE),IF($A546="MAT",VLOOKUP($B546,'MAT1'!$B$16:$G$43,2,FALSE),IF($A546="MDEO",VLOOKUP($B546,MDEO!$B$16:$P$27,2,FALSE)))))</f>
        <v xml:space="preserve">ayudante entendido </v>
      </c>
      <c r="D546" s="449">
        <f>IF($A546="EQUI",VLOOKUP($B546,EQUI!B$16:G$35,3,FALSE),IF($A546="TRAN",VLOOKUP($B546,TRAN!$B$16:$G$26,3,FALSE),IF($A546="MAT",VLOOKUP($B546,'MAT1'!$B$16:$G$43,3,FALSE),IF($A546="MDEO",VLOOKUP($B546,MDEO!$B$16:$P$33,10,FALSE)))))</f>
        <v>11136.644836388892</v>
      </c>
      <c r="E546" s="410"/>
      <c r="F546" s="438">
        <f>+D546+D546*E546</f>
        <v>11136.644836388892</v>
      </c>
      <c r="G546" s="412">
        <v>4</v>
      </c>
      <c r="H546" s="411">
        <f>G546*F546</f>
        <v>44546.579345555569</v>
      </c>
      <c r="I546" s="403"/>
    </row>
    <row r="547" spans="1:9" ht="12.75" customHeight="1" x14ac:dyDescent="0.3">
      <c r="A547" s="405" t="s">
        <v>4</v>
      </c>
      <c r="B547" s="408" t="s">
        <v>177</v>
      </c>
      <c r="C547" s="409" t="str">
        <f>IF($A547="EQUI",VLOOKUP($B547,EQUI!B$16:G$37,2,FALSE),IF($A547="TRAN",VLOOKUP($B547,TRAN!$B$16:$G$26,2,FALSE),IF($A547="MAT",VLOOKUP($B547,'MAT1'!$B$16:$G$43,2,FALSE),IF($A547="MDEO",VLOOKUP($B547,MDEO!$B$16:$P$27,2,FALSE)))))</f>
        <v xml:space="preserve">ayudante </v>
      </c>
      <c r="D547" s="449">
        <f>IF($A547="EQUI",VLOOKUP($B547,EQUI!B$16:G$35,3,FALSE),IF($A547="TRAN",VLOOKUP($B547,TRAN!$B$16:$G$26,3,FALSE),IF($A547="MAT",VLOOKUP($B547,'MAT1'!$B$16:$G$43,3,FALSE),IF($A547="MDEO",VLOOKUP($B547,MDEO!$B$16:$P$33,10,FALSE)))))</f>
        <v>10336.644836388892</v>
      </c>
      <c r="E547" s="410"/>
      <c r="F547" s="438">
        <f>+D547+D547*E547</f>
        <v>10336.644836388892</v>
      </c>
      <c r="G547" s="412">
        <v>4</v>
      </c>
      <c r="H547" s="411">
        <f>G547*F547</f>
        <v>41346.579345555569</v>
      </c>
      <c r="I547" s="403"/>
    </row>
    <row r="548" spans="1:9" ht="12.75" customHeight="1" x14ac:dyDescent="0.3">
      <c r="A548" s="405" t="s">
        <v>4</v>
      </c>
      <c r="B548" s="408" t="s">
        <v>178</v>
      </c>
      <c r="C548" s="409" t="str">
        <f>IF($A548="EQUI",VLOOKUP($B548,EQUI!B$16:G$37,2,FALSE),IF($A548="TRAN",VLOOKUP($B548,TRAN!$B$16:$G$26,2,FALSE),IF($A548="MAT",VLOOKUP($B548,'MAT1'!$B$16:$G$43,2,FALSE),IF($A548="MDEO",VLOOKUP($B548,MDEO!$B$16:$P$33,2,FALSE)))))</f>
        <v>contra maestro</v>
      </c>
      <c r="D548" s="449">
        <f>IF($A548="EQUI",VLOOKUP($B548,EQUI!B$16:G$35,3,FALSE),IF($A548="TRAN",VLOOKUP($B548,TRAN!$B$16:$G$26,3,FALSE),IF($A548="MAT",VLOOKUP($B548,'MAT1'!$B$16:$G$43,3,FALSE),IF($A548="MDEO",VLOOKUP($B548,MDEO!$B$16:$P$33,10,FALSE)))))</f>
        <v>12974.601086388891</v>
      </c>
      <c r="E548" s="410"/>
      <c r="F548" s="438">
        <f>+D548+D548*E548</f>
        <v>12974.601086388891</v>
      </c>
      <c r="G548" s="412">
        <v>0.4</v>
      </c>
      <c r="H548" s="411">
        <f>G548*F548</f>
        <v>5189.8404345555573</v>
      </c>
      <c r="I548" s="403"/>
    </row>
    <row r="549" spans="1:9" ht="12.75" customHeight="1" x14ac:dyDescent="0.3">
      <c r="A549" s="401"/>
      <c r="C549" s="352"/>
      <c r="D549" s="417"/>
      <c r="E549" s="352"/>
      <c r="F549" s="413" t="s">
        <v>32</v>
      </c>
      <c r="G549" s="402" t="str">
        <f>+B526</f>
        <v>2.14</v>
      </c>
      <c r="H549" s="413" t="s">
        <v>1000</v>
      </c>
      <c r="I549" s="396">
        <f>SUM(H545:H548)</f>
        <v>140429.57847122225</v>
      </c>
    </row>
    <row r="550" spans="1:9" ht="12.75" customHeight="1" x14ac:dyDescent="0.3">
      <c r="A550" s="401" t="s">
        <v>54</v>
      </c>
      <c r="C550" s="352"/>
      <c r="D550" s="417"/>
      <c r="E550" s="352"/>
      <c r="F550" s="352"/>
      <c r="G550" s="352"/>
      <c r="H550" s="350"/>
      <c r="I550" s="396">
        <f>I549*0.05</f>
        <v>7021.4789235611133</v>
      </c>
    </row>
    <row r="551" spans="1:9" ht="12.75" customHeight="1" x14ac:dyDescent="0.3">
      <c r="A551" s="401"/>
      <c r="C551" s="352"/>
      <c r="D551" s="417"/>
      <c r="E551" s="352"/>
      <c r="F551" s="413" t="s">
        <v>55</v>
      </c>
      <c r="G551" s="350"/>
      <c r="H551" s="350"/>
      <c r="I551" s="396">
        <f>ROUND(I549+I550+I538+I531+I542,0)</f>
        <v>1113660</v>
      </c>
    </row>
    <row r="552" spans="1:9" ht="12.75" customHeight="1" x14ac:dyDescent="0.3">
      <c r="A552" s="414"/>
      <c r="B552" s="415"/>
      <c r="C552" s="415"/>
      <c r="D552" s="450"/>
      <c r="E552" s="415"/>
      <c r="F552" s="415"/>
      <c r="G552" s="415"/>
      <c r="H552" s="415"/>
      <c r="I552" s="396"/>
    </row>
    <row r="553" spans="1:9" ht="76.95" customHeight="1" x14ac:dyDescent="0.3">
      <c r="A553" s="724" t="s">
        <v>114</v>
      </c>
      <c r="B553" s="710"/>
      <c r="C553" s="710"/>
      <c r="D553" s="450"/>
      <c r="E553" s="415"/>
      <c r="F553" s="710" t="s">
        <v>396</v>
      </c>
      <c r="G553" s="710"/>
      <c r="H553" s="710"/>
      <c r="I553" s="711"/>
    </row>
    <row r="554" spans="1:9" ht="12.75" customHeight="1" x14ac:dyDescent="0.3">
      <c r="A554" s="397" t="s">
        <v>111</v>
      </c>
      <c r="B554" s="712"/>
      <c r="C554" s="712"/>
      <c r="D554" s="417"/>
      <c r="E554" s="352"/>
      <c r="F554" s="350" t="s">
        <v>111</v>
      </c>
      <c r="G554" s="712"/>
      <c r="H554" s="712"/>
      <c r="I554" s="713"/>
    </row>
    <row r="555" spans="1:9" ht="12.75" customHeight="1" x14ac:dyDescent="0.3">
      <c r="A555" s="439" t="s">
        <v>115</v>
      </c>
      <c r="B555" s="710" t="s">
        <v>1551</v>
      </c>
      <c r="C555" s="710"/>
      <c r="F555" s="432" t="s">
        <v>112</v>
      </c>
      <c r="G555" s="712"/>
      <c r="H555" s="712"/>
      <c r="I555" s="713"/>
    </row>
    <row r="556" spans="1:9" ht="12.75" customHeight="1" x14ac:dyDescent="0.3">
      <c r="A556" s="439" t="s">
        <v>113</v>
      </c>
      <c r="B556" s="710" t="s">
        <v>1554</v>
      </c>
      <c r="C556" s="710"/>
      <c r="F556" s="432" t="s">
        <v>113</v>
      </c>
      <c r="G556" s="712"/>
      <c r="H556" s="712"/>
      <c r="I556" s="713"/>
    </row>
    <row r="557" spans="1:9" ht="12.75" customHeight="1" x14ac:dyDescent="0.3">
      <c r="A557" s="439"/>
      <c r="B557" s="350"/>
      <c r="C557" s="350"/>
      <c r="F557" s="432"/>
      <c r="G557" s="350"/>
      <c r="H557" s="350"/>
      <c r="I557" s="416"/>
    </row>
    <row r="558" spans="1:9" ht="12.75" customHeight="1" x14ac:dyDescent="0.3">
      <c r="A558" s="714" t="s">
        <v>110</v>
      </c>
      <c r="B558" s="715"/>
      <c r="C558" s="715"/>
      <c r="D558" s="715"/>
      <c r="E558" s="715"/>
      <c r="F558" s="715"/>
      <c r="G558" s="715"/>
      <c r="H558" s="715"/>
      <c r="I558" s="716"/>
    </row>
    <row r="559" spans="1:9" ht="26.4" customHeight="1" x14ac:dyDescent="0.3">
      <c r="A559" s="729"/>
      <c r="B559" s="730"/>
      <c r="C559" s="730"/>
      <c r="D559" s="730"/>
      <c r="E559" s="730"/>
      <c r="F559" s="730"/>
      <c r="G559" s="730"/>
      <c r="H559" s="730"/>
      <c r="I559" s="731"/>
    </row>
    <row r="560" spans="1:9" ht="12.75" customHeight="1" x14ac:dyDescent="0.3">
      <c r="A560" s="714"/>
      <c r="B560" s="715"/>
      <c r="C560" s="715"/>
      <c r="D560" s="715"/>
      <c r="E560" s="715"/>
      <c r="F560" s="715"/>
      <c r="G560" s="715"/>
      <c r="H560" s="715"/>
      <c r="I560" s="716"/>
    </row>
    <row r="561" spans="1:9" ht="12.75" customHeight="1" x14ac:dyDescent="0.3">
      <c r="A561" s="725" t="s">
        <v>68</v>
      </c>
      <c r="B561" s="726"/>
      <c r="C561" s="726"/>
      <c r="D561" s="726"/>
      <c r="E561" s="726"/>
      <c r="F561" s="726"/>
      <c r="G561" s="726"/>
      <c r="H561" s="726"/>
      <c r="I561" s="727"/>
    </row>
    <row r="562" spans="1:9" ht="22.5" customHeight="1" x14ac:dyDescent="0.3">
      <c r="A562" s="390" t="s">
        <v>69</v>
      </c>
      <c r="B562" s="391" t="s">
        <v>243</v>
      </c>
      <c r="C562" s="710" t="s">
        <v>70</v>
      </c>
      <c r="D562" s="723" t="str">
        <f>VLOOKUP(B562,'AJUSTE PRESUPUESTO'!$A$18:$I$71,3,FALSE)</f>
        <v>Excavaciones mecánica para cajeos y fallos de subrasante incluye Re compactación de la subrasante</v>
      </c>
      <c r="E562" s="723"/>
      <c r="F562" s="723"/>
      <c r="G562" s="723"/>
      <c r="H562" s="723"/>
      <c r="I562" s="728"/>
    </row>
    <row r="563" spans="1:9" ht="12.75" customHeight="1" x14ac:dyDescent="0.3">
      <c r="A563" s="390" t="s">
        <v>71</v>
      </c>
      <c r="B563" s="391" t="str">
        <f>VLOOKUP(B562,[6]PRESUPUESTO!$A$18:$I$90,2,FALSE)</f>
        <v>210-13</v>
      </c>
      <c r="C563" s="710"/>
      <c r="D563" s="355" t="s">
        <v>12</v>
      </c>
      <c r="E563" s="392" t="s">
        <v>124</v>
      </c>
      <c r="F563" s="392" t="s">
        <v>13</v>
      </c>
      <c r="G563" s="392">
        <f>VLOOKUP(B563,PRESUPUESTO!$B$15:$I$1200,5,FALSE)</f>
        <v>2205</v>
      </c>
      <c r="H563" s="393" t="s">
        <v>27</v>
      </c>
      <c r="I563" s="394">
        <f>+I584</f>
        <v>11636.979561632334</v>
      </c>
    </row>
    <row r="564" spans="1:9" ht="12.75" customHeight="1" x14ac:dyDescent="0.3">
      <c r="A564" s="395" t="s">
        <v>14</v>
      </c>
      <c r="B564" s="386"/>
      <c r="C564" s="352"/>
      <c r="D564" s="417"/>
      <c r="E564" s="352"/>
      <c r="F564" s="352"/>
      <c r="G564" s="352"/>
      <c r="H564" s="352"/>
      <c r="I564" s="396"/>
    </row>
    <row r="565" spans="1:9" ht="12.75" customHeight="1" x14ac:dyDescent="0.3">
      <c r="A565" s="720" t="s">
        <v>19</v>
      </c>
      <c r="B565" s="712"/>
      <c r="C565" s="712"/>
      <c r="D565" s="712"/>
      <c r="E565" s="712"/>
      <c r="F565" s="350" t="s">
        <v>520</v>
      </c>
      <c r="G565" s="350" t="s">
        <v>29</v>
      </c>
      <c r="H565" s="350" t="s">
        <v>30</v>
      </c>
      <c r="I565" s="403"/>
    </row>
    <row r="566" spans="1:9" ht="12.75" customHeight="1" x14ac:dyDescent="0.3">
      <c r="A566" s="397" t="s">
        <v>1</v>
      </c>
      <c r="B566" s="398" t="s">
        <v>77</v>
      </c>
      <c r="C566" s="417" t="str">
        <f>IF($A566="EQUI",VLOOKUP($B566,EQUI!B$16:G$40,2,FALSE),IF($A566="TRAN",VLOOKUP($B566,TRAN!$B$16:$G$26,2,FALSE),IF(A566="MAT",VLOOKUP($B566,'MAT1'!$B$16:$G$43,2,FALSE),IF(A566="MDEO",VLOOKUP($B566,MDEO!$B$16:$P$27,2,FALSE)))))</f>
        <v>Retrocargador</v>
      </c>
      <c r="D566" s="417"/>
      <c r="E566" s="417"/>
      <c r="F566" s="443">
        <f>IF($A566="EQUI",VLOOKUP($B566,EQUI!B$16:G$41,4,FALSE),IF($A566="TRAN",VLOOKUP($B566,TRAN!$B$16:$G$26,4,FALSE),IF($A566="MAT",VLOOKUP($B566,[7]MAT!$B$16:$G$83,4,FALSE),IF($A566="MDEO",VLOOKUP($B566,MDEO!$B$16:$I$21,4,FALSE)))))</f>
        <v>120000</v>
      </c>
      <c r="G566" s="399">
        <v>4.3999999999999997E-2</v>
      </c>
      <c r="H566" s="404">
        <f>+F566*G566</f>
        <v>5280</v>
      </c>
      <c r="I566" s="403"/>
    </row>
    <row r="567" spans="1:9" ht="12.75" customHeight="1" x14ac:dyDescent="0.3">
      <c r="A567" s="397" t="s">
        <v>1</v>
      </c>
      <c r="B567" s="398" t="s">
        <v>99</v>
      </c>
      <c r="C567" s="721" t="str">
        <f>IF($A567="EQUI",VLOOKUP($B567,EQUI!B$16:G$40,2,FALSE),IF($A567="TRAN",VLOOKUP($B567,TRAN!$B$16:$G$26,2,FALSE),IF(A567="MAT",VLOOKUP($B567,'MAT1'!$B$16:$G$43,2,FALSE),IF(A567="MDEO",VLOOKUP($B567,MDEO!$B$16:$P$27,2,FALSE)))))</f>
        <v>vibro compactador</v>
      </c>
      <c r="D567" s="721"/>
      <c r="E567" s="721"/>
      <c r="F567" s="443">
        <f>IF($A567="EQUI",VLOOKUP($B567,EQUI!B$16:G$41,4,FALSE),IF($A567="TRAN",VLOOKUP($B567,TRAN!$B$16:$G$26,4,FALSE),IF($A567="MAT",VLOOKUP($B567,[7]MAT!$B$16:$G$83,4,FALSE),IF($A567="MDEO",VLOOKUP($B567,MDEO!$B$16:$I$21,4,FALSE)))))</f>
        <v>120000</v>
      </c>
      <c r="G567" s="352">
        <v>4.3999999999999997E-2</v>
      </c>
      <c r="H567" s="404">
        <f>+F567*G567</f>
        <v>5280</v>
      </c>
      <c r="I567" s="403"/>
    </row>
    <row r="568" spans="1:9" ht="12.75" customHeight="1" x14ac:dyDescent="0.3">
      <c r="A568" s="401"/>
      <c r="C568" s="352"/>
      <c r="D568" s="417"/>
      <c r="E568" s="352"/>
      <c r="F568" s="413" t="s">
        <v>32</v>
      </c>
      <c r="G568" s="402" t="str">
        <f>+B562</f>
        <v>3.1</v>
      </c>
      <c r="H568" s="402" t="s">
        <v>286</v>
      </c>
      <c r="I568" s="396">
        <f>+H566+H567</f>
        <v>10560</v>
      </c>
    </row>
    <row r="569" spans="1:9" ht="12.75" customHeight="1" x14ac:dyDescent="0.3">
      <c r="A569" s="395" t="s">
        <v>34</v>
      </c>
      <c r="B569" s="386"/>
      <c r="C569" s="352"/>
      <c r="D569" s="417"/>
      <c r="E569" s="352"/>
      <c r="F569" s="352"/>
      <c r="G569" s="352"/>
      <c r="H569" s="352"/>
      <c r="I569" s="403"/>
    </row>
    <row r="570" spans="1:9" ht="12.75" customHeight="1" x14ac:dyDescent="0.3">
      <c r="A570" s="720" t="s">
        <v>35</v>
      </c>
      <c r="B570" s="712"/>
      <c r="C570" s="712"/>
      <c r="D570" s="712"/>
      <c r="E570" s="350" t="s">
        <v>12</v>
      </c>
      <c r="F570" s="350" t="s">
        <v>36</v>
      </c>
      <c r="G570" s="350" t="s">
        <v>37</v>
      </c>
      <c r="H570" s="350" t="s">
        <v>38</v>
      </c>
      <c r="I570" s="403"/>
    </row>
    <row r="571" spans="1:9" ht="12.75" customHeight="1" x14ac:dyDescent="0.3">
      <c r="A571" s="397" t="s">
        <v>0</v>
      </c>
      <c r="B571" s="398"/>
      <c r="C571" s="721"/>
      <c r="D571" s="721"/>
      <c r="E571" s="355"/>
      <c r="F571" s="355"/>
      <c r="G571" s="352"/>
      <c r="H571" s="404">
        <f>G571*F571</f>
        <v>0</v>
      </c>
      <c r="I571" s="403"/>
    </row>
    <row r="572" spans="1:9" ht="12.75" customHeight="1" x14ac:dyDescent="0.3">
      <c r="A572" s="401"/>
      <c r="C572" s="352"/>
      <c r="D572" s="417"/>
      <c r="E572" s="352"/>
      <c r="F572" s="413" t="s">
        <v>32</v>
      </c>
      <c r="G572" s="402" t="str">
        <f>+B562</f>
        <v>3.1</v>
      </c>
      <c r="H572" s="402" t="s">
        <v>287</v>
      </c>
      <c r="I572" s="396">
        <f>+H571</f>
        <v>0</v>
      </c>
    </row>
    <row r="573" spans="1:9" ht="15.6" customHeight="1" x14ac:dyDescent="0.3">
      <c r="A573" s="395" t="s">
        <v>15</v>
      </c>
      <c r="B573" s="386"/>
      <c r="C573" s="352"/>
      <c r="D573" s="417"/>
      <c r="E573" s="352"/>
      <c r="F573" s="352"/>
      <c r="G573" s="352"/>
      <c r="H573" s="352"/>
      <c r="I573" s="403"/>
    </row>
    <row r="574" spans="1:9" ht="19.2" customHeight="1" x14ac:dyDescent="0.3">
      <c r="A574" s="720" t="s">
        <v>19</v>
      </c>
      <c r="B574" s="712"/>
      <c r="C574" s="712"/>
      <c r="D574" s="355" t="s">
        <v>43</v>
      </c>
      <c r="E574" s="350" t="s">
        <v>44</v>
      </c>
      <c r="F574" s="355" t="s">
        <v>45</v>
      </c>
      <c r="G574" s="350" t="s">
        <v>17</v>
      </c>
      <c r="H574" s="350" t="s">
        <v>30</v>
      </c>
      <c r="I574" s="403"/>
    </row>
    <row r="575" spans="1:9" ht="12.75" customHeight="1" x14ac:dyDescent="0.3">
      <c r="A575" s="405" t="s">
        <v>3</v>
      </c>
      <c r="B575" s="406"/>
      <c r="C575" s="440"/>
      <c r="D575" s="355"/>
      <c r="E575" s="352"/>
      <c r="F575" s="352"/>
      <c r="G575" s="352"/>
      <c r="H575" s="352">
        <f>+G575*F575</f>
        <v>0</v>
      </c>
      <c r="I575" s="403"/>
    </row>
    <row r="576" spans="1:9" ht="12.75" customHeight="1" x14ac:dyDescent="0.3">
      <c r="A576" s="401"/>
      <c r="C576" s="352"/>
      <c r="D576" s="417"/>
      <c r="E576" s="352"/>
      <c r="F576" s="413" t="s">
        <v>32</v>
      </c>
      <c r="G576" s="402" t="str">
        <f>+B562</f>
        <v>3.1</v>
      </c>
      <c r="H576" s="402" t="s">
        <v>288</v>
      </c>
      <c r="I576" s="403">
        <f>+H575</f>
        <v>0</v>
      </c>
    </row>
    <row r="577" spans="1:9" ht="12.75" customHeight="1" x14ac:dyDescent="0.3">
      <c r="A577" s="395" t="s">
        <v>1107</v>
      </c>
      <c r="B577" s="386"/>
      <c r="C577" s="352"/>
      <c r="D577" s="417"/>
      <c r="E577" s="352"/>
      <c r="F577" s="352"/>
      <c r="G577" s="352"/>
      <c r="H577" s="352"/>
      <c r="I577" s="403"/>
    </row>
    <row r="578" spans="1:9" ht="12.75" customHeight="1" x14ac:dyDescent="0.3">
      <c r="A578" s="722" t="s">
        <v>47</v>
      </c>
      <c r="B578" s="723"/>
      <c r="C578" s="723"/>
      <c r="D578" s="355" t="s">
        <v>48</v>
      </c>
      <c r="E578" s="355" t="s">
        <v>109</v>
      </c>
      <c r="F578" s="380" t="s">
        <v>49</v>
      </c>
      <c r="G578" s="380" t="s">
        <v>29</v>
      </c>
      <c r="H578" s="355" t="s">
        <v>30</v>
      </c>
      <c r="I578" s="407"/>
    </row>
    <row r="579" spans="1:9" ht="12.75" customHeight="1" x14ac:dyDescent="0.3">
      <c r="A579" s="405" t="s">
        <v>4</v>
      </c>
      <c r="B579" s="408" t="s">
        <v>177</v>
      </c>
      <c r="C579" s="409" t="str">
        <f>IF($A579="EQUI",VLOOKUP($B579,EQUI!B$16:G$37,2,FALSE),IF($A579="TRAN",VLOOKUP($B579,TRAN!$B$16:$G$26,2,FALSE),IF($A579="MAT",VLOOKUP($B579,'MAT1'!$B$16:$G$43,2,FALSE),IF($A579="MDEO",VLOOKUP($B579,MDEO!$B$16:$P$27,2,FALSE)))))</f>
        <v xml:space="preserve">ayudante </v>
      </c>
      <c r="D579" s="449">
        <f>IF($A579="EQUI",VLOOKUP($B579,EQUI!B$16:G$35,3,FALSE),IF($A579="TRAN",VLOOKUP($B579,TRAN!$B$16:$G$26,3,FALSE),IF($A579="MAT",VLOOKUP($B579,'MAT1'!$B$16:$G$43,3,FALSE),IF($A579="MDEO",VLOOKUP($B579,MDEO!$B$16:$P$33,10,FALSE)))))</f>
        <v>10336.644836388892</v>
      </c>
      <c r="E579" s="410"/>
      <c r="F579" s="438">
        <f>+D579+D579*E579</f>
        <v>10336.644836388892</v>
      </c>
      <c r="G579" s="399">
        <v>4.3999999999999997E-2</v>
      </c>
      <c r="H579" s="404">
        <f t="shared" ref="H579:H580" si="0">G579*F579</f>
        <v>454.81237280111122</v>
      </c>
      <c r="I579" s="403"/>
    </row>
    <row r="580" spans="1:9" ht="12.75" customHeight="1" x14ac:dyDescent="0.3">
      <c r="A580" s="405" t="s">
        <v>4</v>
      </c>
      <c r="B580" s="408" t="s">
        <v>51</v>
      </c>
      <c r="C580" s="409" t="str">
        <f>IF($A580="EQUI",VLOOKUP($B580,EQUI!B$16:G$37,2,FALSE),IF($A580="TRAN",VLOOKUP($B580,TRAN!$B$16:$G$26,2,FALSE),IF($A580="MAT",VLOOKUP($B580,'MAT1'!$B$16:$G$43,2,FALSE),IF($A580="MDEO",VLOOKUP($B580,MDEO!$B$16:$P$27,2,FALSE)))))</f>
        <v>cadenero 1</v>
      </c>
      <c r="D580" s="449">
        <f>IF($A580="EQUI",VLOOKUP($B580,EQUI!B$16:G$35,3,FALSE),IF($A580="TRAN",VLOOKUP($B580,TRAN!$B$16:$G$26,3,FALSE),IF($A580="MAT",VLOOKUP($B580,'MAT1'!$B$16:$G$43,3,FALSE),IF($A580="MDEO",VLOOKUP($B580,MDEO!$B$16:$P$33,10,FALSE)))))</f>
        <v>12974.601086388891</v>
      </c>
      <c r="E580" s="410"/>
      <c r="F580" s="438">
        <f>+D580+D580*E580</f>
        <v>12974.601086388891</v>
      </c>
      <c r="G580" s="399">
        <v>4.3999999999999997E-2</v>
      </c>
      <c r="H580" s="404">
        <f t="shared" si="0"/>
        <v>570.8824478011112</v>
      </c>
      <c r="I580" s="403"/>
    </row>
    <row r="581" spans="1:9" ht="12.75" customHeight="1" x14ac:dyDescent="0.3">
      <c r="A581" s="720"/>
      <c r="B581" s="712"/>
      <c r="C581" s="352"/>
      <c r="D581" s="417"/>
      <c r="E581" s="352"/>
      <c r="F581" s="352"/>
      <c r="G581" s="352"/>
      <c r="H581" s="352"/>
      <c r="I581" s="403"/>
    </row>
    <row r="582" spans="1:9" ht="12.75" customHeight="1" x14ac:dyDescent="0.3">
      <c r="A582" s="401"/>
      <c r="C582" s="352"/>
      <c r="D582" s="417"/>
      <c r="E582" s="352"/>
      <c r="F582" s="413" t="s">
        <v>32</v>
      </c>
      <c r="G582" s="402" t="str">
        <f>+B562</f>
        <v>3.1</v>
      </c>
      <c r="H582" s="413" t="s">
        <v>289</v>
      </c>
      <c r="I582" s="396">
        <f>SUM(H579:H581)</f>
        <v>1025.6948206022225</v>
      </c>
    </row>
    <row r="583" spans="1:9" ht="12.75" customHeight="1" x14ac:dyDescent="0.3">
      <c r="A583" s="401" t="s">
        <v>54</v>
      </c>
      <c r="C583" s="352"/>
      <c r="D583" s="417"/>
      <c r="E583" s="352"/>
      <c r="F583" s="352"/>
      <c r="G583" s="352"/>
      <c r="H583" s="350"/>
      <c r="I583" s="396">
        <f>I582*0.05</f>
        <v>51.284741030111128</v>
      </c>
    </row>
    <row r="584" spans="1:9" ht="12.75" customHeight="1" x14ac:dyDescent="0.3">
      <c r="A584" s="401"/>
      <c r="C584" s="352"/>
      <c r="D584" s="417"/>
      <c r="E584" s="352"/>
      <c r="F584" s="413" t="s">
        <v>55</v>
      </c>
      <c r="G584" s="350"/>
      <c r="H584" s="350"/>
      <c r="I584" s="396">
        <f>+I583+I582+I576+I572+I568</f>
        <v>11636.979561632334</v>
      </c>
    </row>
    <row r="585" spans="1:9" ht="12.75" customHeight="1" x14ac:dyDescent="0.3">
      <c r="A585" s="414"/>
      <c r="B585" s="415"/>
      <c r="C585" s="415"/>
      <c r="D585" s="450"/>
      <c r="E585" s="415"/>
      <c r="F585" s="415"/>
      <c r="G585" s="415"/>
      <c r="H585" s="415"/>
      <c r="I585" s="403"/>
    </row>
    <row r="586" spans="1:9" ht="76.95" customHeight="1" x14ac:dyDescent="0.3">
      <c r="A586" s="724" t="s">
        <v>114</v>
      </c>
      <c r="B586" s="710"/>
      <c r="C586" s="710"/>
      <c r="D586" s="450"/>
      <c r="E586" s="415"/>
      <c r="F586" s="710" t="s">
        <v>396</v>
      </c>
      <c r="G586" s="710"/>
      <c r="H586" s="710"/>
      <c r="I586" s="711"/>
    </row>
    <row r="587" spans="1:9" ht="12.75" customHeight="1" x14ac:dyDescent="0.3">
      <c r="A587" s="397" t="s">
        <v>111</v>
      </c>
      <c r="B587" s="712"/>
      <c r="C587" s="712"/>
      <c r="D587" s="417"/>
      <c r="E587" s="352"/>
      <c r="F587" s="350" t="s">
        <v>111</v>
      </c>
      <c r="G587" s="712"/>
      <c r="H587" s="712"/>
      <c r="I587" s="713"/>
    </row>
    <row r="588" spans="1:9" ht="12.75" customHeight="1" x14ac:dyDescent="0.3">
      <c r="A588" s="439" t="s">
        <v>115</v>
      </c>
      <c r="B588" s="710" t="s">
        <v>1551</v>
      </c>
      <c r="C588" s="710"/>
      <c r="F588" s="432" t="s">
        <v>112</v>
      </c>
      <c r="G588" s="712"/>
      <c r="H588" s="712"/>
      <c r="I588" s="713"/>
    </row>
    <row r="589" spans="1:9" ht="12.75" customHeight="1" x14ac:dyDescent="0.3">
      <c r="A589" s="439" t="s">
        <v>113</v>
      </c>
      <c r="B589" s="710" t="s">
        <v>1554</v>
      </c>
      <c r="C589" s="710"/>
      <c r="F589" s="432" t="s">
        <v>113</v>
      </c>
      <c r="G589" s="712"/>
      <c r="H589" s="712"/>
      <c r="I589" s="713"/>
    </row>
    <row r="590" spans="1:9" ht="12.75" customHeight="1" x14ac:dyDescent="0.3">
      <c r="A590" s="439"/>
      <c r="B590" s="350"/>
      <c r="C590" s="350"/>
      <c r="F590" s="432"/>
      <c r="G590" s="350"/>
      <c r="H590" s="350"/>
      <c r="I590" s="416"/>
    </row>
    <row r="591" spans="1:9" ht="12.75" customHeight="1" x14ac:dyDescent="0.3">
      <c r="A591" s="714" t="s">
        <v>110</v>
      </c>
      <c r="B591" s="715"/>
      <c r="C591" s="715"/>
      <c r="D591" s="715"/>
      <c r="E591" s="715"/>
      <c r="F591" s="715"/>
      <c r="G591" s="715"/>
      <c r="H591" s="715"/>
      <c r="I591" s="716"/>
    </row>
    <row r="592" spans="1:9" ht="12.75" customHeight="1" x14ac:dyDescent="0.3">
      <c r="A592" s="729"/>
      <c r="B592" s="730"/>
      <c r="C592" s="730"/>
      <c r="D592" s="730"/>
      <c r="E592" s="730"/>
      <c r="F592" s="730"/>
      <c r="G592" s="730"/>
      <c r="H592" s="730"/>
      <c r="I592" s="731"/>
    </row>
    <row r="593" spans="1:9" ht="12.75" customHeight="1" x14ac:dyDescent="0.3">
      <c r="A593" s="714"/>
      <c r="B593" s="715"/>
      <c r="C593" s="715"/>
      <c r="D593" s="715"/>
      <c r="E593" s="715"/>
      <c r="F593" s="715"/>
      <c r="G593" s="715"/>
      <c r="H593" s="715"/>
      <c r="I593" s="716"/>
    </row>
    <row r="594" spans="1:9" ht="12.75" customHeight="1" x14ac:dyDescent="0.3">
      <c r="A594" s="725" t="s">
        <v>68</v>
      </c>
      <c r="B594" s="726"/>
      <c r="C594" s="726"/>
      <c r="D594" s="726"/>
      <c r="E594" s="726"/>
      <c r="F594" s="726"/>
      <c r="G594" s="726"/>
      <c r="H594" s="726"/>
      <c r="I594" s="727"/>
    </row>
    <row r="595" spans="1:9" ht="23.25" customHeight="1" x14ac:dyDescent="0.3">
      <c r="A595" s="390" t="s">
        <v>69</v>
      </c>
      <c r="B595" s="420" t="s">
        <v>249</v>
      </c>
      <c r="C595" s="710" t="s">
        <v>70</v>
      </c>
      <c r="D595" s="723" t="str">
        <f>VLOOKUP(B595,'AJUSTE PRESUPUESTO'!$A$18:$I$71,3,FALSE)</f>
        <v>Suministro e instalación de geotextil 2400, estabilización de subrasante, separación de materiales</v>
      </c>
      <c r="E595" s="723"/>
      <c r="F595" s="723"/>
      <c r="G595" s="723"/>
      <c r="H595" s="723"/>
      <c r="I595" s="728"/>
    </row>
    <row r="596" spans="1:9" ht="12.75" customHeight="1" x14ac:dyDescent="0.3">
      <c r="A596" s="390" t="s">
        <v>71</v>
      </c>
      <c r="B596" s="391" t="str">
        <f>VLOOKUP(B595,[6]PRESUPUESTO!$A$18:$I$90,2,FALSE)</f>
        <v>232-13</v>
      </c>
      <c r="C596" s="710"/>
      <c r="D596" s="355" t="s">
        <v>12</v>
      </c>
      <c r="E596" s="392" t="s">
        <v>26</v>
      </c>
      <c r="F596" s="392" t="s">
        <v>13</v>
      </c>
      <c r="G596" s="392">
        <f>VLOOKUP(B596,PRESUPUESTO!$B$15:$I$1200,5,FALSE)</f>
        <v>14703</v>
      </c>
      <c r="H596" s="393" t="s">
        <v>27</v>
      </c>
      <c r="I596" s="394">
        <f>+I619</f>
        <v>10759</v>
      </c>
    </row>
    <row r="597" spans="1:9" ht="12.75" customHeight="1" x14ac:dyDescent="0.3">
      <c r="A597" s="395" t="s">
        <v>14</v>
      </c>
      <c r="B597" s="386"/>
      <c r="C597" s="352"/>
      <c r="D597" s="417"/>
      <c r="E597" s="352"/>
      <c r="F597" s="352"/>
      <c r="G597" s="352"/>
      <c r="H597" s="352"/>
      <c r="I597" s="396"/>
    </row>
    <row r="598" spans="1:9" ht="12.75" customHeight="1" x14ac:dyDescent="0.3">
      <c r="A598" s="720" t="s">
        <v>19</v>
      </c>
      <c r="B598" s="712"/>
      <c r="C598" s="712"/>
      <c r="D598" s="712"/>
      <c r="E598" s="712"/>
      <c r="F598" s="350" t="s">
        <v>28</v>
      </c>
      <c r="G598" s="350" t="s">
        <v>29</v>
      </c>
      <c r="H598" s="350" t="s">
        <v>30</v>
      </c>
      <c r="I598" s="403"/>
    </row>
    <row r="599" spans="1:9" ht="12.75" customHeight="1" x14ac:dyDescent="0.3">
      <c r="A599" s="397" t="s">
        <v>1</v>
      </c>
      <c r="B599" s="398"/>
      <c r="C599" s="721"/>
      <c r="D599" s="721"/>
      <c r="E599" s="721"/>
      <c r="F599" s="355"/>
      <c r="G599" s="352"/>
      <c r="H599" s="404">
        <f>+F599*G599</f>
        <v>0</v>
      </c>
      <c r="I599" s="403"/>
    </row>
    <row r="600" spans="1:9" ht="12.75" customHeight="1" x14ac:dyDescent="0.3">
      <c r="A600" s="401"/>
      <c r="C600" s="352"/>
      <c r="D600" s="417"/>
      <c r="E600" s="352"/>
      <c r="F600" s="413" t="s">
        <v>32</v>
      </c>
      <c r="G600" s="402" t="str">
        <f>+B595</f>
        <v>3.2</v>
      </c>
      <c r="H600" s="402" t="s">
        <v>323</v>
      </c>
      <c r="I600" s="396">
        <f>SUM(H599:H599)</f>
        <v>0</v>
      </c>
    </row>
    <row r="601" spans="1:9" ht="12.75" customHeight="1" x14ac:dyDescent="0.3">
      <c r="A601" s="395" t="s">
        <v>34</v>
      </c>
      <c r="B601" s="386"/>
      <c r="C601" s="352"/>
      <c r="D601" s="417"/>
      <c r="E601" s="352"/>
      <c r="F601" s="352"/>
      <c r="G601" s="352"/>
      <c r="H601" s="352"/>
      <c r="I601" s="403"/>
    </row>
    <row r="602" spans="1:9" ht="12.75" customHeight="1" x14ac:dyDescent="0.3">
      <c r="A602" s="720" t="s">
        <v>35</v>
      </c>
      <c r="B602" s="712"/>
      <c r="C602" s="712"/>
      <c r="D602" s="712"/>
      <c r="E602" s="350" t="s">
        <v>12</v>
      </c>
      <c r="F602" s="350" t="s">
        <v>36</v>
      </c>
      <c r="G602" s="350" t="s">
        <v>37</v>
      </c>
      <c r="H602" s="350" t="s">
        <v>38</v>
      </c>
      <c r="I602" s="403"/>
    </row>
    <row r="603" spans="1:9" ht="12.75" customHeight="1" x14ac:dyDescent="0.3">
      <c r="A603" s="397" t="s">
        <v>522</v>
      </c>
      <c r="B603" s="398" t="s">
        <v>144</v>
      </c>
      <c r="C603" s="721" t="str">
        <f>IF($A603="EQUI",VLOOKUP($B603,EQUI!B$16:G$35,2,FALSE),IF($A603="TRAN",VLOOKUP($B603,TRAN!$B$16:$G$26,2,FALSE),IF($A603="MAT1",VLOOKUP($B603,'MAT1'!$B$16:$G$43,2,FALSE),IF($A603="MAT2",VLOOKUP($B603,'MAT2'!$B$16:$G$55,2,FALSE),IF($A603="MDEO",VLOOKUP($B603,MDEO!$B$16:$P$27,2,FALSE))))))</f>
        <v>geotextil tejido 2400 t</v>
      </c>
      <c r="D603" s="721"/>
      <c r="E603" s="355" t="str">
        <f>IF($A603="EQUI",VLOOKUP($B603,EQUI!B$16:G$35,3,FALSE),IF($A603="TRAN",VLOOKUP($B603,TRAN!$B$16:$G$26,3,FALSE),IF($A603="MAT1",VLOOKUP($B603,'MAT1'!$B$16:$G$43,3,FALSE),IF($A603="MAT2",VLOOKUP($B603,'MAT2'!$B$16:$G$55,3,FALSE),IF($A603="MDEO",VLOOKUP($B603,MDEO!$B$16:$P$27,3,FALSE))))))</f>
        <v>M2</v>
      </c>
      <c r="F603" s="355">
        <f>IF($A603="EQUI",VLOOKUP($B603,EQUI!B$16:G$35,4,FALSE),IF($A603="TRAN",VLOOKUP($B603,TRAN!$B$16:$G$26,4,FALSE),IF($A603="MAT1",VLOOKUP($B603,'MAT1'!$B$16:$G$43,4,FALSE),IF($A603="MAT2",VLOOKUP($B603,'MAT2'!$B$16:$G$53,4,FALSE),IF($A603="MDEO",VLOOKUP($B603,MDEO!$B$16:$P$27,4,FALSE))))))</f>
        <v>8500</v>
      </c>
      <c r="G603" s="352">
        <v>1</v>
      </c>
      <c r="H603" s="404">
        <f>+F603*G603</f>
        <v>8500</v>
      </c>
      <c r="I603" s="403"/>
    </row>
    <row r="604" spans="1:9" ht="12.75" customHeight="1" x14ac:dyDescent="0.3">
      <c r="A604" s="397" t="s">
        <v>522</v>
      </c>
      <c r="B604" s="398" t="s">
        <v>147</v>
      </c>
      <c r="C604" s="721" t="str">
        <f>IF($A604="EQUI",VLOOKUP($B604,EQUI!B$16:G$35,2,FALSE),IF($A604="TRAN",VLOOKUP($B604,TRAN!$B$16:$G$26,2,FALSE),IF($A604="MAT1",VLOOKUP($B604,'MAT1'!$B$16:$G$43,2,FALSE),IF($A604="MAT2",VLOOKUP($B604,'MAT2'!$B$16:$G$55,2,FALSE),IF($A604="MDEO",VLOOKUP($B604,MDEO!$B$16:$P$27,2,FALSE))))))</f>
        <v>listón 2*2 madera tipo choiba</v>
      </c>
      <c r="D604" s="721"/>
      <c r="E604" s="355" t="str">
        <f>IF($A604="EQUI",VLOOKUP($B604,EQUI!B$16:G$35,3,FALSE),IF($A604="TRAN",VLOOKUP($B604,TRAN!$B$16:$G$26,3,FALSE),IF($A604="MAT1",VLOOKUP($B604,'MAT1'!$B$16:$G$43,3,FALSE),IF($A604="MAT2",VLOOKUP($B604,'MAT2'!$B$16:$G$55,3,FALSE),IF($A604="MDEO",VLOOKUP($B604,MDEO!$B$16:$P$27,3,FALSE))))))</f>
        <v>UNIDAD</v>
      </c>
      <c r="F604" s="355">
        <f>IF($A604="EQUI",VLOOKUP($B604,EQUI!B$16:G$35,4,FALSE),IF($A604="TRAN",VLOOKUP($B604,TRAN!$B$16:$G$26,4,FALSE),IF($A604="MAT1",VLOOKUP($B604,'MAT1'!$B$16:$G$43,4,FALSE),IF($A604="MAT2",VLOOKUP($B604,'MAT2'!$B$16:$G$53,4,FALSE),IF($A604="MDEO",VLOOKUP($B604,MDEO!$B$16:$P$27,4,FALSE))))))</f>
        <v>10000</v>
      </c>
      <c r="G604" s="352">
        <v>0.06</v>
      </c>
      <c r="H604" s="404">
        <f>+F604*G604</f>
        <v>600</v>
      </c>
      <c r="I604" s="403"/>
    </row>
    <row r="605" spans="1:9" ht="12.75" customHeight="1" x14ac:dyDescent="0.3">
      <c r="A605" s="401"/>
      <c r="C605" s="352"/>
      <c r="D605" s="417"/>
      <c r="E605" s="352"/>
      <c r="F605" s="413" t="s">
        <v>32</v>
      </c>
      <c r="G605" s="402" t="str">
        <f>+B595</f>
        <v>3.2</v>
      </c>
      <c r="H605" s="402" t="s">
        <v>324</v>
      </c>
      <c r="I605" s="403">
        <f>SUM(H603:H604)</f>
        <v>9100</v>
      </c>
    </row>
    <row r="606" spans="1:9" ht="12.75" customHeight="1" x14ac:dyDescent="0.3">
      <c r="A606" s="395" t="s">
        <v>15</v>
      </c>
      <c r="B606" s="386"/>
      <c r="C606" s="352"/>
      <c r="D606" s="417"/>
      <c r="E606" s="352"/>
      <c r="F606" s="352"/>
      <c r="G606" s="352"/>
      <c r="H606" s="352"/>
      <c r="I606" s="403"/>
    </row>
    <row r="607" spans="1:9" ht="20.399999999999999" customHeight="1" x14ac:dyDescent="0.3">
      <c r="A607" s="720" t="s">
        <v>19</v>
      </c>
      <c r="B607" s="712"/>
      <c r="C607" s="712"/>
      <c r="D607" s="355" t="s">
        <v>43</v>
      </c>
      <c r="E607" s="350" t="s">
        <v>44</v>
      </c>
      <c r="F607" s="355" t="s">
        <v>45</v>
      </c>
      <c r="G607" s="350" t="s">
        <v>17</v>
      </c>
      <c r="H607" s="350" t="s">
        <v>30</v>
      </c>
      <c r="I607" s="403"/>
    </row>
    <row r="608" spans="1:9" ht="12.75" customHeight="1" x14ac:dyDescent="0.3">
      <c r="A608" s="405" t="s">
        <v>3</v>
      </c>
      <c r="B608" s="398"/>
      <c r="C608" s="417"/>
      <c r="D608" s="417"/>
      <c r="E608" s="417"/>
      <c r="F608" s="355"/>
      <c r="G608" s="352"/>
      <c r="H608" s="404"/>
      <c r="I608" s="403"/>
    </row>
    <row r="609" spans="1:9" ht="12.75" customHeight="1" x14ac:dyDescent="0.3">
      <c r="A609" s="401"/>
      <c r="C609" s="352"/>
      <c r="D609" s="417"/>
      <c r="E609" s="352"/>
      <c r="F609" s="413" t="s">
        <v>32</v>
      </c>
      <c r="G609" s="402" t="str">
        <f>+B595</f>
        <v>3.2</v>
      </c>
      <c r="H609" s="402" t="s">
        <v>325</v>
      </c>
      <c r="I609" s="403">
        <f>SUM(H608:H608)</f>
        <v>0</v>
      </c>
    </row>
    <row r="610" spans="1:9" ht="12.75" customHeight="1" x14ac:dyDescent="0.3">
      <c r="A610" s="395" t="s">
        <v>1107</v>
      </c>
      <c r="B610" s="386"/>
      <c r="C610" s="352"/>
      <c r="D610" s="417"/>
      <c r="E610" s="352"/>
      <c r="F610" s="352"/>
      <c r="G610" s="352"/>
      <c r="H610" s="352"/>
      <c r="I610" s="403"/>
    </row>
    <row r="611" spans="1:9" ht="18.600000000000001" customHeight="1" x14ac:dyDescent="0.3">
      <c r="A611" s="722" t="s">
        <v>18</v>
      </c>
      <c r="B611" s="723"/>
      <c r="C611" s="723"/>
      <c r="D611" s="355" t="s">
        <v>48</v>
      </c>
      <c r="E611" s="355" t="s">
        <v>109</v>
      </c>
      <c r="F611" s="380" t="s">
        <v>250</v>
      </c>
      <c r="G611" s="380" t="s">
        <v>251</v>
      </c>
      <c r="H611" s="355" t="s">
        <v>252</v>
      </c>
      <c r="I611" s="407"/>
    </row>
    <row r="612" spans="1:9" ht="12.75" customHeight="1" x14ac:dyDescent="0.3">
      <c r="A612" s="405" t="s">
        <v>4</v>
      </c>
      <c r="B612" s="408" t="s">
        <v>175</v>
      </c>
      <c r="C612" s="409" t="str">
        <f>IF($A612="EQUI",VLOOKUP($B612,EQUI!B$16:G$37,2,FALSE),IF($A612="TRAN",VLOOKUP($B612,TRAN!$B$16:$G$26,2,FALSE),IF($A612="MAT",VLOOKUP($B612,'MAT1'!$B$16:$G$43,2,FALSE),IF($A612="MDEO",VLOOKUP($B612,MDEO!$B$16:$P$27,2,FALSE)))))</f>
        <v xml:space="preserve">oficial </v>
      </c>
      <c r="D612" s="449">
        <f>IF($A612="EQUI",VLOOKUP($B612,EQUI!B$16:G$35,3,FALSE),IF($A612="TRAN",VLOOKUP($B612,TRAN!$B$16:$G$26,3,FALSE),IF($A612="MAT",VLOOKUP($B612,'MAT1'!$B$16:$G$43,3,FALSE),IF($A612="MDEO",VLOOKUP($B612,MDEO!$B$16:$P$33,10,FALSE)))))</f>
        <v>12336.644836388892</v>
      </c>
      <c r="E612" s="410">
        <f>IF($A612="EQUI",VLOOKUP($B612,[6]EQUI!B$16:G$46,4,FALSE),IF($A612="TRAN",VLOOKUP($B612,[6]TRAN!$B$16:$G$26,4,FALSE),IF($A612="MAT",VLOOKUP($B612,[6]MAT!$B$16:$G$83,4,FALSE),IF($A612="MDEO",VLOOKUP($B612,[6]MDEO!$B$16:$I$21,4,FALSE)))))</f>
        <v>0</v>
      </c>
      <c r="F612" s="438">
        <f>+D612+D612*E612</f>
        <v>12336.644836388892</v>
      </c>
      <c r="G612" s="412">
        <v>4.4999999999999998E-2</v>
      </c>
      <c r="H612" s="411">
        <f>G612*F612</f>
        <v>555.14901763750015</v>
      </c>
      <c r="I612" s="403"/>
    </row>
    <row r="613" spans="1:9" ht="12.75" customHeight="1" x14ac:dyDescent="0.3">
      <c r="A613" s="405" t="s">
        <v>4</v>
      </c>
      <c r="B613" s="408" t="s">
        <v>176</v>
      </c>
      <c r="C613" s="409" t="str">
        <f>IF($A613="EQUI",VLOOKUP($B613,EQUI!B$16:G$37,2,FALSE),IF($A613="TRAN",VLOOKUP($B613,TRAN!$B$16:$G$26,2,FALSE),IF($A613="MAT",VLOOKUP($B613,'MAT1'!$B$16:$G$43,2,FALSE),IF($A613="MDEO",VLOOKUP($B613,MDEO!$B$16:$P$33,2,FALSE)))))</f>
        <v xml:space="preserve">ayudante entendido </v>
      </c>
      <c r="D613" s="449">
        <f>IF($A613="EQUI",VLOOKUP($B613,EQUI!B$16:G$35,3,FALSE),IF($A613="TRAN",VLOOKUP($B613,TRAN!$B$16:$G$26,3,FALSE),IF($A613="MAT",VLOOKUP($B613,'MAT1'!$B$16:$G$43,3,FALSE),IF($A613="MDEO",VLOOKUP($B613,MDEO!$B$16:$P$33,10,FALSE)))))</f>
        <v>11136.644836388892</v>
      </c>
      <c r="E613" s="410">
        <f>IF($A613="EQUI",VLOOKUP($B613,[6]EQUI!B$16:G$46,4,FALSE),IF($A613="TRAN",VLOOKUP($B613,[6]TRAN!$B$16:$G$26,4,FALSE),IF($A613="MAT",VLOOKUP($B613,[6]MAT!$B$16:$G$83,4,FALSE),IF($A613="MDEO",VLOOKUP($B613,[6]MDEO!$B$16:$I$21,4,FALSE)))))</f>
        <v>0</v>
      </c>
      <c r="F613" s="438">
        <f>+D613+D613*E613</f>
        <v>11136.644836388892</v>
      </c>
      <c r="G613" s="412">
        <v>4.4999999999999998E-2</v>
      </c>
      <c r="H613" s="411">
        <f>G613*F613</f>
        <v>501.14901763750015</v>
      </c>
      <c r="I613" s="403"/>
    </row>
    <row r="614" spans="1:9" ht="12.75" customHeight="1" x14ac:dyDescent="0.3">
      <c r="A614" s="405" t="s">
        <v>4</v>
      </c>
      <c r="B614" s="408" t="s">
        <v>177</v>
      </c>
      <c r="C614" s="409" t="str">
        <f>IF($A614="EQUI",VLOOKUP($B614,EQUI!B$16:G$37,2,FALSE),IF($A614="TRAN",VLOOKUP($B614,TRAN!$B$16:$G$26,2,FALSE),IF($A614="MAT",VLOOKUP($B614,'MAT1'!$B$16:$G$43,2,FALSE),IF($A614="MDEO",VLOOKUP($B614,MDEO!$B$16:$P$27,2,FALSE)))))</f>
        <v xml:space="preserve">ayudante </v>
      </c>
      <c r="D614" s="449">
        <f>IF($A614="EQUI",VLOOKUP($B614,EQUI!B$16:G$35,3,FALSE),IF($A614="TRAN",VLOOKUP($B614,TRAN!$B$16:$G$26,3,FALSE),IF($A614="MAT",VLOOKUP($B614,'MAT1'!$B$16:$G$43,3,FALSE),IF($A614="MDEO",VLOOKUP($B614,MDEO!$B$16:$P$33,10,FALSE)))))</f>
        <v>10336.644836388892</v>
      </c>
      <c r="E614" s="410">
        <f>IF($A614="EQUI",VLOOKUP($B614,[6]EQUI!B$16:G$46,4,FALSE),IF($A614="TRAN",VLOOKUP($B614,[6]TRAN!$B$16:$G$26,4,FALSE),IF($A614="MAT",VLOOKUP($B614,[6]MAT!$B$16:$G$83,4,FALSE),IF($A614="MDEO",VLOOKUP($B614,[6]MDEO!$B$16:$I$21,4,FALSE)))))</f>
        <v>0</v>
      </c>
      <c r="F614" s="438">
        <f>+D614+D614*E614</f>
        <v>10336.644836388892</v>
      </c>
      <c r="G614" s="412">
        <v>4.4999999999999998E-2</v>
      </c>
      <c r="H614" s="411">
        <f>G614*F614</f>
        <v>465.14901763750015</v>
      </c>
      <c r="I614" s="403"/>
    </row>
    <row r="615" spans="1:9" ht="12.75" customHeight="1" x14ac:dyDescent="0.3">
      <c r="A615" s="405" t="s">
        <v>4</v>
      </c>
      <c r="B615" s="408" t="s">
        <v>178</v>
      </c>
      <c r="C615" s="409" t="str">
        <f>IF($A615="EQUI",VLOOKUP($B615,EQUI!B$16:G$37,2,FALSE),IF($A615="TRAN",VLOOKUP($B615,TRAN!$B$16:$G$26,2,FALSE),IF($A615="MAT",VLOOKUP($B615,'MAT1'!$B$16:$G$43,2,FALSE),IF($A615="MDEO",VLOOKUP($B615,MDEO!$B$16:$P$33,2,FALSE)))))</f>
        <v>contra maestro</v>
      </c>
      <c r="D615" s="449">
        <f>IF($A615="EQUI",VLOOKUP($B615,EQUI!B$16:G$35,3,FALSE),IF($A615="TRAN",VLOOKUP($B615,TRAN!$B$16:$G$26,3,FALSE),IF($A615="MAT",VLOOKUP($B615,'MAT1'!$B$16:$G$43,3,FALSE),IF($A615="MDEO",VLOOKUP($B615,MDEO!$B$16:$P$33,10,FALSE)))))</f>
        <v>12974.601086388891</v>
      </c>
      <c r="E615" s="410"/>
      <c r="F615" s="438">
        <f>+D615+D615*E615</f>
        <v>12974.601086388891</v>
      </c>
      <c r="G615" s="412">
        <f>+G612*0.1</f>
        <v>4.4999999999999997E-3</v>
      </c>
      <c r="H615" s="411">
        <f>G615*F615</f>
        <v>58.385704888750006</v>
      </c>
      <c r="I615" s="403"/>
    </row>
    <row r="616" spans="1:9" ht="12.75" customHeight="1" x14ac:dyDescent="0.3">
      <c r="A616" s="720"/>
      <c r="B616" s="712"/>
      <c r="C616" s="352"/>
      <c r="D616" s="417"/>
      <c r="E616" s="352"/>
      <c r="F616" s="352"/>
      <c r="G616" s="352"/>
      <c r="H616" s="352"/>
      <c r="I616" s="403"/>
    </row>
    <row r="617" spans="1:9" ht="12.75" customHeight="1" x14ac:dyDescent="0.3">
      <c r="A617" s="401"/>
      <c r="C617" s="352"/>
      <c r="D617" s="417"/>
      <c r="E617" s="352"/>
      <c r="F617" s="413" t="s">
        <v>32</v>
      </c>
      <c r="G617" s="402" t="str">
        <f>+B595</f>
        <v>3.2</v>
      </c>
      <c r="H617" s="413" t="s">
        <v>326</v>
      </c>
      <c r="I617" s="396">
        <f>SUM(H612:H616)</f>
        <v>1579.8327578012506</v>
      </c>
    </row>
    <row r="618" spans="1:9" ht="12.75" customHeight="1" x14ac:dyDescent="0.3">
      <c r="A618" s="401" t="s">
        <v>54</v>
      </c>
      <c r="C618" s="352"/>
      <c r="D618" s="417"/>
      <c r="E618" s="352"/>
      <c r="F618" s="352"/>
      <c r="G618" s="352"/>
      <c r="H618" s="350"/>
      <c r="I618" s="396">
        <f>I617*0.05</f>
        <v>78.991637890062535</v>
      </c>
    </row>
    <row r="619" spans="1:9" ht="12.75" customHeight="1" x14ac:dyDescent="0.3">
      <c r="A619" s="401"/>
      <c r="C619" s="352"/>
      <c r="D619" s="417"/>
      <c r="E619" s="352"/>
      <c r="F619" s="413" t="s">
        <v>55</v>
      </c>
      <c r="G619" s="350"/>
      <c r="H619" s="350"/>
      <c r="I619" s="396">
        <f>ROUND(I617+I618+I605+I600+I609,0)</f>
        <v>10759</v>
      </c>
    </row>
    <row r="620" spans="1:9" ht="76.95" customHeight="1" x14ac:dyDescent="0.3">
      <c r="A620" s="724" t="s">
        <v>114</v>
      </c>
      <c r="B620" s="710"/>
      <c r="C620" s="710"/>
      <c r="D620" s="450"/>
      <c r="E620" s="415"/>
      <c r="F620" s="710" t="s">
        <v>396</v>
      </c>
      <c r="G620" s="710"/>
      <c r="H620" s="710"/>
      <c r="I620" s="711"/>
    </row>
    <row r="621" spans="1:9" ht="12.75" customHeight="1" x14ac:dyDescent="0.3">
      <c r="A621" s="397" t="s">
        <v>111</v>
      </c>
      <c r="B621" s="712"/>
      <c r="C621" s="712"/>
      <c r="D621" s="417"/>
      <c r="E621" s="352"/>
      <c r="F621" s="350" t="s">
        <v>111</v>
      </c>
      <c r="G621" s="712"/>
      <c r="H621" s="712"/>
      <c r="I621" s="713"/>
    </row>
    <row r="622" spans="1:9" ht="12.75" customHeight="1" x14ac:dyDescent="0.3">
      <c r="A622" s="439" t="s">
        <v>115</v>
      </c>
      <c r="B622" s="710" t="s">
        <v>1551</v>
      </c>
      <c r="C622" s="710"/>
      <c r="F622" s="432" t="s">
        <v>112</v>
      </c>
      <c r="G622" s="712"/>
      <c r="H622" s="712"/>
      <c r="I622" s="713"/>
    </row>
    <row r="623" spans="1:9" ht="12.75" customHeight="1" x14ac:dyDescent="0.3">
      <c r="A623" s="439" t="s">
        <v>113</v>
      </c>
      <c r="B623" s="710" t="s">
        <v>1554</v>
      </c>
      <c r="C623" s="710"/>
      <c r="F623" s="432" t="s">
        <v>113</v>
      </c>
      <c r="G623" s="712"/>
      <c r="H623" s="712"/>
      <c r="I623" s="713"/>
    </row>
    <row r="624" spans="1:9" ht="12.75" customHeight="1" x14ac:dyDescent="0.3">
      <c r="A624" s="439"/>
      <c r="B624" s="350"/>
      <c r="C624" s="350"/>
      <c r="F624" s="432"/>
      <c r="G624" s="350"/>
      <c r="H624" s="350"/>
      <c r="I624" s="416"/>
    </row>
    <row r="625" spans="1:13" ht="12.75" customHeight="1" x14ac:dyDescent="0.3">
      <c r="A625" s="714" t="s">
        <v>110</v>
      </c>
      <c r="B625" s="715"/>
      <c r="C625" s="715"/>
      <c r="D625" s="715"/>
      <c r="E625" s="715"/>
      <c r="F625" s="715"/>
      <c r="G625" s="715"/>
      <c r="H625" s="715"/>
      <c r="I625" s="716"/>
    </row>
    <row r="626" spans="1:13" ht="20.399999999999999" customHeight="1" x14ac:dyDescent="0.3">
      <c r="A626" s="729"/>
      <c r="B626" s="730"/>
      <c r="C626" s="730"/>
      <c r="D626" s="730"/>
      <c r="E626" s="730"/>
      <c r="F626" s="730"/>
      <c r="G626" s="730"/>
      <c r="H626" s="730"/>
      <c r="I626" s="731"/>
    </row>
    <row r="627" spans="1:13" ht="20.399999999999999" customHeight="1" x14ac:dyDescent="0.3">
      <c r="A627" s="714"/>
      <c r="B627" s="715"/>
      <c r="C627" s="715"/>
      <c r="D627" s="715"/>
      <c r="E627" s="715"/>
      <c r="F627" s="715"/>
      <c r="G627" s="715"/>
      <c r="H627" s="715"/>
      <c r="I627" s="716"/>
    </row>
    <row r="628" spans="1:13" ht="12" customHeight="1" x14ac:dyDescent="0.3">
      <c r="A628" s="725" t="s">
        <v>68</v>
      </c>
      <c r="B628" s="726"/>
      <c r="C628" s="726"/>
      <c r="D628" s="726"/>
      <c r="E628" s="726"/>
      <c r="F628" s="726"/>
      <c r="G628" s="726"/>
      <c r="H628" s="726"/>
      <c r="I628" s="727"/>
    </row>
    <row r="629" spans="1:13" ht="25.5" customHeight="1" x14ac:dyDescent="0.3">
      <c r="A629" s="390" t="s">
        <v>69</v>
      </c>
      <c r="B629" s="420" t="s">
        <v>253</v>
      </c>
      <c r="C629" s="710" t="s">
        <v>70</v>
      </c>
      <c r="D629" s="723" t="str">
        <f>VLOOKUP(B629,'AJUSTE PRESUPUESTO'!$A$18:$I$68,3,FALSE)</f>
        <v>Mejoramiento de la subrasante con adición de materiales granular de préstamo para remplazo de fallos</v>
      </c>
      <c r="E629" s="723"/>
      <c r="F629" s="723"/>
      <c r="G629" s="723"/>
      <c r="H629" s="723"/>
      <c r="I629" s="728"/>
    </row>
    <row r="630" spans="1:13" ht="12.75" customHeight="1" x14ac:dyDescent="0.3">
      <c r="A630" s="390" t="s">
        <v>71</v>
      </c>
      <c r="B630" s="391" t="str">
        <f>VLOOKUP(B629,[6]PRESUPUESTO!$A$18:$I$90,2,FALSE)</f>
        <v>230-13</v>
      </c>
      <c r="C630" s="710"/>
      <c r="D630" s="355" t="s">
        <v>12</v>
      </c>
      <c r="E630" s="392" t="s">
        <v>124</v>
      </c>
      <c r="F630" s="392" t="s">
        <v>13</v>
      </c>
      <c r="G630" s="392">
        <f>VLOOKUP(B630,PRESUPUESTO!$B$15:$I$1200,5,FALSE)</f>
        <v>2205</v>
      </c>
      <c r="H630" s="393" t="s">
        <v>27</v>
      </c>
      <c r="I630" s="394">
        <f>+I656</f>
        <v>124919</v>
      </c>
    </row>
    <row r="631" spans="1:13" ht="12.75" customHeight="1" x14ac:dyDescent="0.3">
      <c r="A631" s="395" t="s">
        <v>14</v>
      </c>
      <c r="B631" s="386"/>
      <c r="C631" s="352"/>
      <c r="D631" s="417"/>
      <c r="E631" s="352"/>
      <c r="F631" s="352"/>
      <c r="G631" s="352"/>
      <c r="H631" s="352"/>
      <c r="I631" s="396"/>
    </row>
    <row r="632" spans="1:13" ht="12.75" customHeight="1" x14ac:dyDescent="0.3">
      <c r="A632" s="720" t="s">
        <v>19</v>
      </c>
      <c r="B632" s="712"/>
      <c r="C632" s="712"/>
      <c r="D632" s="712"/>
      <c r="E632" s="712"/>
      <c r="F632" s="350" t="s">
        <v>28</v>
      </c>
      <c r="G632" s="350" t="s">
        <v>29</v>
      </c>
      <c r="H632" s="350" t="s">
        <v>30</v>
      </c>
      <c r="I632" s="403"/>
    </row>
    <row r="633" spans="1:13" ht="12.75" customHeight="1" x14ac:dyDescent="0.3">
      <c r="A633" s="397" t="s">
        <v>1</v>
      </c>
      <c r="B633" s="398" t="s">
        <v>77</v>
      </c>
      <c r="C633" s="417" t="str">
        <f>IF($A633="EQUI",VLOOKUP($B633,EQUI!B$16:G$40,2,FALSE),IF($A633="TRAN",VLOOKUP($B633,TRAN!$B$16:$G$26,2,FALSE),IF(A633="MAT",VLOOKUP($B633,'MAT1'!$B$16:$G$43,2,FALSE),IF(A633="MDEO",VLOOKUP($B633,MDEO!$B$16:$P$27,2,FALSE)))))</f>
        <v>Retrocargador</v>
      </c>
      <c r="D633" s="417"/>
      <c r="E633" s="417"/>
      <c r="F633" s="355">
        <f>IF($A633="EQUI",VLOOKUP($B633,EQUI!B$16:G$41,4,FALSE),IF($A633="TRAN",VLOOKUP($B633,[6]TRAN!$B$16:$G$26,4,FALSE),IF($A633="MAT",VLOOKUP($B633,'MAT1'!$B$16:$G$45,4,FALSE),IF($A633="MDEO",VLOOKUP($B633,[6]MDEO!$B$16:$I$21,4,FALSE)))))</f>
        <v>120000</v>
      </c>
      <c r="G633" s="352">
        <v>4.3999999999999997E-2</v>
      </c>
      <c r="H633" s="404">
        <f>+F633*G633</f>
        <v>5280</v>
      </c>
      <c r="I633" s="403"/>
    </row>
    <row r="634" spans="1:13" ht="12.75" customHeight="1" x14ac:dyDescent="0.3">
      <c r="A634" s="397" t="s">
        <v>1</v>
      </c>
      <c r="B634" s="398" t="s">
        <v>99</v>
      </c>
      <c r="C634" s="721" t="str">
        <f>IF($A634="EQUI",VLOOKUP($B634,EQUI!B$16:G$40,2,FALSE),IF($A634="TRAN",VLOOKUP($B634,TRAN!$B$16:$G$26,2,FALSE),IF(A634="MAT",VLOOKUP($B634,'MAT1'!$B$16:$G$43,2,FALSE),IF(A634="MDEO",VLOOKUP($B634,MDEO!$B$16:$P$27,2,FALSE)))))</f>
        <v>vibro compactador</v>
      </c>
      <c r="D634" s="721"/>
      <c r="E634" s="721"/>
      <c r="F634" s="355">
        <f>IF($A634="EQUI",VLOOKUP($B634,EQUI!B$16:G$41,4,FALSE),IF($A634="TRAN",VLOOKUP($B634,[6]TRAN!$B$16:$G$26,4,FALSE),IF($A634="MAT",VLOOKUP($B634,'MAT1'!$B$16:$G$45,4,FALSE),IF($A634="MDEO",VLOOKUP($B634,[6]MDEO!$B$16:$I$21,4,FALSE)))))</f>
        <v>120000</v>
      </c>
      <c r="G634" s="352">
        <v>4.3999999999999997E-2</v>
      </c>
      <c r="H634" s="404">
        <f>+F634*G634</f>
        <v>5280</v>
      </c>
      <c r="I634" s="403"/>
    </row>
    <row r="635" spans="1:13" ht="12.75" customHeight="1" x14ac:dyDescent="0.3">
      <c r="A635" s="397" t="s">
        <v>1</v>
      </c>
      <c r="B635" s="398" t="s">
        <v>97</v>
      </c>
      <c r="C635" s="721" t="str">
        <f>IF($A635="EQUI",VLOOKUP($B635,EQUI!B$16:G$40,2,FALSE),IF($A635="TRAN",VLOOKUP($B635,TRAN!$B$16:$G$26,2,FALSE),IF(A635="MAT",VLOOKUP($B635,'MAT1'!$B$16:$G$43,2,FALSE),IF(A635="MDEO",VLOOKUP($B635,MDEO!$B$16:$P$27,2,FALSE)))))</f>
        <v>tanque de almacenamiento de agua</v>
      </c>
      <c r="D635" s="721"/>
      <c r="E635" s="721"/>
      <c r="F635" s="355">
        <f>IF($A635="EQUI",VLOOKUP($B635,EQUI!B$16:G$41,4,FALSE),IF($A635="TRAN",VLOOKUP($B635,[6]TRAN!$B$16:$G$26,4,FALSE),IF($A635="MAT",VLOOKUP($B635,'MAT1'!$B$16:$G$45,4,FALSE),IF($A635="MDEO",VLOOKUP($B635,[6]MDEO!$B$16:$I$21,4,FALSE)))))</f>
        <v>1000</v>
      </c>
      <c r="G635" s="352">
        <v>4.3999999999999997E-2</v>
      </c>
      <c r="H635" s="404">
        <f>+F635*G635</f>
        <v>44</v>
      </c>
      <c r="I635" s="403"/>
    </row>
    <row r="636" spans="1:13" ht="12.75" customHeight="1" x14ac:dyDescent="0.3">
      <c r="A636" s="401"/>
      <c r="C636" s="352"/>
      <c r="D636" s="417"/>
      <c r="E636" s="352"/>
      <c r="F636" s="413" t="s">
        <v>32</v>
      </c>
      <c r="G636" s="402" t="str">
        <f>+B629</f>
        <v>3.3</v>
      </c>
      <c r="H636" s="402" t="s">
        <v>327</v>
      </c>
      <c r="I636" s="396">
        <f>SUM(H633:H635)</f>
        <v>10604</v>
      </c>
    </row>
    <row r="637" spans="1:13" ht="12.75" customHeight="1" x14ac:dyDescent="0.3">
      <c r="A637" s="395" t="s">
        <v>34</v>
      </c>
      <c r="B637" s="386"/>
      <c r="C637" s="352"/>
      <c r="D637" s="417"/>
      <c r="E637" s="352"/>
      <c r="F637" s="352"/>
      <c r="G637" s="352"/>
      <c r="H637" s="352"/>
      <c r="I637" s="403"/>
    </row>
    <row r="638" spans="1:13" ht="12.75" customHeight="1" x14ac:dyDescent="0.3">
      <c r="A638" s="720" t="s">
        <v>35</v>
      </c>
      <c r="B638" s="712"/>
      <c r="C638" s="712"/>
      <c r="D638" s="712"/>
      <c r="E638" s="350" t="s">
        <v>12</v>
      </c>
      <c r="F638" s="350" t="s">
        <v>36</v>
      </c>
      <c r="G638" s="350" t="s">
        <v>37</v>
      </c>
      <c r="H638" s="350" t="s">
        <v>38</v>
      </c>
      <c r="I638" s="403"/>
    </row>
    <row r="639" spans="1:13" ht="12.75" customHeight="1" x14ac:dyDescent="0.3">
      <c r="A639" s="397" t="s">
        <v>522</v>
      </c>
      <c r="B639" s="398" t="s">
        <v>134</v>
      </c>
      <c r="C639" s="721" t="str">
        <f>IF($A639="EQUI",VLOOKUP($B639,EQUI!B$16:G$35,2,FALSE),IF($A639="TRAN",VLOOKUP($B639,TRAN!$B$16:$G$26,2,FALSE),IF($A639="MAT1",VLOOKUP($B639,'MAT1'!$B$16:$G$43,2,FALSE),IF($A639="MAT2",VLOOKUP($B639,'MAT2'!$B$16:$G$55,2,FALSE),IF($A639="MDEO",VLOOKUP($B639,MDEO!$B$16:$P$27,2,FALSE))))))</f>
        <v>agua</v>
      </c>
      <c r="D639" s="721"/>
      <c r="E639" s="355" t="str">
        <f>IF($A639="EQUI",VLOOKUP($B639,EQUI!B$16:G$35,3,FALSE),IF($A639="TRAN",VLOOKUP($B639,TRAN!$B$16:$G$26,3,FALSE),IF($A639="MAT1",VLOOKUP($B639,'MAT1'!$B$16:$G$43,3,FALSE),IF($A639="MAT2",VLOOKUP($B639,'MAT2'!$B$16:$G$55,3,FALSE),IF($A639="MDEO",VLOOKUP($B639,MDEO!$B$16:$P$27,3,FALSE))))))</f>
        <v>M3</v>
      </c>
      <c r="F639" s="355">
        <f>IF($A639="EQUI",VLOOKUP($B639,EQUI!B$16:G$35,4,FALSE),IF($A639="TRAN",VLOOKUP($B639,TRAN!$B$16:$G$26,4,FALSE),IF($A639="MAT1",VLOOKUP($B639,'MAT1'!$B$16:$G$43,4,FALSE),IF($A639="MAT2",VLOOKUP($B639,'MAT2'!$B$16:$G$53,4,FALSE),IF($A639="MDEO",VLOOKUP($B639,MDEO!$B$16:$P$27,4,FALSE))))))</f>
        <v>2750</v>
      </c>
      <c r="G639" s="352">
        <v>0.2</v>
      </c>
      <c r="H639" s="404">
        <f>+F639*G639</f>
        <v>550</v>
      </c>
      <c r="I639" s="403"/>
    </row>
    <row r="640" spans="1:13" ht="12.75" customHeight="1" x14ac:dyDescent="0.3">
      <c r="A640" s="397" t="s">
        <v>523</v>
      </c>
      <c r="B640" s="398" t="s">
        <v>524</v>
      </c>
      <c r="C640" s="721" t="str">
        <f>IF($A640="EQUI",VLOOKUP($B640,EQUI!B$16:G$35,2,FALSE),IF($A640="TRAN",VLOOKUP($B640,TRAN!$B$16:$G$26,2,FALSE),IF($A640="MAT1",VLOOKUP($B640,'MAT1'!$B$16:$G$43,2,FALSE),IF($A640="MAT2",VLOOKUP($B640,'MAT2'!$B$16:$G$55,2,FALSE),IF($A640="MDEO",VLOOKUP($B640,MDEO!$B$16:$P$27,2,FALSE))))))</f>
        <v>Material granular de préstamo</v>
      </c>
      <c r="D640" s="721"/>
      <c r="E640" s="355" t="str">
        <f>IF($A640="EQUI",VLOOKUP($B640,EQUI!B$16:G$35,3,FALSE),IF($A640="TRAN",VLOOKUP($B640,TRAN!$B$16:$G$26,3,FALSE),IF($A640="MAT1",VLOOKUP($B640,'MAT1'!$B$16:$G$43,3,FALSE),IF($A640="MAT2",VLOOKUP($B640,'MAT2'!$B$16:$G$55,3,FALSE),IF($A640="MDEO",VLOOKUP($B640,MDEO!$B$16:$P$27,3,FALSE))))))</f>
        <v>M3</v>
      </c>
      <c r="F640" s="355">
        <f>IF($A640="EQUI",VLOOKUP($B640,EQUI!B$16:G$35,4,FALSE),IF($A640="TRAN",VLOOKUP($B640,TRAN!$B$16:$G$26,4,FALSE),IF($A640="MAT1",VLOOKUP($B640,'MAT1'!$B$16:$G$43,4,FALSE),IF($A640="MAT2",VLOOKUP($B640,'MAT2'!$B$16:$G$53,4,FALSE),IF($A640="MDEO",VLOOKUP($B640,MDEO!$B$16:$P$27,4,FALSE))))))</f>
        <v>29500</v>
      </c>
      <c r="G640" s="352">
        <f>1.3*0.6</f>
        <v>0.78</v>
      </c>
      <c r="H640" s="404">
        <f>+F640*G640</f>
        <v>23010</v>
      </c>
      <c r="I640" s="403"/>
      <c r="M640" s="430">
        <f>+G640*G630</f>
        <v>1719.9</v>
      </c>
    </row>
    <row r="641" spans="1:13" ht="12.75" customHeight="1" x14ac:dyDescent="0.3">
      <c r="A641" s="397" t="s">
        <v>523</v>
      </c>
      <c r="B641" s="398" t="s">
        <v>142</v>
      </c>
      <c r="C641" s="721" t="str">
        <f>IF($A641="EQUI",VLOOKUP($B641,EQUI!B$16:G$35,2,FALSE),IF($A641="TRAN",VLOOKUP($B641,TRAN!$B$16:$G$26,2,FALSE),IF($A641="MAT1",VLOOKUP($B641,'MAT1'!$B$16:$G$43,2,FALSE),IF($A641="MAT2",VLOOKUP($B641,'MAT2'!$B$16:$G$55,2,FALSE),IF($A641="MDEO",VLOOKUP($B641,MDEO!$B$16:$P$27,2,FALSE))))))</f>
        <v>Material granular piedra &gt;3"</v>
      </c>
      <c r="D641" s="721"/>
      <c r="E641" s="355" t="str">
        <f>IF($A641="EQUI",VLOOKUP($B641,EQUI!B$16:G$35,3,FALSE),IF($A641="TRAN",VLOOKUP($B641,TRAN!$B$16:$G$26,3,FALSE),IF($A641="MAT1",VLOOKUP($B641,'MAT1'!$B$16:$G$43,3,FALSE),IF($A641="MAT2",VLOOKUP($B641,'MAT2'!$B$16:$G$55,3,FALSE),IF($A641="MDEO",VLOOKUP($B641,MDEO!$B$16:$P$27,3,FALSE))))))</f>
        <v>M3</v>
      </c>
      <c r="F641" s="355">
        <f>IF($A641="EQUI",VLOOKUP($B641,EQUI!B$16:G$35,4,FALSE),IF($A641="TRAN",VLOOKUP($B641,TRAN!$B$16:$G$26,4,FALSE),IF($A641="MAT1",VLOOKUP($B641,'MAT1'!$B$16:$G$43,4,FALSE),IF($A641="MAT2",VLOOKUP($B641,'MAT2'!$B$16:$G$53,4,FALSE),IF($A641="MDEO",VLOOKUP($B641,MDEO!$B$16:$P$27,4,FALSE))))))</f>
        <v>44000</v>
      </c>
      <c r="G641" s="352">
        <f>1.3*0.4</f>
        <v>0.52</v>
      </c>
      <c r="H641" s="404">
        <f>+F641*G641</f>
        <v>22880</v>
      </c>
      <c r="I641" s="403"/>
      <c r="M641" s="430">
        <f>+G641*G630</f>
        <v>1146.6000000000001</v>
      </c>
    </row>
    <row r="642" spans="1:13" ht="12.75" customHeight="1" x14ac:dyDescent="0.3">
      <c r="A642" s="401"/>
      <c r="C642" s="352"/>
      <c r="D642" s="417"/>
      <c r="E642" s="352"/>
      <c r="F642" s="413" t="s">
        <v>32</v>
      </c>
      <c r="G642" s="402" t="str">
        <f>+B629</f>
        <v>3.3</v>
      </c>
      <c r="H642" s="402" t="s">
        <v>328</v>
      </c>
      <c r="I642" s="396">
        <f>SUM(H639:H641)</f>
        <v>46440</v>
      </c>
    </row>
    <row r="643" spans="1:13" ht="12.75" customHeight="1" x14ac:dyDescent="0.3">
      <c r="A643" s="395" t="s">
        <v>15</v>
      </c>
      <c r="B643" s="386"/>
      <c r="C643" s="352"/>
      <c r="D643" s="417"/>
      <c r="E643" s="352"/>
      <c r="F643" s="352"/>
      <c r="G643" s="352"/>
      <c r="H643" s="352"/>
      <c r="I643" s="403"/>
    </row>
    <row r="644" spans="1:13" ht="12.75" customHeight="1" x14ac:dyDescent="0.3">
      <c r="A644" s="720" t="s">
        <v>19</v>
      </c>
      <c r="B644" s="712"/>
      <c r="C644" s="712"/>
      <c r="D644" s="355" t="s">
        <v>43</v>
      </c>
      <c r="E644" s="350" t="s">
        <v>44</v>
      </c>
      <c r="F644" s="355" t="s">
        <v>45</v>
      </c>
      <c r="G644" s="350" t="s">
        <v>17</v>
      </c>
      <c r="H644" s="350" t="s">
        <v>30</v>
      </c>
      <c r="I644" s="403"/>
    </row>
    <row r="645" spans="1:13" ht="12.75" customHeight="1" x14ac:dyDescent="0.3">
      <c r="A645" s="405" t="s">
        <v>3</v>
      </c>
      <c r="B645" s="398" t="s">
        <v>166</v>
      </c>
      <c r="C645" s="417" t="str">
        <f>IF($A645="EQUI",VLOOKUP($B645,EQUI!B$16:G$40,2,FALSE),IF($A645="TRAN",VLOOKUP($B645,TRAN!$B$16:$G$26,2,FALSE),IF(A645="MAT",VLOOKUP($B645,'MAT1'!$B$16:$G$43,2,FALSE),IF(A645="MDEO",VLOOKUP($B645,MDEO!$B$16:$P$27,2,FALSE)))))</f>
        <v>trans agua 0-5km</v>
      </c>
      <c r="D645" s="417">
        <f>+G639</f>
        <v>0.2</v>
      </c>
      <c r="E645" s="417">
        <v>5</v>
      </c>
      <c r="F645" s="355">
        <f>+E645*D645</f>
        <v>1</v>
      </c>
      <c r="G645" s="352">
        <f>IF($A645="EQUI",VLOOKUP($B645,EQUI!B$16:G$50,4,FALSE),IF($A645="TRAN",VLOOKUP($B645,TRAN!$B$16:$G$37,4,FALSE),IF($A645="MAT",VLOOKUP($B645,[7]MAT!$B$16:$G$83,4,FALSE),IF($A645="MDEO",VLOOKUP($B645,MDEO!$B$16:$I$21,4,FALSE)))))</f>
        <v>1095</v>
      </c>
      <c r="H645" s="404">
        <f>+F645*G645</f>
        <v>1095</v>
      </c>
      <c r="I645" s="403"/>
    </row>
    <row r="646" spans="1:13" ht="12.75" customHeight="1" x14ac:dyDescent="0.3">
      <c r="A646" s="405" t="s">
        <v>3</v>
      </c>
      <c r="B646" s="398" t="s">
        <v>171</v>
      </c>
      <c r="C646" s="417" t="str">
        <f>IF($A646="EQUI",VLOOKUP($B646,EQUI!B$16:G$40,2,FALSE),IF($A646="TRAN",VLOOKUP($B646,TRAN!$B$16:$G$37,2,FALSE),IF(A646="MAT",VLOOKUP($B646,'MAT1'!$B$16:$G$43,2,FALSE),IF(A646="MDEO",VLOOKUP($B646,MDEO!$B$16:$P$27,2,FALSE)))))</f>
        <v>trans material &gt; 10 km</v>
      </c>
      <c r="D646" s="417">
        <f>+G640</f>
        <v>0.78</v>
      </c>
      <c r="E646" s="417">
        <v>50</v>
      </c>
      <c r="F646" s="355">
        <f>+E646*D646</f>
        <v>39</v>
      </c>
      <c r="G646" s="352">
        <f>IF($A646="EQUI",VLOOKUP($B646,EQUI!B$16:G$50,4,FALSE),IF($A646="TRAN",VLOOKUP($B646,TRAN!$B$16:$G$37,4,FALSE),IF($A646="MAT",VLOOKUP($B646,[7]MAT!$B$16:$G$83,4,FALSE),IF($A646="MDEO",VLOOKUP($B646,MDEO!$B$16:$I$21,4,FALSE)))))</f>
        <v>980</v>
      </c>
      <c r="H646" s="404">
        <f>+F646*G646</f>
        <v>38220</v>
      </c>
      <c r="I646" s="403"/>
    </row>
    <row r="647" spans="1:13" ht="12.75" customHeight="1" x14ac:dyDescent="0.3">
      <c r="A647" s="405" t="s">
        <v>3</v>
      </c>
      <c r="B647" s="398" t="s">
        <v>171</v>
      </c>
      <c r="C647" s="417" t="str">
        <f>IF($A647="EQUI",VLOOKUP($B647,EQUI!B$16:G$40,2,FALSE),IF($A647="TRAN",VLOOKUP($B647,TRAN!$B$16:$G$26,2,FALSE),IF(A647="MAT",VLOOKUP($B647,'MAT1'!$B$16:$G$43,2,FALSE),IF(A647="MDEO",VLOOKUP($B647,MDEO!$B$16:$P$27,2,FALSE)))))</f>
        <v>trans material &gt; 10 km</v>
      </c>
      <c r="D647" s="417">
        <f>+G641</f>
        <v>0.52</v>
      </c>
      <c r="E647" s="417">
        <v>55</v>
      </c>
      <c r="F647" s="355">
        <f>+E647*D647</f>
        <v>28.6</v>
      </c>
      <c r="G647" s="352">
        <f>IF($A647="EQUI",VLOOKUP($B647,EQUI!B$16:G$50,4,FALSE),IF($A647="TRAN",VLOOKUP($B647,TRAN!$B$16:$G$37,4,FALSE),IF($A647="MAT",VLOOKUP($B647,[7]MAT!$B$16:$G$83,4,FALSE),IF($A647="MDEO",VLOOKUP($B647,MDEO!$B$16:$I$21,4,FALSE)))))</f>
        <v>980</v>
      </c>
      <c r="H647" s="404">
        <f>+F647*G647</f>
        <v>28028</v>
      </c>
      <c r="I647" s="403"/>
    </row>
    <row r="648" spans="1:13" ht="12.75" customHeight="1" x14ac:dyDescent="0.3">
      <c r="A648" s="401"/>
      <c r="C648" s="352"/>
      <c r="D648" s="417"/>
      <c r="E648" s="352"/>
      <c r="F648" s="413" t="s">
        <v>32</v>
      </c>
      <c r="G648" s="402" t="str">
        <f>+B629</f>
        <v>3.3</v>
      </c>
      <c r="H648" s="402" t="s">
        <v>329</v>
      </c>
      <c r="I648" s="396">
        <f>SUM(H645:H647)</f>
        <v>67343</v>
      </c>
    </row>
    <row r="649" spans="1:13" ht="12.75" customHeight="1" x14ac:dyDescent="0.3">
      <c r="A649" s="395" t="s">
        <v>1107</v>
      </c>
      <c r="B649" s="386"/>
      <c r="C649" s="352"/>
      <c r="D649" s="417"/>
      <c r="E649" s="352"/>
      <c r="F649" s="352"/>
      <c r="G649" s="352"/>
      <c r="H649" s="352"/>
      <c r="I649" s="403"/>
    </row>
    <row r="650" spans="1:13" ht="12.75" customHeight="1" x14ac:dyDescent="0.3">
      <c r="A650" s="722" t="s">
        <v>18</v>
      </c>
      <c r="B650" s="723"/>
      <c r="C650" s="723"/>
      <c r="D650" s="355" t="s">
        <v>48</v>
      </c>
      <c r="E650" s="355" t="s">
        <v>109</v>
      </c>
      <c r="F650" s="380" t="s">
        <v>250</v>
      </c>
      <c r="G650" s="380" t="s">
        <v>251</v>
      </c>
      <c r="H650" s="355" t="s">
        <v>252</v>
      </c>
      <c r="I650" s="407"/>
    </row>
    <row r="651" spans="1:13" ht="12.75" customHeight="1" x14ac:dyDescent="0.3">
      <c r="A651" s="405" t="s">
        <v>4</v>
      </c>
      <c r="B651" s="408" t="s">
        <v>177</v>
      </c>
      <c r="C651" s="409" t="str">
        <f>IF($A651="EQUI",VLOOKUP($B651,EQUI!B$16:G$37,2,FALSE),IF($A651="TRAN",VLOOKUP($B651,TRAN!$B$16:$G$26,2,FALSE),IF($A651="MAT",VLOOKUP($B651,'MAT1'!$B$16:$G$43,2,FALSE),IF($A651="MDEO",VLOOKUP($B651,MDEO!$B$16:$P$27,2,FALSE)))))</f>
        <v xml:space="preserve">ayudante </v>
      </c>
      <c r="D651" s="449">
        <f>IF($A651="EQUI",VLOOKUP($B651,EQUI!B$16:G$35,3,FALSE),IF($A651="TRAN",VLOOKUP($B651,TRAN!$B$16:$G$26,3,FALSE),IF($A651="MAT",VLOOKUP($B651,'MAT1'!$B$16:$G$43,3,FALSE),IF($A651="MDEO",VLOOKUP($B651,MDEO!$B$16:$P$33,10,FALSE)))))</f>
        <v>10336.644836388892</v>
      </c>
      <c r="E651" s="410"/>
      <c r="F651" s="438">
        <f>+D651+D651*E651</f>
        <v>10336.644836388892</v>
      </c>
      <c r="G651" s="352">
        <v>4.3999999999999997E-2</v>
      </c>
      <c r="H651" s="411">
        <f>G651*F651</f>
        <v>454.81237280111122</v>
      </c>
      <c r="I651" s="403"/>
    </row>
    <row r="652" spans="1:13" ht="12.75" customHeight="1" x14ac:dyDescent="0.3">
      <c r="A652" s="405" t="s">
        <v>4</v>
      </c>
      <c r="B652" s="408" t="s">
        <v>178</v>
      </c>
      <c r="C652" s="409" t="str">
        <f>IF($A652="EQUI",VLOOKUP($B652,EQUI!B$16:G$37,2,FALSE),IF($A652="TRAN",VLOOKUP($B652,TRAN!$B$16:$G$26,2,FALSE),IF($A652="MAT",VLOOKUP($B652,'MAT1'!$B$16:$G$43,2,FALSE),IF($A652="MDEO",VLOOKUP($B652,MDEO!$B$16:$P$33,2,FALSE)))))</f>
        <v>contra maestro</v>
      </c>
      <c r="D652" s="449">
        <f>IF($A652="EQUI",VLOOKUP($B652,EQUI!B$16:G$35,3,FALSE),IF($A652="TRAN",VLOOKUP($B652,TRAN!$B$16:$G$26,3,FALSE),IF($A652="MAT",VLOOKUP($B652,'MAT1'!$B$16:$G$43,3,FALSE),IF($A652="MDEO",VLOOKUP($B652,MDEO!$B$16:$P$33,10,FALSE)))))</f>
        <v>12974.601086388891</v>
      </c>
      <c r="E652" s="410"/>
      <c r="F652" s="438">
        <f>+D652+D652*E652</f>
        <v>12974.601086388891</v>
      </c>
      <c r="G652" s="352">
        <f>0.04*0.1</f>
        <v>4.0000000000000001E-3</v>
      </c>
      <c r="H652" s="411">
        <f>G652*F652</f>
        <v>51.898404345555569</v>
      </c>
      <c r="I652" s="403"/>
    </row>
    <row r="653" spans="1:13" ht="12.75" customHeight="1" x14ac:dyDescent="0.3">
      <c r="A653" s="720"/>
      <c r="B653" s="712"/>
      <c r="C653" s="352"/>
      <c r="D653" s="417"/>
      <c r="E653" s="352"/>
      <c r="F653" s="352"/>
      <c r="G653" s="352"/>
      <c r="H653" s="352"/>
      <c r="I653" s="403"/>
    </row>
    <row r="654" spans="1:13" ht="12.75" customHeight="1" x14ac:dyDescent="0.3">
      <c r="A654" s="401"/>
      <c r="C654" s="352"/>
      <c r="D654" s="417"/>
      <c r="E654" s="352"/>
      <c r="F654" s="413" t="s">
        <v>32</v>
      </c>
      <c r="G654" s="402" t="str">
        <f>+B629</f>
        <v>3.3</v>
      </c>
      <c r="H654" s="413" t="s">
        <v>330</v>
      </c>
      <c r="I654" s="396">
        <f>SUM(H651:H653)</f>
        <v>506.71077714666677</v>
      </c>
    </row>
    <row r="655" spans="1:13" ht="12.75" customHeight="1" x14ac:dyDescent="0.3">
      <c r="A655" s="401" t="s">
        <v>54</v>
      </c>
      <c r="C655" s="352"/>
      <c r="D655" s="417"/>
      <c r="E655" s="352"/>
      <c r="F655" s="352"/>
      <c r="G655" s="352"/>
      <c r="H655" s="350"/>
      <c r="I655" s="396">
        <f>I654*0.05</f>
        <v>25.33553885733334</v>
      </c>
    </row>
    <row r="656" spans="1:13" ht="12.75" customHeight="1" x14ac:dyDescent="0.3">
      <c r="A656" s="401"/>
      <c r="C656" s="352"/>
      <c r="D656" s="417"/>
      <c r="E656" s="352"/>
      <c r="F656" s="413" t="s">
        <v>55</v>
      </c>
      <c r="G656" s="350"/>
      <c r="H656" s="350"/>
      <c r="I656" s="396">
        <f>ROUND(I654+I655+I642+I636+I648,0)</f>
        <v>124919</v>
      </c>
    </row>
    <row r="657" spans="1:9" ht="12.75" customHeight="1" x14ac:dyDescent="0.3">
      <c r="A657" s="414"/>
      <c r="B657" s="415"/>
      <c r="C657" s="415"/>
      <c r="D657" s="450"/>
      <c r="E657" s="415"/>
      <c r="F657" s="415"/>
      <c r="G657" s="415"/>
      <c r="H657" s="415"/>
      <c r="I657" s="396"/>
    </row>
    <row r="658" spans="1:9" ht="59.4" customHeight="1" x14ac:dyDescent="0.3">
      <c r="A658" s="724" t="s">
        <v>114</v>
      </c>
      <c r="B658" s="710"/>
      <c r="C658" s="710"/>
      <c r="D658" s="450"/>
      <c r="E658" s="415"/>
      <c r="F658" s="710" t="s">
        <v>396</v>
      </c>
      <c r="G658" s="710"/>
      <c r="H658" s="710"/>
      <c r="I658" s="711"/>
    </row>
    <row r="659" spans="1:9" ht="12.75" customHeight="1" x14ac:dyDescent="0.3">
      <c r="A659" s="397" t="s">
        <v>111</v>
      </c>
      <c r="B659" s="712"/>
      <c r="C659" s="712"/>
      <c r="D659" s="417"/>
      <c r="E659" s="352"/>
      <c r="F659" s="350" t="s">
        <v>111</v>
      </c>
      <c r="G659" s="712"/>
      <c r="H659" s="712"/>
      <c r="I659" s="713"/>
    </row>
    <row r="660" spans="1:9" ht="12.75" customHeight="1" x14ac:dyDescent="0.3">
      <c r="A660" s="439" t="s">
        <v>115</v>
      </c>
      <c r="B660" s="710" t="s">
        <v>1551</v>
      </c>
      <c r="C660" s="710"/>
      <c r="F660" s="432" t="s">
        <v>112</v>
      </c>
      <c r="G660" s="712"/>
      <c r="H660" s="712"/>
      <c r="I660" s="713"/>
    </row>
    <row r="661" spans="1:9" ht="12.75" customHeight="1" x14ac:dyDescent="0.3">
      <c r="A661" s="439" t="s">
        <v>113</v>
      </c>
      <c r="B661" s="710" t="s">
        <v>1554</v>
      </c>
      <c r="C661" s="710"/>
      <c r="F661" s="432" t="s">
        <v>113</v>
      </c>
      <c r="G661" s="712"/>
      <c r="H661" s="712"/>
      <c r="I661" s="713"/>
    </row>
    <row r="662" spans="1:9" ht="12.75" customHeight="1" x14ac:dyDescent="0.3">
      <c r="A662" s="439"/>
      <c r="B662" s="350"/>
      <c r="C662" s="350"/>
      <c r="F662" s="432"/>
      <c r="G662" s="350"/>
      <c r="H662" s="350"/>
      <c r="I662" s="416"/>
    </row>
    <row r="663" spans="1:9" ht="12.75" customHeight="1" x14ac:dyDescent="0.3">
      <c r="A663" s="714" t="s">
        <v>110</v>
      </c>
      <c r="B663" s="715"/>
      <c r="C663" s="715"/>
      <c r="D663" s="715"/>
      <c r="E663" s="715"/>
      <c r="F663" s="715"/>
      <c r="G663" s="715"/>
      <c r="H663" s="715"/>
      <c r="I663" s="716"/>
    </row>
    <row r="664" spans="1:9" ht="20.399999999999999" customHeight="1" x14ac:dyDescent="0.3">
      <c r="A664" s="729"/>
      <c r="B664" s="730"/>
      <c r="C664" s="730"/>
      <c r="D664" s="730"/>
      <c r="E664" s="730"/>
      <c r="F664" s="730"/>
      <c r="G664" s="730"/>
      <c r="H664" s="730"/>
      <c r="I664" s="731"/>
    </row>
    <row r="665" spans="1:9" ht="17.399999999999999" customHeight="1" x14ac:dyDescent="0.3">
      <c r="A665" s="714"/>
      <c r="B665" s="715"/>
      <c r="C665" s="715"/>
      <c r="D665" s="715"/>
      <c r="E665" s="715"/>
      <c r="F665" s="715"/>
      <c r="G665" s="715"/>
      <c r="H665" s="715"/>
      <c r="I665" s="716"/>
    </row>
    <row r="666" spans="1:9" ht="13.2" customHeight="1" x14ac:dyDescent="0.3">
      <c r="A666" s="725" t="s">
        <v>68</v>
      </c>
      <c r="B666" s="726"/>
      <c r="C666" s="726"/>
      <c r="D666" s="726"/>
      <c r="E666" s="726"/>
      <c r="F666" s="726"/>
      <c r="G666" s="726"/>
      <c r="H666" s="726"/>
      <c r="I666" s="727"/>
    </row>
    <row r="667" spans="1:9" ht="27.6" customHeight="1" x14ac:dyDescent="0.3">
      <c r="A667" s="390" t="s">
        <v>69</v>
      </c>
      <c r="B667" s="420" t="s">
        <v>254</v>
      </c>
      <c r="C667" s="710" t="s">
        <v>70</v>
      </c>
      <c r="D667" s="721" t="str">
        <f>VLOOKUP(B667,'AJUSTE PRESUPUESTO'!$A$18:$I$68,3,FALSE)</f>
        <v>Cimentación de la estructura pavimento, a través estabilización de la subrasante con cemento, (incluye sub base granular para adecuación de altimetría)</v>
      </c>
      <c r="E667" s="721"/>
      <c r="F667" s="721"/>
      <c r="G667" s="721"/>
      <c r="H667" s="721"/>
      <c r="I667" s="732"/>
    </row>
    <row r="668" spans="1:9" ht="12.6" customHeight="1" x14ac:dyDescent="0.3">
      <c r="A668" s="390" t="s">
        <v>71</v>
      </c>
      <c r="B668" s="391" t="str">
        <f>VLOOKUP(B667,[6]PRESUPUESTO!$A$18:$I$90,2,FALSE)</f>
        <v>330-1</v>
      </c>
      <c r="C668" s="710"/>
      <c r="D668" s="355" t="s">
        <v>12</v>
      </c>
      <c r="E668" s="392" t="s">
        <v>124</v>
      </c>
      <c r="F668" s="392" t="s">
        <v>13</v>
      </c>
      <c r="G668" s="392">
        <f>VLOOKUP(B668,PRESUPUESTO!$B$15:$I$1200,5,FALSE)</f>
        <v>6888</v>
      </c>
      <c r="H668" s="393" t="s">
        <v>27</v>
      </c>
      <c r="I668" s="394">
        <f>+I693</f>
        <v>88479</v>
      </c>
    </row>
    <row r="669" spans="1:9" ht="9.75" customHeight="1" x14ac:dyDescent="0.3">
      <c r="A669" s="395" t="s">
        <v>14</v>
      </c>
      <c r="B669" s="386"/>
      <c r="C669" s="352"/>
      <c r="D669" s="417"/>
      <c r="E669" s="352"/>
      <c r="F669" s="352"/>
      <c r="G669" s="352"/>
      <c r="H669" s="352"/>
      <c r="I669" s="396"/>
    </row>
    <row r="670" spans="1:9" ht="17.399999999999999" customHeight="1" x14ac:dyDescent="0.3">
      <c r="A670" s="720" t="s">
        <v>19</v>
      </c>
      <c r="B670" s="712"/>
      <c r="C670" s="712"/>
      <c r="D670" s="712"/>
      <c r="E670" s="712"/>
      <c r="F670" s="350" t="s">
        <v>28</v>
      </c>
      <c r="G670" s="350" t="s">
        <v>29</v>
      </c>
      <c r="H670" s="350" t="s">
        <v>30</v>
      </c>
      <c r="I670" s="403"/>
    </row>
    <row r="671" spans="1:9" ht="14.1" customHeight="1" x14ac:dyDescent="0.3">
      <c r="A671" s="397" t="s">
        <v>1</v>
      </c>
      <c r="B671" s="398" t="s">
        <v>91</v>
      </c>
      <c r="C671" s="721" t="str">
        <f>IF($A671="EQUI",VLOOKUP($B671,EQUI!B$16:G$40,2,FALSE),IF($A671="TRAN",VLOOKUP($B671,TRAN!$B$16:$G$26,2,FALSE),IF(A671="MAT",VLOOKUP($B671,'MAT1'!$B$16:$G$43,2,FALSE),IF(A671="MDEO",VLOOKUP($B671,MDEO!$B$16:$P$27,2,FALSE)))))</f>
        <v>motoniveladora</v>
      </c>
      <c r="D671" s="721"/>
      <c r="E671" s="721"/>
      <c r="F671" s="355">
        <f>IF($A671="EQUI",VLOOKUP($B671,EQUI!B$16:G$144,4,FALSE),IF($A671="TRAN",VLOOKUP($B671,TRAN!$B$16:$G$26,4,FALSE),IF($A671="MAT",VLOOKUP($B671,'MAT1'!$B$16:$G$45,4,FALSE),IF($A671="MDEO",VLOOKUP($B671,MDEO!$B$16:$P$27,4,FALSE)))))</f>
        <v>155000</v>
      </c>
      <c r="G671" s="421">
        <v>4.3999999999999997E-2</v>
      </c>
      <c r="H671" s="404">
        <f>+F671*G671</f>
        <v>6820</v>
      </c>
      <c r="I671" s="403"/>
    </row>
    <row r="672" spans="1:9" ht="14.1" customHeight="1" x14ac:dyDescent="0.3">
      <c r="A672" s="397" t="s">
        <v>1</v>
      </c>
      <c r="B672" s="398" t="s">
        <v>99</v>
      </c>
      <c r="C672" s="721" t="str">
        <f>IF($A672="EQUI",VLOOKUP($B672,EQUI!B$16:G$40,2,FALSE),IF($A672="TRAN",VLOOKUP($B672,TRAN!$B$16:$G$26,2,FALSE),IF(A672="MAT",VLOOKUP($B672,'MAT1'!$B$16:$G$43,2,FALSE),IF(A672="MDEO",VLOOKUP($B672,MDEO!$B$16:$P$27,2,FALSE)))))</f>
        <v>vibro compactador</v>
      </c>
      <c r="D672" s="721"/>
      <c r="E672" s="721"/>
      <c r="F672" s="355">
        <f>IF($A672="EQUI",VLOOKUP($B672,EQUI!B$16:G$144,4,FALSE),IF($A672="TRAN",VLOOKUP($B672,TRAN!$B$16:$G$26,4,FALSE),IF($A672="MAT",VLOOKUP($B672,'MAT1'!$B$16:$G$45,4,FALSE),IF($A672="MDEO",VLOOKUP($B672,MDEO!$B$16:$P$27,4,FALSE)))))</f>
        <v>120000</v>
      </c>
      <c r="G672" s="421">
        <v>4.3999999999999997E-2</v>
      </c>
      <c r="H672" s="404">
        <f>+F672*G672</f>
        <v>5280</v>
      </c>
      <c r="I672" s="403"/>
    </row>
    <row r="673" spans="1:13" ht="19.2" customHeight="1" x14ac:dyDescent="0.3">
      <c r="A673" s="397" t="s">
        <v>1</v>
      </c>
      <c r="B673" s="398" t="s">
        <v>435</v>
      </c>
      <c r="C673" s="721" t="str">
        <f>IF($A673="EQUI",VLOOKUP($B673,EQUI!B$6:G$51,2,FALSE),IF($A673="TRAN",VLOOKUP($B673,TRAN!$B$16:$G$26,2,FALSE),IF(A673="MAT",VLOOKUP($B673,'MAT1'!$B$16:$G$43,2,FALSE),IF(A673="MDEO",VLOOKUP($B673,MDEO!$B$16:$P$27,2,FALSE)))))</f>
        <v>Carro con sistema de irrigacion y tanque de almacenamiento de Agua 1000 l</v>
      </c>
      <c r="D673" s="721"/>
      <c r="E673" s="721"/>
      <c r="F673" s="355">
        <f>IF($A673="EQUI",VLOOKUP($B673,EQUI!B$16:G$144,4,FALSE),IF($A673="TRAN",VLOOKUP($B673,TRAN!$B$16:$G$26,4,FALSE),IF($A673="MAT",VLOOKUP($B673,'MAT1'!$B$16:$G$45,4,FALSE),IF($A673="MDEO",VLOOKUP($B673,MDEO!$B$16:$P$27,4,FALSE)))))</f>
        <v>90000</v>
      </c>
      <c r="G673" s="421">
        <v>4.3999999999999997E-2</v>
      </c>
      <c r="H673" s="404">
        <f>+F673*G673</f>
        <v>3959.9999999999995</v>
      </c>
      <c r="I673" s="403"/>
    </row>
    <row r="674" spans="1:13" ht="9.75" customHeight="1" x14ac:dyDescent="0.3">
      <c r="A674" s="401"/>
      <c r="C674" s="352"/>
      <c r="D674" s="417"/>
      <c r="E674" s="352"/>
      <c r="F674" s="413" t="s">
        <v>32</v>
      </c>
      <c r="G674" s="402" t="str">
        <f>+B667</f>
        <v>3.4</v>
      </c>
      <c r="H674" s="402" t="s">
        <v>331</v>
      </c>
      <c r="I674" s="396">
        <f>SUM(H671:H673)</f>
        <v>16060</v>
      </c>
    </row>
    <row r="675" spans="1:13" ht="9.75" customHeight="1" x14ac:dyDescent="0.3">
      <c r="A675" s="395" t="s">
        <v>34</v>
      </c>
      <c r="B675" s="386"/>
      <c r="C675" s="352"/>
      <c r="D675" s="417"/>
      <c r="E675" s="352"/>
      <c r="F675" s="352"/>
      <c r="G675" s="352"/>
      <c r="H675" s="352"/>
      <c r="I675" s="403"/>
    </row>
    <row r="676" spans="1:13" ht="18" customHeight="1" x14ac:dyDescent="0.3">
      <c r="A676" s="720" t="s">
        <v>35</v>
      </c>
      <c r="B676" s="712"/>
      <c r="C676" s="712"/>
      <c r="D676" s="712"/>
      <c r="E676" s="350" t="s">
        <v>12</v>
      </c>
      <c r="F676" s="350" t="s">
        <v>36</v>
      </c>
      <c r="G676" s="350" t="s">
        <v>37</v>
      </c>
      <c r="H676" s="350" t="s">
        <v>38</v>
      </c>
      <c r="I676" s="403"/>
    </row>
    <row r="677" spans="1:13" ht="17.399999999999999" customHeight="1" x14ac:dyDescent="0.3">
      <c r="A677" s="397" t="s">
        <v>522</v>
      </c>
      <c r="B677" s="398" t="s">
        <v>134</v>
      </c>
      <c r="C677" s="721" t="str">
        <f>IF($A677="EQUI",VLOOKUP($B677,EQUI!B$16:G$35,2,FALSE),IF($A677="TRAN",VLOOKUP($B677,TRAN!$B$16:$G$26,2,FALSE),IF($A677="MAT1",VLOOKUP($B677,'MAT1'!$B$16:$G$43,2,FALSE),IF($A677="MAT2",VLOOKUP($B677,'MAT2'!$B$16:$G$65,2,FALSE),IF($A677="MDEO",VLOOKUP($B677,MDEO!$B$16:$P$27,2,FALSE))))))</f>
        <v>agua</v>
      </c>
      <c r="D677" s="721"/>
      <c r="E677" s="355" t="str">
        <f>IF($A677="EQUI",VLOOKUP($B677,EQUI!B$16:G$35,3,FALSE),IF($A677="TRAN",VLOOKUP($B677,TRAN!$B$16:$G$26,3,FALSE),IF($A677="MAT1",VLOOKUP($B677,'MAT1'!$B$16:$G$43,3,FALSE),IF($A677="MAT2",VLOOKUP($B677,'MAT2'!$B$16:$G$55,3,FALSE),IF($A677="MDEO",VLOOKUP($B677,MDEO!$B$16:$P$27,3,FALSE))))))</f>
        <v>M3</v>
      </c>
      <c r="F677" s="355">
        <f>IF($A677="EQUI",VLOOKUP($B677,EQUI!B$16:G$35,4,FALSE),IF($A677="TRAN",VLOOKUP($B677,TRAN!$B$16:$G$26,4,FALSE),IF($A677="MAT1",VLOOKUP($B677,'MAT1'!$B$16:$G$43,4,FALSE),IF($A677="MAT2",VLOOKUP($B677,'MAT2'!$B$16:$G$53,4,FALSE),IF($A677="MDEO",VLOOKUP($B677,MDEO!$B$16:$P$27,4,FALSE))))))</f>
        <v>2750</v>
      </c>
      <c r="G677" s="352">
        <v>0.2</v>
      </c>
      <c r="H677" s="404">
        <f>+F677*G677</f>
        <v>550</v>
      </c>
      <c r="I677" s="403"/>
    </row>
    <row r="678" spans="1:13" ht="14.4" customHeight="1" x14ac:dyDescent="0.3">
      <c r="A678" s="397" t="s">
        <v>523</v>
      </c>
      <c r="B678" s="398" t="s">
        <v>525</v>
      </c>
      <c r="C678" s="721" t="str">
        <f>IF($A678="EQUI",VLOOKUP($B678,EQUI!B$16:G$35,2,FALSE),IF($A678="TRAN",VLOOKUP($B678,TRAN!$B$16:$G$26,2,FALSE),IF($A678="MAT1",VLOOKUP($B678,'MAT1'!$B$16:$G$43,2,FALSE),IF($A678="MAT2",VLOOKUP($B678,'MAT2'!$B$16:$G$55,2,FALSE),IF($A678="MDEO",VLOOKUP($B678,MDEO!$B$16:$P$27,2,FALSE))))))</f>
        <v xml:space="preserve">Subbase granular </v>
      </c>
      <c r="D678" s="721"/>
      <c r="E678" s="355" t="str">
        <f>IF($A678="EQUI",VLOOKUP($B678,EQUI!B$16:G$35,3,FALSE),IF($A678="TRAN",VLOOKUP($B678,TRAN!$B$16:$G$26,3,FALSE),IF($A678="MAT1",VLOOKUP($B678,'MAT1'!$B$16:$G$43,3,FALSE),IF($A678="MAT2",VLOOKUP($B678,'MAT2'!$B$16:$G$55,3,FALSE),IF($A678="MDEO",VLOOKUP($B678,MDEO!$B$16:$P$27,3,FALSE))))))</f>
        <v>M3</v>
      </c>
      <c r="F678" s="355">
        <f>IF($A678="EQUI",VLOOKUP($B678,EQUI!B$16:G$35,4,FALSE),IF($A678="TRAN",VLOOKUP($B678,TRAN!$B$16:$G$26,4,FALSE),IF($A678="MAT1",VLOOKUP($B678,'MAT1'!$B$16:$G$43,4,FALSE),IF($A678="MAT2",VLOOKUP($B678,'MAT2'!$B$16:$G$53,4,FALSE),IF($A678="MDEO",VLOOKUP($B678,MDEO!$B$16:$P$27,4,FALSE))))))</f>
        <v>39000</v>
      </c>
      <c r="G678" s="352">
        <f>1.25*0.6</f>
        <v>0.75</v>
      </c>
      <c r="H678" s="404">
        <f>+F678*G678</f>
        <v>29250</v>
      </c>
      <c r="I678" s="403"/>
      <c r="L678" s="430">
        <f>+G678*G668</f>
        <v>5166</v>
      </c>
    </row>
    <row r="679" spans="1:13" ht="16.2" customHeight="1" x14ac:dyDescent="0.3">
      <c r="A679" s="397" t="s">
        <v>523</v>
      </c>
      <c r="B679" s="398" t="s">
        <v>137</v>
      </c>
      <c r="C679" s="721" t="str">
        <f>IF($A679="EQUI",VLOOKUP($B679,EQUI!B$16:G$35,2,FALSE),IF($A679="TRAN",VLOOKUP($B679,TRAN!$B$16:$G$26,2,FALSE),IF($A679="MAT1",VLOOKUP($B679,'MAT1'!$B$16:$G$43,2,FALSE),IF($A679="MAT2",VLOOKUP($B679,'MAT2'!$B$16:$G$55,2,FALSE),IF($A679="MDEO",VLOOKUP($B679,MDEO!$B$16:$P$27,2,FALSE))))))</f>
        <v>Cemento gris</v>
      </c>
      <c r="D679" s="721"/>
      <c r="E679" s="355" t="str">
        <f>IF($A679="EQUI",VLOOKUP($B679,EQUI!B$16:G$35,3,FALSE),IF($A679="TRAN",VLOOKUP($B679,TRAN!$B$16:$G$26,3,FALSE),IF($A679="MAT1",VLOOKUP($B679,'MAT1'!$B$16:$G$43,3,FALSE),IF($A679="MAT2",VLOOKUP($B679,'MAT2'!$B$16:$G$55,3,FALSE),IF($A679="MDEO",VLOOKUP($B679,MDEO!$B$16:$P$27,3,FALSE))))))</f>
        <v>SACO</v>
      </c>
      <c r="F679" s="392">
        <f>IF($A679="EQUI",VLOOKUP($B679,EQUI!B$16:G$35,4,FALSE),IF($A679="TRAN",VLOOKUP($B679,TRAN!$B$16:$G$26,4,FALSE),IF($A679="MAT1",VLOOKUP($B679,'MAT1'!$B$16:$G$43,4,FALSE),IF($A679="MAT2",VLOOKUP($B679,'MAT2'!$B$16:$G$53,4,FALSE),IF($A679="MDEO",VLOOKUP($B679,MDEO!$B$16:$P$27,4,FALSE))))))</f>
        <v>32700</v>
      </c>
      <c r="G679" s="352">
        <v>1</v>
      </c>
      <c r="H679" s="404"/>
      <c r="I679" s="403"/>
      <c r="K679" s="431">
        <f>+G679*G668</f>
        <v>6888</v>
      </c>
      <c r="M679" s="430">
        <f>+G679*G668</f>
        <v>6888</v>
      </c>
    </row>
    <row r="680" spans="1:13" ht="15.6" customHeight="1" x14ac:dyDescent="0.3">
      <c r="A680" s="401"/>
      <c r="C680" s="352"/>
      <c r="D680" s="417"/>
      <c r="E680" s="352"/>
      <c r="F680" s="413" t="s">
        <v>32</v>
      </c>
      <c r="G680" s="402" t="str">
        <f>+B667</f>
        <v>3.4</v>
      </c>
      <c r="H680" s="402" t="s">
        <v>332</v>
      </c>
      <c r="I680" s="396">
        <f>SUM(H677:H679)</f>
        <v>29800</v>
      </c>
    </row>
    <row r="681" spans="1:13" ht="15.6" customHeight="1" x14ac:dyDescent="0.3">
      <c r="A681" s="395" t="s">
        <v>15</v>
      </c>
      <c r="B681" s="386"/>
      <c r="C681" s="352"/>
      <c r="D681" s="417"/>
      <c r="E681" s="352"/>
      <c r="F681" s="352"/>
      <c r="G681" s="352"/>
      <c r="H681" s="352"/>
      <c r="I681" s="403"/>
    </row>
    <row r="682" spans="1:13" ht="16.2" customHeight="1" x14ac:dyDescent="0.3">
      <c r="A682" s="720" t="s">
        <v>19</v>
      </c>
      <c r="B682" s="712"/>
      <c r="C682" s="712"/>
      <c r="D682" s="355" t="s">
        <v>1383</v>
      </c>
      <c r="E682" s="350" t="s">
        <v>1382</v>
      </c>
      <c r="F682" s="355" t="s">
        <v>45</v>
      </c>
      <c r="G682" s="350" t="s">
        <v>1381</v>
      </c>
      <c r="H682" s="350" t="s">
        <v>30</v>
      </c>
      <c r="I682" s="403"/>
    </row>
    <row r="683" spans="1:13" ht="13.95" customHeight="1" x14ac:dyDescent="0.3">
      <c r="A683" s="405" t="s">
        <v>3</v>
      </c>
      <c r="B683" s="398" t="s">
        <v>171</v>
      </c>
      <c r="C683" s="417" t="str">
        <f>IF($A683="EQUI",VLOOKUP($B683,EQUI!B$16:G$40,2,FALSE),IF($A683="TRAN",VLOOKUP($B683,TRAN!$B$16:$G$37,2,FALSE),IF(A683="MAT",VLOOKUP($B683,'MAT1'!$B$16:$G$43,2,FALSE),IF(A683="MDEO",VLOOKUP($B683,MDEO!$B$16:$P$27,2,FALSE)))))</f>
        <v>trans material &gt; 10 km</v>
      </c>
      <c r="D683" s="355">
        <f>+G678</f>
        <v>0.75</v>
      </c>
      <c r="E683" s="355">
        <v>55</v>
      </c>
      <c r="F683" s="355">
        <f>+E683*D683</f>
        <v>41.25</v>
      </c>
      <c r="G683" s="352">
        <f>IF($A683="EQUI",VLOOKUP($B683,EQUI!B$16:G$50,4,FALSE),IF($A683="TRAN",VLOOKUP($B683,TRAN!$B$16:$G$37,4,FALSE),IF($A683="MAT",VLOOKUP($B683,[7]MAT!$B$16:$G$83,4,FALSE),IF($A683="MDEO",VLOOKUP($B683,MDEO!$B$16:$I$21,4,FALSE)))))</f>
        <v>980</v>
      </c>
      <c r="H683" s="404">
        <f>+F683*G683</f>
        <v>40425</v>
      </c>
      <c r="I683" s="403"/>
    </row>
    <row r="684" spans="1:13" s="432" customFormat="1" ht="12.75" customHeight="1" x14ac:dyDescent="0.3">
      <c r="A684" s="405" t="s">
        <v>3</v>
      </c>
      <c r="B684" s="398" t="s">
        <v>166</v>
      </c>
      <c r="C684" s="417" t="str">
        <f>IF($A684="EQUI",VLOOKUP($B684,EQUI!B$16:G$40,2,FALSE),IF($A684="TRAN",VLOOKUP($B684,TRAN!$B$16:$G$37,2,FALSE),IF(A684="MAT",VLOOKUP($B684,'MAT1'!$B$16:$G$43,2,FALSE),IF(A684="MDEO",VLOOKUP($B684,MDEO!$B$16:$P$27,2,FALSE)))))</f>
        <v>trans agua 0-5km</v>
      </c>
      <c r="D684" s="355">
        <f>+G677</f>
        <v>0.2</v>
      </c>
      <c r="E684" s="355">
        <v>5</v>
      </c>
      <c r="F684" s="355">
        <f>+E684*D684</f>
        <v>1</v>
      </c>
      <c r="G684" s="352">
        <f>IF($A684="EQUI",VLOOKUP($B684,EQUI!B$16:G$50,4,FALSE),IF($A684="TRAN",VLOOKUP($B684,TRAN!$B$16:$G$37,4,FALSE),IF($A684="MAT",VLOOKUP($B684,[7]MAT!$B$16:$G$83,4,FALSE),IF($A684="MDEO",VLOOKUP($B684,MDEO!$B$16:$I$21,4,FALSE)))))</f>
        <v>1095</v>
      </c>
      <c r="H684" s="422">
        <f>+F684*G684</f>
        <v>1095</v>
      </c>
      <c r="I684" s="416"/>
      <c r="K684" s="444"/>
    </row>
    <row r="685" spans="1:13" ht="16.2" customHeight="1" x14ac:dyDescent="0.3">
      <c r="A685" s="401"/>
      <c r="C685" s="352"/>
      <c r="D685" s="417"/>
      <c r="E685" s="352"/>
      <c r="F685" s="413" t="s">
        <v>32</v>
      </c>
      <c r="G685" s="402" t="str">
        <f>+B667</f>
        <v>3.4</v>
      </c>
      <c r="H685" s="402" t="s">
        <v>333</v>
      </c>
      <c r="I685" s="396">
        <f>SUM(H683:H684)</f>
        <v>41520</v>
      </c>
    </row>
    <row r="686" spans="1:13" ht="12.75" customHeight="1" x14ac:dyDescent="0.3">
      <c r="A686" s="395" t="s">
        <v>1107</v>
      </c>
      <c r="B686" s="386"/>
      <c r="C686" s="352"/>
      <c r="D686" s="417"/>
      <c r="E686" s="352"/>
      <c r="F686" s="352"/>
      <c r="G686" s="352"/>
      <c r="H686" s="352"/>
      <c r="I686" s="403"/>
    </row>
    <row r="687" spans="1:13" ht="24" customHeight="1" x14ac:dyDescent="0.3">
      <c r="A687" s="722" t="s">
        <v>18</v>
      </c>
      <c r="B687" s="723"/>
      <c r="C687" s="723"/>
      <c r="D687" s="355" t="s">
        <v>48</v>
      </c>
      <c r="E687" s="355" t="s">
        <v>109</v>
      </c>
      <c r="F687" s="380" t="s">
        <v>250</v>
      </c>
      <c r="G687" s="380" t="s">
        <v>251</v>
      </c>
      <c r="H687" s="355" t="s">
        <v>252</v>
      </c>
      <c r="I687" s="407"/>
    </row>
    <row r="688" spans="1:13" ht="13.2" customHeight="1" x14ac:dyDescent="0.3">
      <c r="A688" s="405" t="s">
        <v>4</v>
      </c>
      <c r="B688" s="408" t="s">
        <v>175</v>
      </c>
      <c r="C688" s="409" t="str">
        <f>IF($A678="EQUI",VLOOKUP($A$688,EQUI!B$16:G$35,2,FALSE),IF($A688="TRAN",VLOOKUP($B678,TRAN!$B$16:$G$26,2,FALSE),IF($A688="MAT1",VLOOKUP($B688,'MAT1'!$B$16:$G$43,2,FALSE),IF($A688="MAT2",VLOOKUP($B688,'MAT2'!$B$16:$G$55,2,FALSE),IF($A688="MDEO",VLOOKUP($B688,MDEO!$B$16:$P$27,2,FALSE))))))</f>
        <v xml:space="preserve">oficial </v>
      </c>
      <c r="D688" s="449">
        <f>IF($A688="EQUI",VLOOKUP($B688,EQUI!B$16:G$35,3,FALSE),IF($A688="TRAN",VLOOKUP($B688,TRAN!$B$16:$G$26,3,FALSE),IF($A688="MAT",VLOOKUP($B688,'MAT1'!$B$16:$G$43,3,FALSE),IF($A688="MDEO",VLOOKUP($B688,MDEO!$B$16:$P$33,10,FALSE)))))</f>
        <v>12336.644836388892</v>
      </c>
      <c r="E688" s="410"/>
      <c r="F688" s="438">
        <f>+D688+D688*E688</f>
        <v>12336.644836388892</v>
      </c>
      <c r="G688" s="421">
        <v>4.3999999999999997E-2</v>
      </c>
      <c r="H688" s="411">
        <f>G688*F688</f>
        <v>542.81237280111122</v>
      </c>
      <c r="I688" s="403"/>
    </row>
    <row r="689" spans="1:9" ht="13.2" customHeight="1" x14ac:dyDescent="0.3">
      <c r="A689" s="405" t="s">
        <v>4</v>
      </c>
      <c r="B689" s="408" t="s">
        <v>176</v>
      </c>
      <c r="C689" s="409" t="str">
        <f>IF($A679="EQUI",VLOOKUP($A$688,EQUI!B$16:G$35,2,FALSE),IF($A689="TRAN",VLOOKUP($B679,TRAN!$B$16:$G$26,2,FALSE),IF($A689="MAT1",VLOOKUP($B689,'MAT1'!$B$16:$G$43,2,FALSE),IF($A689="MAT2",VLOOKUP($B689,'MAT2'!$B$16:$G$55,2,FALSE),IF($A689="MDEO",VLOOKUP($B689,MDEO!$B$16:$P$27,2,FALSE))))))</f>
        <v xml:space="preserve">ayudante entendido </v>
      </c>
      <c r="D689" s="449">
        <f>IF($A689="EQUI",VLOOKUP($B689,EQUI!B$16:G$35,3,FALSE),IF($A689="TRAN",VLOOKUP($B689,TRAN!$B$16:$G$26,3,FALSE),IF($A689="MAT",VLOOKUP($B689,'MAT1'!$B$16:$G$43,3,FALSE),IF($A689="MDEO",VLOOKUP($B689,MDEO!$B$16:$P$33,10,FALSE)))))</f>
        <v>11136.644836388892</v>
      </c>
      <c r="E689" s="410"/>
      <c r="F689" s="438">
        <f>+D689+D689*E689</f>
        <v>11136.644836388892</v>
      </c>
      <c r="G689" s="421">
        <f>+G688*0.1</f>
        <v>4.4000000000000003E-3</v>
      </c>
      <c r="H689" s="411">
        <f>G689*F689</f>
        <v>49.001237280111127</v>
      </c>
      <c r="I689" s="403"/>
    </row>
    <row r="690" spans="1:9" ht="13.2" customHeight="1" x14ac:dyDescent="0.3">
      <c r="A690" s="405" t="s">
        <v>4</v>
      </c>
      <c r="B690" s="408" t="s">
        <v>177</v>
      </c>
      <c r="C690" s="409" t="str">
        <f>IF($A680="EQUI",VLOOKUP($A$688,EQUI!B$16:G$35,2,FALSE),IF($A690="TRAN",VLOOKUP($B680,TRAN!$B$16:$G$26,2,FALSE),IF($A690="MAT1",VLOOKUP($B690,'MAT1'!$B$16:$G$43,2,FALSE),IF($A690="MAT2",VLOOKUP($B690,'MAT2'!$B$16:$G$55,2,FALSE),IF($A690="MDEO",VLOOKUP($B690,MDEO!$B$16:$P$27,2,FALSE))))))</f>
        <v xml:space="preserve">ayudante </v>
      </c>
      <c r="D690" s="449">
        <f>IF($A690="EQUI",VLOOKUP($B690,EQUI!B$16:G$35,3,FALSE),IF($A690="TRAN",VLOOKUP($B690,TRAN!$B$16:$G$26,3,FALSE),IF($A690="MAT",VLOOKUP($B690,'MAT1'!$B$16:$G$43,3,FALSE),IF($A690="MDEO",VLOOKUP($B690,MDEO!$B$16:$P$33,10,FALSE)))))</f>
        <v>10336.644836388892</v>
      </c>
      <c r="E690" s="410"/>
      <c r="F690" s="438">
        <f>+D690+D690*E690</f>
        <v>10336.644836388892</v>
      </c>
      <c r="G690" s="421">
        <v>4.3999999999999997E-2</v>
      </c>
      <c r="H690" s="411">
        <f>G690*F690</f>
        <v>454.81237280111122</v>
      </c>
      <c r="I690" s="403"/>
    </row>
    <row r="691" spans="1:9" x14ac:dyDescent="0.3">
      <c r="A691" s="401"/>
      <c r="C691" s="352"/>
      <c r="D691" s="417"/>
      <c r="E691" s="352"/>
      <c r="F691" s="413" t="s">
        <v>32</v>
      </c>
      <c r="G691" s="402" t="str">
        <f>+B667</f>
        <v>3.4</v>
      </c>
      <c r="H691" s="413" t="s">
        <v>334</v>
      </c>
      <c r="I691" s="396">
        <f>SUM(H688:H690)</f>
        <v>1046.6259828823336</v>
      </c>
    </row>
    <row r="692" spans="1:9" ht="9.75" customHeight="1" x14ac:dyDescent="0.3">
      <c r="A692" s="401" t="s">
        <v>54</v>
      </c>
      <c r="C692" s="352"/>
      <c r="D692" s="417"/>
      <c r="E692" s="352"/>
      <c r="F692" s="352"/>
      <c r="G692" s="352"/>
      <c r="H692" s="350"/>
      <c r="I692" s="396">
        <f>I691*0.05</f>
        <v>52.331299144116684</v>
      </c>
    </row>
    <row r="693" spans="1:9" ht="9.75" customHeight="1" x14ac:dyDescent="0.3">
      <c r="A693" s="401"/>
      <c r="C693" s="352"/>
      <c r="D693" s="417"/>
      <c r="E693" s="352"/>
      <c r="F693" s="413" t="s">
        <v>55</v>
      </c>
      <c r="G693" s="350"/>
      <c r="H693" s="350"/>
      <c r="I693" s="396">
        <f>ROUND(I691+I692+I680+I674+I685,0)</f>
        <v>88479</v>
      </c>
    </row>
    <row r="694" spans="1:9" ht="9.75" customHeight="1" x14ac:dyDescent="0.3">
      <c r="A694" s="414"/>
      <c r="B694" s="415"/>
      <c r="C694" s="415"/>
      <c r="D694" s="450"/>
      <c r="E694" s="415"/>
      <c r="F694" s="415"/>
      <c r="G694" s="415"/>
      <c r="H694" s="415"/>
      <c r="I694" s="396"/>
    </row>
    <row r="695" spans="1:9" ht="59.4" customHeight="1" x14ac:dyDescent="0.3">
      <c r="A695" s="724" t="s">
        <v>114</v>
      </c>
      <c r="B695" s="710"/>
      <c r="C695" s="710"/>
      <c r="D695" s="450"/>
      <c r="E695" s="415"/>
      <c r="F695" s="710" t="s">
        <v>396</v>
      </c>
      <c r="G695" s="710"/>
      <c r="H695" s="710"/>
      <c r="I695" s="711"/>
    </row>
    <row r="696" spans="1:9" ht="12.75" customHeight="1" x14ac:dyDescent="0.3">
      <c r="A696" s="397" t="s">
        <v>111</v>
      </c>
      <c r="B696" s="712"/>
      <c r="C696" s="712"/>
      <c r="D696" s="417"/>
      <c r="E696" s="352"/>
      <c r="F696" s="350" t="s">
        <v>111</v>
      </c>
      <c r="G696" s="712"/>
      <c r="H696" s="712"/>
      <c r="I696" s="713"/>
    </row>
    <row r="697" spans="1:9" ht="12.75" customHeight="1" x14ac:dyDescent="0.3">
      <c r="A697" s="439" t="s">
        <v>115</v>
      </c>
      <c r="B697" s="710" t="s">
        <v>1551</v>
      </c>
      <c r="C697" s="710"/>
      <c r="F697" s="432" t="s">
        <v>112</v>
      </c>
      <c r="G697" s="712"/>
      <c r="H697" s="712"/>
      <c r="I697" s="713"/>
    </row>
    <row r="698" spans="1:9" ht="12.75" customHeight="1" x14ac:dyDescent="0.3">
      <c r="A698" s="439" t="s">
        <v>113</v>
      </c>
      <c r="B698" s="710" t="s">
        <v>1554</v>
      </c>
      <c r="C698" s="710"/>
      <c r="F698" s="432" t="s">
        <v>113</v>
      </c>
      <c r="G698" s="712"/>
      <c r="H698" s="712"/>
      <c r="I698" s="713"/>
    </row>
    <row r="699" spans="1:9" ht="12.75" customHeight="1" x14ac:dyDescent="0.3">
      <c r="A699" s="439"/>
      <c r="B699" s="350"/>
      <c r="C699" s="350"/>
      <c r="F699" s="432"/>
      <c r="G699" s="350"/>
      <c r="H699" s="350"/>
      <c r="I699" s="416"/>
    </row>
    <row r="700" spans="1:9" ht="12.75" customHeight="1" x14ac:dyDescent="0.3">
      <c r="A700" s="714" t="s">
        <v>110</v>
      </c>
      <c r="B700" s="715"/>
      <c r="C700" s="715"/>
      <c r="D700" s="715"/>
      <c r="E700" s="715"/>
      <c r="F700" s="715"/>
      <c r="G700" s="715"/>
      <c r="H700" s="715"/>
      <c r="I700" s="716"/>
    </row>
    <row r="701" spans="1:9" ht="15" customHeight="1" x14ac:dyDescent="0.3">
      <c r="A701" s="729"/>
      <c r="B701" s="730"/>
      <c r="C701" s="730"/>
      <c r="D701" s="730"/>
      <c r="E701" s="730"/>
      <c r="F701" s="730"/>
      <c r="G701" s="730"/>
      <c r="H701" s="730"/>
      <c r="I701" s="731"/>
    </row>
    <row r="702" spans="1:9" ht="15" customHeight="1" x14ac:dyDescent="0.3">
      <c r="A702" s="714"/>
      <c r="B702" s="715"/>
      <c r="C702" s="715"/>
      <c r="D702" s="715"/>
      <c r="E702" s="715"/>
      <c r="F702" s="715"/>
      <c r="G702" s="715"/>
      <c r="H702" s="715"/>
      <c r="I702" s="716"/>
    </row>
    <row r="703" spans="1:9" ht="12.75" customHeight="1" x14ac:dyDescent="0.3">
      <c r="A703" s="725" t="s">
        <v>68</v>
      </c>
      <c r="B703" s="726"/>
      <c r="C703" s="726"/>
      <c r="D703" s="726"/>
      <c r="E703" s="726"/>
      <c r="F703" s="726"/>
      <c r="G703" s="726"/>
      <c r="H703" s="726"/>
      <c r="I703" s="727"/>
    </row>
    <row r="704" spans="1:9" ht="12.75" customHeight="1" x14ac:dyDescent="0.3">
      <c r="A704" s="390" t="s">
        <v>69</v>
      </c>
      <c r="B704" s="420" t="s">
        <v>255</v>
      </c>
      <c r="C704" s="710" t="s">
        <v>70</v>
      </c>
      <c r="D704" s="712" t="str">
        <f>VLOOKUP(B704,'AJUSTE PRESUPUESTO'!$A$18:$I$89,3,FALSE)</f>
        <v>Instalación de concreto hidráulico Mr. 3,9 Mpa, pavimento rígido</v>
      </c>
      <c r="E704" s="712"/>
      <c r="F704" s="712"/>
      <c r="G704" s="712"/>
      <c r="H704" s="712"/>
      <c r="I704" s="713"/>
    </row>
    <row r="705" spans="1:12" ht="12.75" customHeight="1" x14ac:dyDescent="0.3">
      <c r="A705" s="390" t="s">
        <v>71</v>
      </c>
      <c r="B705" s="42" t="s">
        <v>248</v>
      </c>
      <c r="C705" s="710"/>
      <c r="D705" s="355" t="s">
        <v>12</v>
      </c>
      <c r="E705" s="392" t="s">
        <v>124</v>
      </c>
      <c r="F705" s="392" t="s">
        <v>13</v>
      </c>
      <c r="G705" s="392">
        <f>VLOOKUP(B705,PRESUPUESTO!$B$15:$I$1200,5,FALSE)</f>
        <v>9134</v>
      </c>
      <c r="H705" s="393" t="s">
        <v>27</v>
      </c>
      <c r="I705" s="394">
        <f>+I731</f>
        <v>134965</v>
      </c>
    </row>
    <row r="706" spans="1:12" ht="12.75" customHeight="1" x14ac:dyDescent="0.3">
      <c r="A706" s="395" t="s">
        <v>14</v>
      </c>
      <c r="B706" s="386"/>
      <c r="C706" s="352"/>
      <c r="D706" s="417"/>
      <c r="E706" s="352"/>
      <c r="F706" s="352"/>
      <c r="G706" s="352"/>
      <c r="H706" s="352"/>
      <c r="I706" s="396"/>
    </row>
    <row r="707" spans="1:12" ht="12.75" customHeight="1" x14ac:dyDescent="0.3">
      <c r="A707" s="720" t="s">
        <v>19</v>
      </c>
      <c r="B707" s="712"/>
      <c r="C707" s="712"/>
      <c r="D707" s="712"/>
      <c r="E707" s="712"/>
      <c r="F707" s="350" t="s">
        <v>520</v>
      </c>
      <c r="G707" s="350" t="s">
        <v>29</v>
      </c>
      <c r="H707" s="350" t="s">
        <v>30</v>
      </c>
      <c r="I707" s="403"/>
    </row>
    <row r="708" spans="1:12" ht="10.199999999999999" customHeight="1" x14ac:dyDescent="0.3">
      <c r="A708" s="397" t="s">
        <v>1</v>
      </c>
      <c r="B708" s="398" t="s">
        <v>97</v>
      </c>
      <c r="C708" s="721" t="str">
        <f>IF($A708="EQUI",VLOOKUP($B708,EQUI!B$16:G$145,2,FALSE),IF($A708="TRAN",VLOOKUP($B708,TRAN!$B$16:$G$26,2,FALSE),IF(A708="MAT",VLOOKUP($B708,[7]MAT!$B$16:$G$83,2,FALSE),IF(A708="MDEO",VLOOKUP($B708,MDEO!$B$16:$I$21,2,FALSE)))))</f>
        <v>tanque de almacenamiento de agua</v>
      </c>
      <c r="D708" s="721"/>
      <c r="E708" s="721"/>
      <c r="F708" s="355">
        <f>IF($A708="EQUI",VLOOKUP($B708,EQUI!B$16:G$145,4,FALSE),IF($A708="TRAN",VLOOKUP($B708,TRAN!$B$16:$G$26,4,FALSE),IF($A708="MAT",VLOOKUP($B708,[6]MAT!$B$16:$G$83,4,FALSE),IF($A708="MDEO",VLOOKUP($B708,[6]MDEO!$B$16:$I$21,4,FALSE)))))</f>
        <v>1000</v>
      </c>
      <c r="G708" s="399">
        <v>0.8</v>
      </c>
      <c r="H708" s="404">
        <f t="shared" ref="H708:H712" si="1">+F708*G708</f>
        <v>800</v>
      </c>
      <c r="I708" s="403"/>
      <c r="J708" s="445"/>
    </row>
    <row r="709" spans="1:12" ht="10.199999999999999" customHeight="1" x14ac:dyDescent="0.3">
      <c r="A709" s="397" t="s">
        <v>1</v>
      </c>
      <c r="B709" s="398" t="s">
        <v>79</v>
      </c>
      <c r="C709" s="721" t="str">
        <f>IF($A709="EQUI",VLOOKUP($B709,EQUI!B$16:G$145,2,FALSE),IF($A709="TRAN",VLOOKUP($B709,TRAN!$B$16:$G$26,2,FALSE),IF(A709="MAT",VLOOKUP($B709,[7]MAT!$B$16:$G$83,2,FALSE),IF(A709="MDEO",VLOOKUP($B709,MDEO!$B$16:$I$21,2,FALSE)))))</f>
        <v>Equipo de pavimento (flota y rastrillo)</v>
      </c>
      <c r="D709" s="721"/>
      <c r="E709" s="721"/>
      <c r="F709" s="355">
        <f>IF($A709="EQUI",VLOOKUP($B709,EQUI!B$16:G$145,4,FALSE),IF($A709="TRAN",VLOOKUP($B709,TRAN!$B$16:$G$26,4,FALSE),IF($A709="MAT",VLOOKUP($B709,[6]MAT!$B$16:$G$83,4,FALSE),IF($A709="MDEO",VLOOKUP($B709,[6]MDEO!$B$16:$I$21,4,FALSE)))))</f>
        <v>1500</v>
      </c>
      <c r="G709" s="399">
        <f>1/10*8</f>
        <v>0.8</v>
      </c>
      <c r="H709" s="404">
        <f t="shared" si="1"/>
        <v>1200</v>
      </c>
      <c r="I709" s="403"/>
      <c r="J709" s="445"/>
    </row>
    <row r="710" spans="1:12" ht="10.199999999999999" customHeight="1" x14ac:dyDescent="0.3">
      <c r="A710" s="397" t="s">
        <v>1</v>
      </c>
      <c r="B710" s="398" t="s">
        <v>98</v>
      </c>
      <c r="C710" s="721" t="str">
        <f>IF($A710="EQUI",VLOOKUP($B710,EQUI!B$16:G$145,2,FALSE),IF($A710="TRAN",VLOOKUP($B710,TRAN!$B$16:$G$26,2,FALSE),IF(A710="MAT",VLOOKUP($B710,[7]MAT!$B$16:$G$83,2,FALSE),IF(A710="MDEO",VLOOKUP($B710,MDEO!$B$16:$I$21,2,FALSE)))))</f>
        <v>vibrador de aguja</v>
      </c>
      <c r="D710" s="721"/>
      <c r="E710" s="721"/>
      <c r="F710" s="355">
        <f>IF($A710="EQUI",VLOOKUP($B710,EQUI!B$16:G$145,4,FALSE),IF($A710="TRAN",VLOOKUP($B710,TRAN!$B$16:$G$26,4,FALSE),IF($A710="MAT",VLOOKUP($B710,[6]MAT!$B$16:$G$83,4,FALSE),IF($A710="MDEO",VLOOKUP($B710,[6]MDEO!$B$16:$I$21,4,FALSE)))))</f>
        <v>4375</v>
      </c>
      <c r="G710" s="399">
        <v>0.8</v>
      </c>
      <c r="H710" s="404">
        <f t="shared" si="1"/>
        <v>3500</v>
      </c>
      <c r="I710" s="403"/>
      <c r="J710" s="445"/>
    </row>
    <row r="711" spans="1:12" ht="10.199999999999999" customHeight="1" x14ac:dyDescent="0.3">
      <c r="A711" s="397" t="s">
        <v>1</v>
      </c>
      <c r="B711" s="398" t="s">
        <v>87</v>
      </c>
      <c r="C711" s="721" t="str">
        <f>IF($A711="EQUI",VLOOKUP($B711,EQUI!B$16:G$145,2,FALSE),IF($A711="TRAN",VLOOKUP($B711,TRAN!$B$16:$G$26,2,FALSE),IF(A711="MAT",VLOOKUP($B711,[7]MAT!$B$16:$G$83,2,FALSE),IF(A711="MDEO",VLOOKUP($B711,MDEO!$B$16:$I$21,2,FALSE)))))</f>
        <v>formaleta metálica para pavimento</v>
      </c>
      <c r="D711" s="721"/>
      <c r="E711" s="721"/>
      <c r="F711" s="355">
        <f>IF($A711="EQUI",VLOOKUP($B711,EQUI!B$16:G$145,4,FALSE),IF($A711="TRAN",VLOOKUP($B711,TRAN!$B$16:$G$26,4,FALSE),IF($A711="MAT",VLOOKUP($B711,[6]MAT!$B$16:$G$83,4,FALSE),IF($A711="MDEO",VLOOKUP($B711,[6]MDEO!$B$16:$I$21,4,FALSE)))))</f>
        <v>1100</v>
      </c>
      <c r="G711" s="399">
        <v>0.8</v>
      </c>
      <c r="H711" s="404">
        <f t="shared" si="1"/>
        <v>880</v>
      </c>
      <c r="I711" s="403"/>
      <c r="J711" s="445"/>
      <c r="L711" s="430" t="s">
        <v>1005</v>
      </c>
    </row>
    <row r="712" spans="1:12" ht="10.199999999999999" customHeight="1" x14ac:dyDescent="0.3">
      <c r="A712" s="397" t="s">
        <v>1</v>
      </c>
      <c r="B712" s="398" t="s">
        <v>93</v>
      </c>
      <c r="C712" s="721" t="str">
        <f>IF($A712="EQUI",VLOOKUP($B712,EQUI!B$16:G$145,2,FALSE),IF($A712="TRAN",VLOOKUP($B712,TRAN!$B$16:$G$26,2,FALSE),IF(A712="MAT",VLOOKUP($B712,[7]MAT!$B$16:$G$83,2,FALSE),IF(A712="MDEO",VLOOKUP($B712,MDEO!$B$16:$I$21,2,FALSE)))))</f>
        <v>regla vibratoria</v>
      </c>
      <c r="D712" s="721"/>
      <c r="E712" s="721"/>
      <c r="F712" s="355">
        <f>IF($A712="EQUI",VLOOKUP($B712,EQUI!B$16:G$145,4,FALSE),IF($A712="TRAN",VLOOKUP($B712,TRAN!$B$16:$G$26,4,FALSE),IF($A712="MAT",VLOOKUP($B712,[6]MAT!$B$16:$G$83,4,FALSE),IF($A712="MDEO",VLOOKUP($B712,[6]MDEO!$B$16:$I$21,4,FALSE)))))</f>
        <v>2500</v>
      </c>
      <c r="G712" s="399">
        <v>0.8</v>
      </c>
      <c r="H712" s="404">
        <f t="shared" si="1"/>
        <v>2000</v>
      </c>
      <c r="I712" s="403"/>
      <c r="J712" s="445"/>
      <c r="L712" s="430">
        <f>1/30</f>
        <v>3.3333333333333333E-2</v>
      </c>
    </row>
    <row r="713" spans="1:12" ht="12.75" customHeight="1" x14ac:dyDescent="0.3">
      <c r="A713" s="401"/>
      <c r="C713" s="352"/>
      <c r="D713" s="417"/>
      <c r="E713" s="352"/>
      <c r="F713" s="413" t="s">
        <v>32</v>
      </c>
      <c r="G713" s="402" t="str">
        <f>+B704</f>
        <v>3.5</v>
      </c>
      <c r="H713" s="402" t="s">
        <v>335</v>
      </c>
      <c r="I713" s="396">
        <f>SUM(H708:H712)</f>
        <v>8380</v>
      </c>
      <c r="K713" s="431">
        <f>+I713*G705</f>
        <v>76542920</v>
      </c>
    </row>
    <row r="714" spans="1:12" ht="12.75" customHeight="1" x14ac:dyDescent="0.3">
      <c r="A714" s="395" t="s">
        <v>34</v>
      </c>
      <c r="B714" s="386"/>
      <c r="C714" s="352"/>
      <c r="D714" s="417"/>
      <c r="E714" s="352"/>
      <c r="F714" s="352"/>
      <c r="G714" s="352"/>
      <c r="H714" s="352"/>
      <c r="I714" s="403"/>
    </row>
    <row r="715" spans="1:12" ht="12.75" customHeight="1" x14ac:dyDescent="0.3">
      <c r="A715" s="720" t="s">
        <v>35</v>
      </c>
      <c r="B715" s="712"/>
      <c r="C715" s="712"/>
      <c r="D715" s="712"/>
      <c r="E715" s="350" t="s">
        <v>12</v>
      </c>
      <c r="F715" s="350" t="s">
        <v>36</v>
      </c>
      <c r="G715" s="350" t="s">
        <v>37</v>
      </c>
      <c r="H715" s="350" t="s">
        <v>38</v>
      </c>
      <c r="I715" s="403"/>
    </row>
    <row r="716" spans="1:12" ht="12.6" customHeight="1" x14ac:dyDescent="0.3">
      <c r="A716" s="397" t="s">
        <v>523</v>
      </c>
      <c r="B716" s="398" t="s">
        <v>140</v>
      </c>
      <c r="C716" s="721" t="str">
        <f>IF($A716="EQUI",VLOOKUP($B716,EQUI!B$16:G$35,2,FALSE),IF($A716="TRAN",VLOOKUP($B716,TRAN!$B$16:$G$26,2,FALSE),IF($A716="MAT1",VLOOKUP($B716,'MAT1'!$B$16:$G$43,2,FALSE),IF($A716="MAT2",VLOOKUP($B716,'MAT2'!$B$16:$G$65,2,FALSE),IF($A716="MDEO",VLOOKUP($B716,MDEO!$B$16:$P$27,2,FALSE))))))</f>
        <v>Concreto premezclado Mr. 3,9 Mpa</v>
      </c>
      <c r="D716" s="721"/>
      <c r="E716" s="355" t="str">
        <f>IF($A716="EQUI",VLOOKUP($B716,EQUI!B$16:G$35,3,FALSE),IF($A716="TRAN",VLOOKUP($B716,TRAN!$B$16:$G$26,3,FALSE),IF($A716="MAT1",VLOOKUP($B716,'MAT1'!$B$16:$G$43,3,FALSE),IF($A716="MAT2",VLOOKUP($B716,'MAT2'!$B$16:$G$55,3,FALSE),IF($A716="MDEO",VLOOKUP($B716,MDEO!$B$16:$P$27,3,FALSE))))))</f>
        <v>M3</v>
      </c>
      <c r="F716" s="446">
        <v>584766</v>
      </c>
      <c r="G716" s="399">
        <v>1</v>
      </c>
      <c r="H716" s="423"/>
      <c r="I716" s="424"/>
      <c r="J716" s="445"/>
      <c r="K716" s="441">
        <f>+G716*G705</f>
        <v>9134</v>
      </c>
    </row>
    <row r="717" spans="1:12" ht="11.4" customHeight="1" x14ac:dyDescent="0.3">
      <c r="A717" s="397" t="s">
        <v>522</v>
      </c>
      <c r="B717" s="398" t="s">
        <v>141</v>
      </c>
      <c r="C717" s="721" t="str">
        <f>IF($A717="EQUI",VLOOKUP($B717,EQUI!B$16:G$35,2,FALSE),IF($A717="TRAN",VLOOKUP($B717,TRAN!$B$16:$G$26,2,FALSE),IF($A717="MAT1",VLOOKUP($B717,'MAT1'!$B$16:$G$43,2,FALSE),IF($A717="MAT2",VLOOKUP($B717,'MAT2'!$B$16:$G$65,2,FALSE),IF($A717="MDEO",VLOOKUP($B717,MDEO!$B$16:$P$27,2,FALSE))))))</f>
        <v>curador tipo anti sol</v>
      </c>
      <c r="D717" s="721"/>
      <c r="E717" s="355" t="str">
        <f>IF($A717="EQUI",VLOOKUP($B717,EQUI!B$16:G$35,3,FALSE),IF($A717="TRAN",VLOOKUP($B717,TRAN!$B$16:$G$26,3,FALSE),IF($A717="MAT1",VLOOKUP($B717,'MAT1'!$B$16:$G$43,3,FALSE),IF($A717="MAT2",VLOOKUP($B717,'MAT2'!$B$16:$G$55,3,FALSE),IF($A717="MDEO",VLOOKUP($B717,MDEO!$B$16:$P$27,3,FALSE))))))</f>
        <v>KG</v>
      </c>
      <c r="F717" s="355">
        <f>IF($A717="EQUI",VLOOKUP($B717,EQUI!B$16:G$35,4,FALSE),IF($A717="TRAN",VLOOKUP($B717,TRAN!$B$16:$G$26,4,FALSE),IF($A717="MAT1",VLOOKUP($B717,'MAT1'!$B$16:$G$43,4,FALSE),IF($A717="MAT2",VLOOKUP($B717,'MAT2'!$B$16:$G$53,4,FALSE),IF($A717="MDEO",VLOOKUP($B717,MDEO!$B$16:$P$27,4,FALSE))))))</f>
        <v>7500</v>
      </c>
      <c r="G717" s="399">
        <f>7.2/6.48</f>
        <v>1.1111111111111112</v>
      </c>
      <c r="H717" s="423">
        <f t="shared" ref="H717" si="2">+F717*G717</f>
        <v>8333.3333333333339</v>
      </c>
      <c r="I717" s="424"/>
      <c r="J717" s="445"/>
    </row>
    <row r="718" spans="1:12" ht="12.75" customHeight="1" x14ac:dyDescent="0.3">
      <c r="A718" s="401"/>
      <c r="C718" s="352"/>
      <c r="D718" s="417"/>
      <c r="E718" s="352"/>
      <c r="F718" s="413" t="s">
        <v>32</v>
      </c>
      <c r="G718" s="402" t="str">
        <f>+B704</f>
        <v>3.5</v>
      </c>
      <c r="H718" s="425" t="s">
        <v>336</v>
      </c>
      <c r="I718" s="424">
        <f>SUM(H716:H717)</f>
        <v>8333.3333333333339</v>
      </c>
      <c r="K718" s="431">
        <f>+I718*G705</f>
        <v>76116666.666666672</v>
      </c>
    </row>
    <row r="719" spans="1:12" ht="12.75" customHeight="1" x14ac:dyDescent="0.3">
      <c r="A719" s="395" t="s">
        <v>15</v>
      </c>
      <c r="B719" s="386"/>
      <c r="C719" s="352"/>
      <c r="D719" s="417"/>
      <c r="E719" s="352"/>
      <c r="F719" s="352"/>
      <c r="G719" s="352"/>
      <c r="H719" s="352"/>
      <c r="I719" s="403"/>
    </row>
    <row r="720" spans="1:12" ht="12.75" customHeight="1" x14ac:dyDescent="0.3">
      <c r="A720" s="720" t="s">
        <v>19</v>
      </c>
      <c r="B720" s="712"/>
      <c r="C720" s="712"/>
      <c r="D720" s="355" t="s">
        <v>43</v>
      </c>
      <c r="E720" s="350" t="s">
        <v>44</v>
      </c>
      <c r="F720" s="355" t="s">
        <v>45</v>
      </c>
      <c r="G720" s="350" t="s">
        <v>17</v>
      </c>
      <c r="H720" s="350" t="s">
        <v>30</v>
      </c>
      <c r="I720" s="403"/>
    </row>
    <row r="721" spans="1:11" ht="12.75" customHeight="1" x14ac:dyDescent="0.3">
      <c r="A721" s="405" t="s">
        <v>3</v>
      </c>
      <c r="B721" s="398" t="s">
        <v>171</v>
      </c>
      <c r="C721" s="417" t="str">
        <f>IF($A721="EQUI",VLOOKUP($B721,EQUI!B$16:G$40,2,FALSE),IF($A721="TRAN",VLOOKUP($B721,TRAN!$B$16:$G$37,2,FALSE),IF(A721="MAT",VLOOKUP($B721,'MAT1'!$B$16:$G$43,2,FALSE),IF(A721="MDEO",VLOOKUP($B721,MDEO!$B$16:$P$27,2,FALSE)))))</f>
        <v>trans material &gt; 10 km</v>
      </c>
      <c r="D721" s="417">
        <v>0</v>
      </c>
      <c r="E721" s="417">
        <v>55</v>
      </c>
      <c r="F721" s="355">
        <f>+E721*D721</f>
        <v>0</v>
      </c>
      <c r="G721" s="352">
        <f>IF($A721="EQUI",VLOOKUP($B721,EQUI!B$16:G$50,4,FALSE),IF($A721="TRAN",VLOOKUP($B721,TRAN!$B$16:$G$37,4,FALSE),IF($A721="MAT",VLOOKUP($B721,[7]MAT!$B$16:$G$83,4,FALSE),IF($A721="MDEO",VLOOKUP($B721,MDEO!$B$16:$I$21,4,FALSE)))))</f>
        <v>980</v>
      </c>
      <c r="H721" s="404">
        <f>+F721*G721</f>
        <v>0</v>
      </c>
      <c r="I721" s="403"/>
    </row>
    <row r="722" spans="1:11" ht="12.75" customHeight="1" x14ac:dyDescent="0.3">
      <c r="A722" s="401"/>
      <c r="C722" s="352"/>
      <c r="D722" s="417"/>
      <c r="E722" s="352"/>
      <c r="F722" s="413" t="s">
        <v>32</v>
      </c>
      <c r="G722" s="402" t="str">
        <f>+B704</f>
        <v>3.5</v>
      </c>
      <c r="H722" s="402" t="s">
        <v>337</v>
      </c>
      <c r="I722" s="403">
        <f>SUM(H721:H721)</f>
        <v>0</v>
      </c>
    </row>
    <row r="723" spans="1:11" ht="12.75" customHeight="1" x14ac:dyDescent="0.3">
      <c r="A723" s="395" t="s">
        <v>1107</v>
      </c>
      <c r="B723" s="386"/>
      <c r="C723" s="352"/>
      <c r="D723" s="417"/>
      <c r="E723" s="352"/>
      <c r="F723" s="352"/>
      <c r="G723" s="352"/>
      <c r="H723" s="352"/>
      <c r="I723" s="403"/>
    </row>
    <row r="724" spans="1:11" x14ac:dyDescent="0.3">
      <c r="A724" s="722" t="s">
        <v>18</v>
      </c>
      <c r="B724" s="723"/>
      <c r="C724" s="723"/>
      <c r="D724" s="355" t="s">
        <v>48</v>
      </c>
      <c r="E724" s="355" t="s">
        <v>109</v>
      </c>
      <c r="F724" s="380" t="s">
        <v>250</v>
      </c>
      <c r="G724" s="380" t="s">
        <v>251</v>
      </c>
      <c r="H724" s="355" t="s">
        <v>252</v>
      </c>
      <c r="I724" s="407"/>
    </row>
    <row r="725" spans="1:11" ht="13.2" customHeight="1" x14ac:dyDescent="0.3">
      <c r="A725" s="405" t="s">
        <v>4</v>
      </c>
      <c r="B725" s="408" t="s">
        <v>175</v>
      </c>
      <c r="C725" s="409" t="str">
        <f>IF($A715="EQUI",VLOOKUP($A$688,EQUI!B$16:G$35,2,FALSE),IF($A725="TRAN",VLOOKUP($B715,TRAN!$B$16:$G$26,2,FALSE),IF($A725="MAT1",VLOOKUP($B725,'MAT1'!$B$16:$G$43,2,FALSE),IF($A725="MAT2",VLOOKUP($B725,'MAT2'!$B$16:$G$55,2,FALSE),IF($A725="MDEO",VLOOKUP($B725,MDEO!$B$16:$P$27,2,FALSE))))))</f>
        <v xml:space="preserve">oficial </v>
      </c>
      <c r="D725" s="449">
        <f>IF($A725="EQUI",VLOOKUP($B725,EQUI!B$16:G$35,3,FALSE),IF($A725="TRAN",VLOOKUP($B725,TRAN!$B$16:$G$26,3,FALSE),IF($A725="MAT",VLOOKUP($B725,'MAT1'!$B$16:$G$43,3,FALSE),IF($A725="MDEO",VLOOKUP($B725,MDEO!$B$16:$P$33,10,FALSE)))))</f>
        <v>12336.644836388892</v>
      </c>
      <c r="E725" s="410">
        <f>IF($A725="EQUI",VLOOKUP($B725,[6]EQUI!B$16:G$46,4,FALSE),IF($A725="TRAN",VLOOKUP($B725,[6]TRAN!$B$16:$G$26,4,FALSE),IF($A725="MAT",VLOOKUP($B725,[6]MAT!$B$16:$G$83,4,FALSE),IF($A725="MDEO",VLOOKUP($B725,[6]MDEO!$B$16:$I$21,4,FALSE)))))</f>
        <v>0</v>
      </c>
      <c r="F725" s="438">
        <f>+D725+D725*E725</f>
        <v>12336.644836388892</v>
      </c>
      <c r="G725" s="399">
        <f>2*0.8</f>
        <v>1.6</v>
      </c>
      <c r="H725" s="411">
        <f>G725*F725</f>
        <v>19738.63173822223</v>
      </c>
      <c r="I725" s="403"/>
      <c r="J725" s="445"/>
    </row>
    <row r="726" spans="1:11" ht="13.2" customHeight="1" x14ac:dyDescent="0.3">
      <c r="A726" s="405" t="s">
        <v>4</v>
      </c>
      <c r="B726" s="408" t="s">
        <v>176</v>
      </c>
      <c r="C726" s="409" t="str">
        <f>IF($A716="EQUI",VLOOKUP($A$688,EQUI!B$16:G$35,2,FALSE),IF($A726="TRAN",VLOOKUP($B716,TRAN!$B$16:$G$26,2,FALSE),IF($A726="MAT1",VLOOKUP($B726,'MAT1'!$B$16:$G$43,2,FALSE),IF($A726="MAT2",VLOOKUP($B726,'MAT2'!$B$16:$G$55,2,FALSE),IF($A726="MDEO",VLOOKUP($B726,MDEO!$B$16:$P$27,2,FALSE))))))</f>
        <v xml:space="preserve">ayudante entendido </v>
      </c>
      <c r="D726" s="449">
        <f>IF($A726="EQUI",VLOOKUP($B726,EQUI!B$16:G$35,3,FALSE),IF($A726="TRAN",VLOOKUP($B726,TRAN!$B$16:$G$26,3,FALSE),IF($A726="MAT",VLOOKUP($B726,'MAT1'!$B$16:$G$43,3,FALSE),IF($A726="MDEO",VLOOKUP($B726,MDEO!$B$16:$P$33,10,FALSE)))))</f>
        <v>11136.644836388892</v>
      </c>
      <c r="E726" s="410">
        <f>IF($A726="EQUI",VLOOKUP($B726,[6]EQUI!B$16:G$46,4,FALSE),IF($A726="TRAN",VLOOKUP($B726,[6]TRAN!$B$16:$G$26,4,FALSE),IF($A726="MAT",VLOOKUP($B726,[6]MAT!$B$16:$G$83,4,FALSE),IF($A726="MDEO",VLOOKUP($B726,[6]MDEO!$B$16:$I$21,4,FALSE)))))</f>
        <v>0</v>
      </c>
      <c r="F726" s="438">
        <f>+D726+D726*E726</f>
        <v>11136.644836388892</v>
      </c>
      <c r="G726" s="399">
        <f>3*0.8</f>
        <v>2.4000000000000004</v>
      </c>
      <c r="H726" s="411">
        <f>G726*F726</f>
        <v>26727.947607333346</v>
      </c>
      <c r="I726" s="403"/>
      <c r="J726" s="445"/>
    </row>
    <row r="727" spans="1:11" ht="13.2" customHeight="1" x14ac:dyDescent="0.3">
      <c r="A727" s="405" t="s">
        <v>4</v>
      </c>
      <c r="B727" s="408" t="s">
        <v>177</v>
      </c>
      <c r="C727" s="409" t="str">
        <f>IF($A717="EQUI",VLOOKUP($A$688,EQUI!B$16:G$35,2,FALSE),IF($A727="TRAN",VLOOKUP($B717,TRAN!$B$16:$G$26,2,FALSE),IF($A727="MAT1",VLOOKUP($B727,'MAT1'!$B$16:$G$43,2,FALSE),IF($A727="MAT2",VLOOKUP($B727,'MAT2'!$B$16:$G$55,2,FALSE),IF($A727="MDEO",VLOOKUP($B727,MDEO!$B$16:$P$27,2,FALSE))))))</f>
        <v xml:space="preserve">ayudante </v>
      </c>
      <c r="D727" s="449">
        <f>IF($A727="EQUI",VLOOKUP($B727,EQUI!B$16:G$35,3,FALSE),IF($A727="TRAN",VLOOKUP($B727,TRAN!$B$16:$G$26,3,FALSE),IF($A727="MAT",VLOOKUP($B727,'MAT1'!$B$16:$G$43,3,FALSE),IF($A727="MDEO",VLOOKUP($B727,MDEO!$B$16:$P$33,10,FALSE)))))</f>
        <v>10336.644836388892</v>
      </c>
      <c r="E727" s="410">
        <f>IF($A727="EQUI",VLOOKUP($B727,[6]EQUI!B$16:G$46,4,FALSE),IF($A727="TRAN",VLOOKUP($B727,[6]TRAN!$B$16:$G$26,4,FALSE),IF($A727="MAT",VLOOKUP($B727,[6]MAT!$B$16:$G$83,4,FALSE),IF($A727="MDEO",VLOOKUP($B727,[6]MDEO!$B$16:$I$21,4,FALSE)))))</f>
        <v>0</v>
      </c>
      <c r="F727" s="438">
        <f>+D727+D727*E727</f>
        <v>10336.644836388892</v>
      </c>
      <c r="G727" s="399">
        <f>8*0.8</f>
        <v>6.4</v>
      </c>
      <c r="H727" s="411">
        <f>G727*F727</f>
        <v>66154.526952888918</v>
      </c>
      <c r="I727" s="403"/>
      <c r="J727" s="445"/>
    </row>
    <row r="728" spans="1:11" ht="10.95" customHeight="1" x14ac:dyDescent="0.3">
      <c r="A728" s="405"/>
      <c r="B728" s="408"/>
      <c r="C728" s="426"/>
      <c r="D728" s="449"/>
      <c r="E728" s="410"/>
      <c r="F728" s="438"/>
      <c r="G728" s="399"/>
      <c r="H728" s="411"/>
      <c r="I728" s="403"/>
      <c r="J728" s="445"/>
    </row>
    <row r="729" spans="1:11" ht="12.75" customHeight="1" x14ac:dyDescent="0.3">
      <c r="A729" s="401"/>
      <c r="C729" s="352"/>
      <c r="D729" s="417"/>
      <c r="E729" s="352"/>
      <c r="F729" s="413" t="s">
        <v>32</v>
      </c>
      <c r="G729" s="402" t="str">
        <f>+B704</f>
        <v>3.5</v>
      </c>
      <c r="H729" s="413" t="s">
        <v>338</v>
      </c>
      <c r="I729" s="396">
        <f>SUM(H725:H727)</f>
        <v>112621.1062984445</v>
      </c>
      <c r="K729" s="431">
        <f>+I729*G705</f>
        <v>1028681184.9299921</v>
      </c>
    </row>
    <row r="730" spans="1:11" ht="12.75" customHeight="1" x14ac:dyDescent="0.3">
      <c r="A730" s="401" t="s">
        <v>433</v>
      </c>
      <c r="C730" s="352"/>
      <c r="D730" s="417"/>
      <c r="E730" s="352"/>
      <c r="F730" s="352"/>
      <c r="G730" s="352"/>
      <c r="H730" s="350"/>
      <c r="I730" s="396">
        <f>I729*0.05</f>
        <v>5631.0553149222251</v>
      </c>
      <c r="K730" s="431">
        <f>+I730*G705</f>
        <v>51434059.246499605</v>
      </c>
    </row>
    <row r="731" spans="1:11" ht="12.75" customHeight="1" x14ac:dyDescent="0.3">
      <c r="A731" s="401"/>
      <c r="C731" s="352"/>
      <c r="D731" s="417"/>
      <c r="E731" s="352"/>
      <c r="F731" s="413" t="s">
        <v>55</v>
      </c>
      <c r="G731" s="350"/>
      <c r="H731" s="350"/>
      <c r="I731" s="396">
        <f>ROUND(I729+I730+I718+I713+I722,0)</f>
        <v>134965</v>
      </c>
    </row>
    <row r="732" spans="1:11" ht="12.75" customHeight="1" x14ac:dyDescent="0.3">
      <c r="A732" s="414"/>
      <c r="B732" s="415"/>
      <c r="C732" s="415"/>
      <c r="D732" s="450"/>
      <c r="E732" s="415"/>
      <c r="F732" s="415"/>
      <c r="G732" s="415"/>
      <c r="H732" s="415"/>
      <c r="I732" s="396"/>
    </row>
    <row r="733" spans="1:11" ht="59.4" customHeight="1" x14ac:dyDescent="0.3">
      <c r="A733" s="724" t="s">
        <v>114</v>
      </c>
      <c r="B733" s="710"/>
      <c r="C733" s="710"/>
      <c r="D733" s="450"/>
      <c r="E733" s="415"/>
      <c r="F733" s="710" t="s">
        <v>396</v>
      </c>
      <c r="G733" s="710"/>
      <c r="H733" s="710"/>
      <c r="I733" s="711"/>
    </row>
    <row r="734" spans="1:11" ht="12.75" customHeight="1" x14ac:dyDescent="0.3">
      <c r="A734" s="397" t="s">
        <v>111</v>
      </c>
      <c r="B734" s="712"/>
      <c r="C734" s="712"/>
      <c r="D734" s="417"/>
      <c r="E734" s="352"/>
      <c r="F734" s="350" t="s">
        <v>111</v>
      </c>
      <c r="G734" s="712"/>
      <c r="H734" s="712"/>
      <c r="I734" s="713"/>
    </row>
    <row r="735" spans="1:11" ht="12.75" customHeight="1" x14ac:dyDescent="0.3">
      <c r="A735" s="439" t="s">
        <v>115</v>
      </c>
      <c r="B735" s="710" t="s">
        <v>1551</v>
      </c>
      <c r="C735" s="710"/>
      <c r="F735" s="432" t="s">
        <v>112</v>
      </c>
      <c r="G735" s="712"/>
      <c r="H735" s="712"/>
      <c r="I735" s="713"/>
    </row>
    <row r="736" spans="1:11" ht="12.75" customHeight="1" x14ac:dyDescent="0.3">
      <c r="A736" s="439" t="s">
        <v>113</v>
      </c>
      <c r="B736" s="710" t="s">
        <v>1554</v>
      </c>
      <c r="C736" s="710"/>
      <c r="F736" s="432" t="s">
        <v>113</v>
      </c>
      <c r="G736" s="712"/>
      <c r="H736" s="712"/>
      <c r="I736" s="713"/>
    </row>
    <row r="737" spans="1:11" ht="12.75" customHeight="1" x14ac:dyDescent="0.3">
      <c r="A737" s="439"/>
      <c r="B737" s="350"/>
      <c r="C737" s="350"/>
      <c r="F737" s="432"/>
      <c r="G737" s="350"/>
      <c r="H737" s="350"/>
      <c r="I737" s="416"/>
    </row>
    <row r="738" spans="1:11" ht="12.75" customHeight="1" x14ac:dyDescent="0.3">
      <c r="A738" s="714" t="s">
        <v>110</v>
      </c>
      <c r="B738" s="715"/>
      <c r="C738" s="715"/>
      <c r="D738" s="715"/>
      <c r="E738" s="715"/>
      <c r="F738" s="715"/>
      <c r="G738" s="715"/>
      <c r="H738" s="715"/>
      <c r="I738" s="716"/>
    </row>
    <row r="739" spans="1:11" ht="17.399999999999999" customHeight="1" x14ac:dyDescent="0.3">
      <c r="A739" s="729"/>
      <c r="B739" s="730"/>
      <c r="C739" s="730"/>
      <c r="D739" s="730"/>
      <c r="E739" s="730"/>
      <c r="F739" s="730"/>
      <c r="G739" s="730"/>
      <c r="H739" s="730"/>
      <c r="I739" s="731"/>
    </row>
    <row r="740" spans="1:11" ht="17.399999999999999" customHeight="1" x14ac:dyDescent="0.3">
      <c r="A740" s="714"/>
      <c r="B740" s="715"/>
      <c r="C740" s="715"/>
      <c r="D740" s="715"/>
      <c r="E740" s="715"/>
      <c r="F740" s="715"/>
      <c r="G740" s="715"/>
      <c r="H740" s="715"/>
      <c r="I740" s="716"/>
    </row>
    <row r="741" spans="1:11" ht="13.2" customHeight="1" x14ac:dyDescent="0.3">
      <c r="A741" s="725" t="s">
        <v>68</v>
      </c>
      <c r="B741" s="726"/>
      <c r="C741" s="726"/>
      <c r="D741" s="726"/>
      <c r="E741" s="726"/>
      <c r="F741" s="726"/>
      <c r="G741" s="726"/>
      <c r="H741" s="726"/>
      <c r="I741" s="727"/>
    </row>
    <row r="742" spans="1:11" ht="10.5" customHeight="1" x14ac:dyDescent="0.3">
      <c r="A742" s="390" t="s">
        <v>69</v>
      </c>
      <c r="B742" s="420" t="s">
        <v>256</v>
      </c>
      <c r="C742" s="710" t="s">
        <v>70</v>
      </c>
      <c r="D742" s="712" t="str">
        <f>VLOOKUP(B742,'AJUSTE PRESUPUESTO'!$A$18:$I$92,3,FALSE)</f>
        <v>Corte, figuración y colocación de acero 60000 psi</v>
      </c>
      <c r="E742" s="712"/>
      <c r="F742" s="712"/>
      <c r="G742" s="712"/>
      <c r="H742" s="712"/>
      <c r="I742" s="713"/>
    </row>
    <row r="743" spans="1:11" ht="10.5" customHeight="1" x14ac:dyDescent="0.3">
      <c r="A743" s="390" t="s">
        <v>71</v>
      </c>
      <c r="B743" s="391" t="str">
        <f>VLOOKUP(B742,[6]PRESUPUESTO!$A$18:$I$90,2,FALSE)</f>
        <v>641.1-13</v>
      </c>
      <c r="C743" s="710"/>
      <c r="D743" s="355" t="s">
        <v>12</v>
      </c>
      <c r="E743" s="392" t="s">
        <v>123</v>
      </c>
      <c r="F743" s="392" t="s">
        <v>13</v>
      </c>
      <c r="G743" s="392">
        <f>VLOOKUP(B743,[6]PRESUPUESTO!$B$15:$I$1222,5,FALSE)</f>
        <v>2160</v>
      </c>
      <c r="H743" s="393" t="s">
        <v>27</v>
      </c>
      <c r="I743" s="394">
        <f>+I767</f>
        <v>2108</v>
      </c>
    </row>
    <row r="744" spans="1:11" ht="10.5" customHeight="1" x14ac:dyDescent="0.3">
      <c r="A744" s="395" t="s">
        <v>14</v>
      </c>
      <c r="B744" s="386"/>
      <c r="C744" s="352"/>
      <c r="D744" s="417"/>
      <c r="E744" s="352"/>
      <c r="F744" s="352"/>
      <c r="G744" s="352"/>
      <c r="H744" s="352"/>
      <c r="I744" s="396"/>
    </row>
    <row r="745" spans="1:11" ht="10.5" customHeight="1" x14ac:dyDescent="0.3">
      <c r="A745" s="720" t="s">
        <v>19</v>
      </c>
      <c r="B745" s="712"/>
      <c r="C745" s="712"/>
      <c r="D745" s="712"/>
      <c r="E745" s="712"/>
      <c r="F745" s="350" t="s">
        <v>28</v>
      </c>
      <c r="G745" s="350" t="s">
        <v>29</v>
      </c>
      <c r="H745" s="350" t="s">
        <v>30</v>
      </c>
      <c r="I745" s="403"/>
    </row>
    <row r="746" spans="1:11" ht="10.5" customHeight="1" x14ac:dyDescent="0.3">
      <c r="A746" s="397" t="s">
        <v>1</v>
      </c>
      <c r="B746" s="398"/>
      <c r="C746" s="721"/>
      <c r="D746" s="721"/>
      <c r="E746" s="721"/>
      <c r="F746" s="355"/>
      <c r="G746" s="352"/>
      <c r="H746" s="404">
        <f>+F746*G746</f>
        <v>0</v>
      </c>
      <c r="I746" s="403"/>
    </row>
    <row r="747" spans="1:11" ht="10.5" customHeight="1" x14ac:dyDescent="0.3">
      <c r="A747" s="401"/>
      <c r="C747" s="352"/>
      <c r="D747" s="417"/>
      <c r="E747" s="352"/>
      <c r="F747" s="413" t="s">
        <v>32</v>
      </c>
      <c r="G747" s="427" t="str">
        <f>+B742</f>
        <v>3.6</v>
      </c>
      <c r="H747" s="427" t="s">
        <v>339</v>
      </c>
      <c r="I747" s="396">
        <f>SUM(H746:H746)</f>
        <v>0</v>
      </c>
    </row>
    <row r="748" spans="1:11" ht="10.5" customHeight="1" x14ac:dyDescent="0.3">
      <c r="A748" s="395" t="s">
        <v>34</v>
      </c>
      <c r="B748" s="386"/>
      <c r="C748" s="352"/>
      <c r="D748" s="417"/>
      <c r="E748" s="352"/>
      <c r="F748" s="352"/>
      <c r="G748" s="352"/>
      <c r="H748" s="352"/>
      <c r="I748" s="403"/>
    </row>
    <row r="749" spans="1:11" ht="10.5" customHeight="1" x14ac:dyDescent="0.3">
      <c r="A749" s="720" t="s">
        <v>35</v>
      </c>
      <c r="B749" s="712"/>
      <c r="C749" s="712"/>
      <c r="D749" s="712"/>
      <c r="E749" s="350" t="s">
        <v>12</v>
      </c>
      <c r="F749" s="350" t="s">
        <v>36</v>
      </c>
      <c r="G749" s="350" t="s">
        <v>37</v>
      </c>
      <c r="H749" s="350" t="s">
        <v>38</v>
      </c>
      <c r="I749" s="403"/>
    </row>
    <row r="750" spans="1:11" ht="10.5" customHeight="1" x14ac:dyDescent="0.3">
      <c r="A750" s="397" t="s">
        <v>523</v>
      </c>
      <c r="B750" s="398" t="s">
        <v>134</v>
      </c>
      <c r="C750" s="721" t="str">
        <f>IF($A750="EQUI",VLOOKUP($B750,EQUI!B$16:G$35,2,FALSE),IF($A750="TRAN",VLOOKUP($B750,TRAN!$B$16:$G$26,2,FALSE),IF($A750="MAT1",VLOOKUP($B750,'MAT1'!$B$16:$G$43,2,FALSE),IF($A750="MAT2",VLOOKUP($B750,'MAT2'!$B$16:$G$65,2,FALSE),IF($A750="MDEO",VLOOKUP($B750,MDEO!$B$16:$P$27,2,FALSE))))))</f>
        <v>Acero  60000 psi</v>
      </c>
      <c r="D750" s="721"/>
      <c r="E750" s="355" t="str">
        <f>IF($A750="EQUI",VLOOKUP($B750,EQUI!B$16:G$35,3,FALSE),IF($A750="TRAN",VLOOKUP($B750,TRAN!$B$16:$G$26,3,FALSE),IF($A750="MAT1",VLOOKUP($B750,'MAT1'!$B$16:$G$43,3,FALSE),IF($A750="MAT2",VLOOKUP($B750,'MAT2'!$B$16:$G$55,3,FALSE),IF($A750="MDEO",VLOOKUP($B750,MDEO!$B$16:$P$27,3,FALSE))))))</f>
        <v>KG</v>
      </c>
      <c r="F750" s="355">
        <f>IF($A750="EQUI",VLOOKUP($B750,EQUI!B$16:G$35,4,FALSE),IF($A750="TRAN",VLOOKUP($B750,TRAN!$B$16:$G$26,4,FALSE),IF($A750="MAT1",VLOOKUP($B750,'MAT1'!$B$16:$G$43,4,FALSE),IF($A750="MAT2",VLOOKUP($B750,'MAT2'!$B$16:$G$53,4,FALSE),IF($A750="MDEO",VLOOKUP($B750,MDEO!$B$16:$P$27,4,FALSE))))))</f>
        <v>6913</v>
      </c>
      <c r="G750" s="404">
        <v>1</v>
      </c>
      <c r="H750" s="404"/>
      <c r="I750" s="403"/>
      <c r="K750" s="441">
        <f>+G750*G743</f>
        <v>2160</v>
      </c>
    </row>
    <row r="751" spans="1:11" ht="10.5" customHeight="1" x14ac:dyDescent="0.3">
      <c r="A751" s="397" t="s">
        <v>523</v>
      </c>
      <c r="B751" s="398" t="s">
        <v>41</v>
      </c>
      <c r="C751" s="721" t="str">
        <f>IF($A751="EQUI",VLOOKUP($B751,EQUI!B$16:G$35,2,FALSE),IF($A751="TRAN",VLOOKUP($B751,TRAN!$B$16:$G$26,2,FALSE),IF($A751="MAT1",VLOOKUP($B751,'MAT1'!$B$16:$G$43,2,FALSE),IF($A751="MAT2",VLOOKUP($B751,'MAT2'!$B$16:$G$65,2,FALSE),IF($A751="MDEO",VLOOKUP($B751,MDEO!$B$16:$P$27,2,FALSE))))))</f>
        <v>Alambre quemado</v>
      </c>
      <c r="D751" s="721"/>
      <c r="E751" s="355" t="str">
        <f>IF($A751="EQUI",VLOOKUP($B751,EQUI!B$16:G$35,3,FALSE),IF($A751="TRAN",VLOOKUP($B751,TRAN!$B$16:$G$26,3,FALSE),IF($A751="MAT1",VLOOKUP($B751,'MAT1'!$B$16:$G$43,3,FALSE),IF($A751="MAT2",VLOOKUP($B751,'MAT2'!$B$16:$G$55,3,FALSE),IF($A751="MDEO",VLOOKUP($B751,MDEO!$B$16:$P$27,3,FALSE))))))</f>
        <v>KG</v>
      </c>
      <c r="F751" s="355">
        <f>IF($A751="EQUI",VLOOKUP($B751,EQUI!B$16:G$35,4,FALSE),IF($A751="TRAN",VLOOKUP($B751,TRAN!$B$16:$G$26,4,FALSE),IF($A751="MAT1",VLOOKUP($B751,'MAT1'!$B$16:$G$43,4,FALSE),IF($A751="MAT2",VLOOKUP($B751,'MAT2'!$B$16:$G$53,4,FALSE),IF($A751="MDEO",VLOOKUP($B751,MDEO!$B$16:$P$27,4,FALSE))))))</f>
        <v>8321</v>
      </c>
      <c r="G751" s="404">
        <f>0.04*G750</f>
        <v>0.04</v>
      </c>
      <c r="H751" s="404">
        <f>+F751*G751</f>
        <v>332.84000000000003</v>
      </c>
      <c r="I751" s="403"/>
    </row>
    <row r="752" spans="1:11" ht="10.5" customHeight="1" x14ac:dyDescent="0.3">
      <c r="A752" s="401"/>
      <c r="C752" s="352"/>
      <c r="D752" s="417"/>
      <c r="E752" s="352"/>
      <c r="F752" s="413" t="s">
        <v>32</v>
      </c>
      <c r="G752" s="427" t="str">
        <f>+B742</f>
        <v>3.6</v>
      </c>
      <c r="H752" s="402" t="s">
        <v>340</v>
      </c>
      <c r="I752" s="396">
        <f>SUM(H750:H751)</f>
        <v>332.84000000000003</v>
      </c>
    </row>
    <row r="753" spans="1:9" ht="10.5" customHeight="1" x14ac:dyDescent="0.3">
      <c r="A753" s="395" t="s">
        <v>15</v>
      </c>
      <c r="B753" s="386"/>
      <c r="C753" s="352"/>
      <c r="D753" s="417"/>
      <c r="E753" s="352"/>
      <c r="F753" s="352"/>
      <c r="G753" s="352"/>
      <c r="H753" s="352"/>
      <c r="I753" s="403"/>
    </row>
    <row r="754" spans="1:9" ht="10.5" customHeight="1" x14ac:dyDescent="0.3">
      <c r="A754" s="720" t="s">
        <v>19</v>
      </c>
      <c r="B754" s="712"/>
      <c r="C754" s="712"/>
      <c r="D754" s="355" t="s">
        <v>43</v>
      </c>
      <c r="E754" s="350" t="s">
        <v>44</v>
      </c>
      <c r="F754" s="355" t="s">
        <v>45</v>
      </c>
      <c r="G754" s="350" t="s">
        <v>17</v>
      </c>
      <c r="H754" s="350" t="s">
        <v>30</v>
      </c>
      <c r="I754" s="403"/>
    </row>
    <row r="755" spans="1:9" ht="10.5" customHeight="1" x14ac:dyDescent="0.3">
      <c r="A755" s="405" t="s">
        <v>3</v>
      </c>
      <c r="B755" s="398" t="s">
        <v>166</v>
      </c>
      <c r="C755" s="417"/>
      <c r="D755" s="355"/>
      <c r="E755" s="355"/>
      <c r="F755" s="355"/>
      <c r="G755" s="350"/>
      <c r="H755" s="404"/>
      <c r="I755" s="403"/>
    </row>
    <row r="756" spans="1:9" ht="10.5" customHeight="1" x14ac:dyDescent="0.3">
      <c r="A756" s="405" t="s">
        <v>3</v>
      </c>
      <c r="B756" s="398" t="s">
        <v>171</v>
      </c>
      <c r="C756" s="417"/>
      <c r="D756" s="355"/>
      <c r="E756" s="355"/>
      <c r="F756" s="355"/>
      <c r="G756" s="350"/>
      <c r="H756" s="404"/>
      <c r="I756" s="403"/>
    </row>
    <row r="757" spans="1:9" ht="10.5" customHeight="1" x14ac:dyDescent="0.3">
      <c r="A757" s="405" t="s">
        <v>3</v>
      </c>
      <c r="B757" s="398" t="s">
        <v>164</v>
      </c>
      <c r="C757" s="417"/>
      <c r="D757" s="355"/>
      <c r="E757" s="355"/>
      <c r="F757" s="355"/>
      <c r="G757" s="350"/>
      <c r="H757" s="404"/>
      <c r="I757" s="403"/>
    </row>
    <row r="758" spans="1:9" ht="10.5" customHeight="1" x14ac:dyDescent="0.3">
      <c r="A758" s="401"/>
      <c r="C758" s="352"/>
      <c r="D758" s="417"/>
      <c r="E758" s="352"/>
      <c r="F758" s="413" t="s">
        <v>32</v>
      </c>
      <c r="G758" s="427" t="str">
        <f>+B742</f>
        <v>3.6</v>
      </c>
      <c r="H758" s="402" t="s">
        <v>341</v>
      </c>
      <c r="I758" s="396">
        <f>SUM(H755:H757)</f>
        <v>0</v>
      </c>
    </row>
    <row r="759" spans="1:9" ht="12.75" customHeight="1" x14ac:dyDescent="0.3">
      <c r="A759" s="395" t="s">
        <v>1107</v>
      </c>
      <c r="B759" s="386"/>
      <c r="C759" s="352"/>
      <c r="D759" s="417"/>
      <c r="E759" s="352"/>
      <c r="F759" s="352"/>
      <c r="G759" s="352"/>
      <c r="H759" s="352"/>
      <c r="I759" s="403"/>
    </row>
    <row r="760" spans="1:9" ht="10.5" customHeight="1" x14ac:dyDescent="0.3">
      <c r="A760" s="722" t="s">
        <v>18</v>
      </c>
      <c r="B760" s="723"/>
      <c r="C760" s="723"/>
      <c r="D760" s="355" t="s">
        <v>48</v>
      </c>
      <c r="E760" s="355" t="s">
        <v>109</v>
      </c>
      <c r="F760" s="380" t="s">
        <v>250</v>
      </c>
      <c r="G760" s="380" t="s">
        <v>251</v>
      </c>
      <c r="H760" s="355" t="s">
        <v>252</v>
      </c>
      <c r="I760" s="407"/>
    </row>
    <row r="761" spans="1:9" ht="10.5" customHeight="1" x14ac:dyDescent="0.3">
      <c r="A761" s="405" t="s">
        <v>4</v>
      </c>
      <c r="B761" s="408" t="s">
        <v>175</v>
      </c>
      <c r="C761" s="409" t="str">
        <f>IF($A751="EQUI",VLOOKUP($A$688,EQUI!B$16:G$35,2,FALSE),IF($A761="TRAN",VLOOKUP($B751,TRAN!$B$16:$G$26,2,FALSE),IF($A761="MAT1",VLOOKUP($B761,'MAT1'!$B$16:$G$43,2,FALSE),IF($A761="MAT2",VLOOKUP($B761,'MAT2'!$B$16:$G$55,2,FALSE),IF($A761="MDEO",VLOOKUP($B761,MDEO!$B$16:$P$27,2,FALSE))))))</f>
        <v xml:space="preserve">oficial </v>
      </c>
      <c r="D761" s="449">
        <f>IF($A761="EQUI",VLOOKUP($B761,EQUI!B$16:G$35,3,FALSE),IF($A761="TRAN",VLOOKUP($B761,TRAN!$B$16:$G$26,3,FALSE),IF($A761="MAT",VLOOKUP($B761,'MAT1'!$B$16:$G$43,3,FALSE),IF($A761="MDEO",VLOOKUP($B761,MDEO!$B$16:$P$33,10,FALSE)))))</f>
        <v>12336.644836388892</v>
      </c>
      <c r="E761" s="410">
        <f>IF($A761="EQUI",VLOOKUP($B761,[6]EQUI!B$16:G$46,4,FALSE),IF($A761="TRAN",VLOOKUP($B761,[6]TRAN!$B$16:$G$26,4,FALSE),IF($A761="MAT",VLOOKUP($B761,[6]MAT!$B$16:$G$83,4,FALSE),IF($A761="MDEO",VLOOKUP($B761,[6]MDEO!$B$16:$I$21,4,FALSE)))))</f>
        <v>0</v>
      </c>
      <c r="F761" s="438">
        <f>+D761+D761*E761</f>
        <v>12336.644836388892</v>
      </c>
      <c r="G761" s="412">
        <v>0.05</v>
      </c>
      <c r="H761" s="411">
        <f>G761*F761</f>
        <v>616.83224181944468</v>
      </c>
      <c r="I761" s="403"/>
    </row>
    <row r="762" spans="1:9" ht="10.5" customHeight="1" x14ac:dyDescent="0.3">
      <c r="A762" s="405" t="s">
        <v>4</v>
      </c>
      <c r="B762" s="408" t="s">
        <v>176</v>
      </c>
      <c r="C762" s="409" t="str">
        <f>IF($A752="EQUI",VLOOKUP($A$688,EQUI!B$16:G$35,2,FALSE),IF($A762="TRAN",VLOOKUP($B752,TRAN!$B$16:$G$26,2,FALSE),IF($A762="MAT1",VLOOKUP($B762,'MAT1'!$B$16:$G$43,2,FALSE),IF($A762="MAT2",VLOOKUP($B762,'MAT2'!$B$16:$G$55,2,FALSE),IF($A762="MDEO",VLOOKUP($B762,MDEO!$B$16:$P$27,2,FALSE))))))</f>
        <v xml:space="preserve">ayudante entendido </v>
      </c>
      <c r="D762" s="449">
        <f>IF($A762="EQUI",VLOOKUP($B762,EQUI!B$16:G$35,3,FALSE),IF($A762="TRAN",VLOOKUP($B762,TRAN!$B$16:$G$26,3,FALSE),IF($A762="MAT",VLOOKUP($B762,'MAT1'!$B$16:$G$43,3,FALSE),IF($A762="MDEO",VLOOKUP($B762,MDEO!$B$16:$P$33,10,FALSE)))))</f>
        <v>11136.644836388892</v>
      </c>
      <c r="E762" s="410">
        <f>IF($A762="EQUI",VLOOKUP($B762,[6]EQUI!B$16:G$46,4,FALSE),IF($A762="TRAN",VLOOKUP($B762,[6]TRAN!$B$16:$G$26,4,FALSE),IF($A762="MAT",VLOOKUP($B762,[6]MAT!$B$16:$G$83,4,FALSE),IF($A762="MDEO",VLOOKUP($B762,[6]MDEO!$B$16:$I$21,4,FALSE)))))</f>
        <v>0</v>
      </c>
      <c r="F762" s="438">
        <f>+D762+D762*E762</f>
        <v>11136.644836388892</v>
      </c>
      <c r="G762" s="412">
        <v>0.05</v>
      </c>
      <c r="H762" s="411">
        <f>G762*F762</f>
        <v>556.83224181944468</v>
      </c>
      <c r="I762" s="403"/>
    </row>
    <row r="763" spans="1:9" ht="10.5" customHeight="1" x14ac:dyDescent="0.3">
      <c r="A763" s="405" t="s">
        <v>4</v>
      </c>
      <c r="B763" s="408" t="s">
        <v>177</v>
      </c>
      <c r="C763" s="409" t="str">
        <f>IF($A753="EQUI",VLOOKUP($A$688,EQUI!B$16:G$35,2,FALSE),IF($A763="TRAN",VLOOKUP($B753,TRAN!$B$16:$G$26,2,FALSE),IF($A763="MAT1",VLOOKUP($B763,'MAT1'!$B$16:$G$43,2,FALSE),IF($A763="MAT2",VLOOKUP($B763,'MAT2'!$B$16:$G$55,2,FALSE),IF($A763="MDEO",VLOOKUP($B763,MDEO!$B$16:$P$27,2,FALSE))))))</f>
        <v xml:space="preserve">ayudante </v>
      </c>
      <c r="D763" s="449">
        <f>IF($A763="EQUI",VLOOKUP($B763,EQUI!B$16:G$35,3,FALSE),IF($A763="TRAN",VLOOKUP($B763,TRAN!$B$16:$G$26,3,FALSE),IF($A763="MAT",VLOOKUP($B763,'MAT1'!$B$16:$G$43,3,FALSE),IF($A763="MDEO",VLOOKUP($B763,MDEO!$B$16:$P$33,10,FALSE)))))</f>
        <v>10336.644836388892</v>
      </c>
      <c r="E763" s="410">
        <f>IF($A763="EQUI",VLOOKUP($B763,[6]EQUI!B$16:G$46,4,FALSE),IF($A763="TRAN",VLOOKUP($B763,[6]TRAN!$B$16:$G$26,4,FALSE),IF($A763="MAT",VLOOKUP($B763,[6]MAT!$B$16:$G$83,4,FALSE),IF($A763="MDEO",VLOOKUP($B763,[6]MDEO!$B$16:$I$21,4,FALSE)))))</f>
        <v>0</v>
      </c>
      <c r="F763" s="438">
        <f>+D763+D763*E763</f>
        <v>10336.644836388892</v>
      </c>
      <c r="G763" s="412">
        <v>0.05</v>
      </c>
      <c r="H763" s="411">
        <f>G763*F763</f>
        <v>516.83224181944468</v>
      </c>
      <c r="I763" s="403"/>
    </row>
    <row r="764" spans="1:9" ht="10.5" customHeight="1" x14ac:dyDescent="0.3">
      <c r="A764" s="720"/>
      <c r="B764" s="712"/>
      <c r="C764" s="352"/>
      <c r="D764" s="417"/>
      <c r="E764" s="352"/>
      <c r="F764" s="352"/>
      <c r="G764" s="352"/>
      <c r="H764" s="352"/>
      <c r="I764" s="403"/>
    </row>
    <row r="765" spans="1:9" ht="10.5" customHeight="1" x14ac:dyDescent="0.3">
      <c r="A765" s="401"/>
      <c r="C765" s="352"/>
      <c r="D765" s="417"/>
      <c r="E765" s="352"/>
      <c r="F765" s="413" t="s">
        <v>32</v>
      </c>
      <c r="G765" s="427" t="str">
        <f>+B742</f>
        <v>3.6</v>
      </c>
      <c r="H765" s="413" t="s">
        <v>342</v>
      </c>
      <c r="I765" s="396">
        <f>SUM(H761:H764)</f>
        <v>1690.4967254583339</v>
      </c>
    </row>
    <row r="766" spans="1:9" ht="10.5" customHeight="1" x14ac:dyDescent="0.3">
      <c r="A766" s="401" t="s">
        <v>54</v>
      </c>
      <c r="C766" s="352"/>
      <c r="D766" s="417"/>
      <c r="E766" s="352"/>
      <c r="F766" s="352"/>
      <c r="G766" s="352"/>
      <c r="H766" s="350"/>
      <c r="I766" s="396">
        <f>I765*0.05</f>
        <v>84.524836272916701</v>
      </c>
    </row>
    <row r="767" spans="1:9" ht="10.5" customHeight="1" x14ac:dyDescent="0.3">
      <c r="A767" s="401"/>
      <c r="C767" s="352"/>
      <c r="D767" s="417"/>
      <c r="E767" s="352"/>
      <c r="F767" s="413" t="s">
        <v>55</v>
      </c>
      <c r="G767" s="350"/>
      <c r="H767" s="350"/>
      <c r="I767" s="396">
        <f>ROUND(I765+I766+I752+I747+I758,0)</f>
        <v>2108</v>
      </c>
    </row>
    <row r="768" spans="1:9" ht="10.5" customHeight="1" x14ac:dyDescent="0.3">
      <c r="A768" s="401"/>
      <c r="C768" s="352"/>
      <c r="D768" s="417"/>
      <c r="E768" s="352"/>
      <c r="F768" s="413"/>
      <c r="G768" s="350"/>
      <c r="H768" s="350"/>
      <c r="I768" s="396"/>
    </row>
    <row r="769" spans="1:9" ht="10.5" customHeight="1" x14ac:dyDescent="0.3">
      <c r="A769" s="401"/>
      <c r="C769" s="352"/>
      <c r="D769" s="417"/>
      <c r="E769" s="352"/>
      <c r="F769" s="413"/>
      <c r="G769" s="350"/>
      <c r="H769" s="350"/>
      <c r="I769" s="396"/>
    </row>
    <row r="770" spans="1:9" ht="10.5" customHeight="1" x14ac:dyDescent="0.3">
      <c r="A770" s="401"/>
      <c r="C770" s="352"/>
      <c r="D770" s="417"/>
      <c r="E770" s="352"/>
      <c r="F770" s="413"/>
      <c r="G770" s="350"/>
      <c r="H770" s="350"/>
      <c r="I770" s="396"/>
    </row>
    <row r="771" spans="1:9" ht="10.5" customHeight="1" x14ac:dyDescent="0.3">
      <c r="A771" s="401"/>
      <c r="C771" s="352"/>
      <c r="D771" s="417"/>
      <c r="E771" s="352"/>
      <c r="F771" s="413"/>
      <c r="G771" s="350"/>
      <c r="H771" s="350"/>
      <c r="I771" s="396"/>
    </row>
    <row r="772" spans="1:9" ht="10.5" customHeight="1" x14ac:dyDescent="0.3">
      <c r="A772" s="401"/>
      <c r="C772" s="352"/>
      <c r="D772" s="417"/>
      <c r="E772" s="352"/>
      <c r="F772" s="413"/>
      <c r="G772" s="350"/>
      <c r="H772" s="350"/>
      <c r="I772" s="396"/>
    </row>
    <row r="773" spans="1:9" ht="10.5" customHeight="1" x14ac:dyDescent="0.3">
      <c r="A773" s="401"/>
      <c r="C773" s="352"/>
      <c r="D773" s="417"/>
      <c r="E773" s="352"/>
      <c r="F773" s="413"/>
      <c r="G773" s="350"/>
      <c r="H773" s="350"/>
      <c r="I773" s="396"/>
    </row>
    <row r="774" spans="1:9" ht="10.5" customHeight="1" x14ac:dyDescent="0.3">
      <c r="A774" s="414"/>
      <c r="B774" s="415"/>
      <c r="C774" s="415"/>
      <c r="D774" s="450"/>
      <c r="E774" s="415"/>
      <c r="F774" s="415"/>
      <c r="G774" s="415"/>
      <c r="H774" s="415"/>
      <c r="I774" s="396"/>
    </row>
    <row r="775" spans="1:9" ht="59.4" customHeight="1" x14ac:dyDescent="0.3">
      <c r="A775" s="724" t="s">
        <v>114</v>
      </c>
      <c r="B775" s="710"/>
      <c r="C775" s="710"/>
      <c r="D775" s="450"/>
      <c r="E775" s="415"/>
      <c r="F775" s="710" t="s">
        <v>396</v>
      </c>
      <c r="G775" s="710"/>
      <c r="H775" s="710"/>
      <c r="I775" s="711"/>
    </row>
    <row r="776" spans="1:9" ht="12.75" customHeight="1" x14ac:dyDescent="0.3">
      <c r="A776" s="397" t="s">
        <v>111</v>
      </c>
      <c r="B776" s="712"/>
      <c r="C776" s="712"/>
      <c r="D776" s="417"/>
      <c r="E776" s="352"/>
      <c r="F776" s="350" t="s">
        <v>111</v>
      </c>
      <c r="G776" s="712"/>
      <c r="H776" s="712"/>
      <c r="I776" s="713"/>
    </row>
    <row r="777" spans="1:9" ht="12.75" customHeight="1" x14ac:dyDescent="0.3">
      <c r="A777" s="439" t="s">
        <v>115</v>
      </c>
      <c r="B777" s="710" t="s">
        <v>1551</v>
      </c>
      <c r="C777" s="710"/>
      <c r="F777" s="432" t="s">
        <v>112</v>
      </c>
      <c r="G777" s="712"/>
      <c r="H777" s="712"/>
      <c r="I777" s="713"/>
    </row>
    <row r="778" spans="1:9" ht="12.75" customHeight="1" x14ac:dyDescent="0.3">
      <c r="A778" s="439" t="s">
        <v>113</v>
      </c>
      <c r="B778" s="710" t="s">
        <v>1554</v>
      </c>
      <c r="C778" s="710"/>
      <c r="F778" s="432" t="s">
        <v>113</v>
      </c>
      <c r="G778" s="712"/>
      <c r="H778" s="712"/>
      <c r="I778" s="713"/>
    </row>
    <row r="779" spans="1:9" ht="12.75" customHeight="1" x14ac:dyDescent="0.3">
      <c r="A779" s="439"/>
      <c r="B779" s="350"/>
      <c r="C779" s="350"/>
      <c r="F779" s="432"/>
      <c r="G779" s="350"/>
      <c r="H779" s="350"/>
      <c r="I779" s="416"/>
    </row>
    <row r="780" spans="1:9" ht="12.75" customHeight="1" x14ac:dyDescent="0.3">
      <c r="A780" s="714" t="s">
        <v>110</v>
      </c>
      <c r="B780" s="715"/>
      <c r="C780" s="715"/>
      <c r="D780" s="715"/>
      <c r="E780" s="715"/>
      <c r="F780" s="715"/>
      <c r="G780" s="715"/>
      <c r="H780" s="715"/>
      <c r="I780" s="716"/>
    </row>
    <row r="781" spans="1:9" ht="21" customHeight="1" x14ac:dyDescent="0.3">
      <c r="A781" s="729"/>
      <c r="B781" s="730"/>
      <c r="C781" s="730"/>
      <c r="D781" s="730"/>
      <c r="E781" s="730"/>
      <c r="F781" s="730"/>
      <c r="G781" s="730"/>
      <c r="H781" s="730"/>
      <c r="I781" s="731"/>
    </row>
    <row r="782" spans="1:9" ht="21" customHeight="1" x14ac:dyDescent="0.3">
      <c r="A782" s="714"/>
      <c r="B782" s="715"/>
      <c r="C782" s="715"/>
      <c r="D782" s="715"/>
      <c r="E782" s="715"/>
      <c r="F782" s="715"/>
      <c r="G782" s="715"/>
      <c r="H782" s="715"/>
      <c r="I782" s="716"/>
    </row>
    <row r="783" spans="1:9" ht="12.75" customHeight="1" x14ac:dyDescent="0.3">
      <c r="A783" s="725" t="s">
        <v>68</v>
      </c>
      <c r="B783" s="726"/>
      <c r="C783" s="726"/>
      <c r="D783" s="726"/>
      <c r="E783" s="726"/>
      <c r="F783" s="726"/>
      <c r="G783" s="726"/>
      <c r="H783" s="726"/>
      <c r="I783" s="727"/>
    </row>
    <row r="784" spans="1:9" ht="18" customHeight="1" x14ac:dyDescent="0.3">
      <c r="A784" s="390" t="s">
        <v>69</v>
      </c>
      <c r="B784" s="420" t="s">
        <v>258</v>
      </c>
      <c r="C784" s="710" t="s">
        <v>70</v>
      </c>
      <c r="D784" s="723" t="str">
        <f>VLOOKUP(B784,'AJUSTE PRESUPUESTO'!$A$18:$I$97,3,FALSE)</f>
        <v>Inducción de junta transversal y longitudinal con acerrado mecánico</v>
      </c>
      <c r="E784" s="723"/>
      <c r="F784" s="723"/>
      <c r="G784" s="723"/>
      <c r="H784" s="723"/>
      <c r="I784" s="728"/>
    </row>
    <row r="785" spans="1:11" ht="14.1" customHeight="1" x14ac:dyDescent="0.3">
      <c r="A785" s="390" t="s">
        <v>71</v>
      </c>
      <c r="B785" s="42" t="s">
        <v>248</v>
      </c>
      <c r="C785" s="710"/>
      <c r="D785" s="355" t="s">
        <v>12</v>
      </c>
      <c r="E785" s="392" t="s">
        <v>129</v>
      </c>
      <c r="F785" s="392" t="s">
        <v>13</v>
      </c>
      <c r="G785" s="392"/>
      <c r="H785" s="393" t="s">
        <v>27</v>
      </c>
      <c r="I785" s="394">
        <f>+I805</f>
        <v>20051</v>
      </c>
    </row>
    <row r="786" spans="1:11" ht="12.75" customHeight="1" x14ac:dyDescent="0.3">
      <c r="A786" s="395" t="s">
        <v>14</v>
      </c>
      <c r="B786" s="386"/>
      <c r="C786" s="352"/>
      <c r="D786" s="417"/>
      <c r="E786" s="352"/>
      <c r="F786" s="352"/>
      <c r="G786" s="352"/>
      <c r="H786" s="352"/>
      <c r="I786" s="396"/>
    </row>
    <row r="787" spans="1:11" ht="12.75" customHeight="1" x14ac:dyDescent="0.3">
      <c r="A787" s="720" t="s">
        <v>19</v>
      </c>
      <c r="B787" s="712"/>
      <c r="C787" s="712"/>
      <c r="D787" s="712"/>
      <c r="E787" s="712"/>
      <c r="F787" s="350" t="s">
        <v>520</v>
      </c>
      <c r="G787" s="350" t="s">
        <v>29</v>
      </c>
      <c r="H787" s="350" t="s">
        <v>30</v>
      </c>
      <c r="I787" s="403"/>
    </row>
    <row r="788" spans="1:11" ht="12.75" customHeight="1" x14ac:dyDescent="0.3">
      <c r="A788" s="397" t="s">
        <v>1</v>
      </c>
      <c r="B788" s="398" t="s">
        <v>78</v>
      </c>
      <c r="C788" s="721" t="str">
        <f>IF($A788="EQUI",VLOOKUP($B788,EQUI!B$16:G$145,2,FALSE),IF($A788="TRAN",VLOOKUP($B788,[6]TRAN!$B$16:$G$26,2,FALSE),IF(A788="MAT",VLOOKUP($B788,[6]MAT!$B$16:$G$83,2,FALSE),IF(A788="MDEO",VLOOKUP($B788,[6]MDEO!$B$16:$I$21,2,FALSE)))))</f>
        <v>Cortadora de pavimento</v>
      </c>
      <c r="D788" s="721"/>
      <c r="E788" s="721"/>
      <c r="F788" s="355">
        <f>IF($A788="EQUI",VLOOKUP($B788,EQUI!B$16:G$145,4,FALSE),IF($A788="TRAN",VLOOKUP($B788,TRAN!$B$16:$G$26,4,FALSE),IF($A788="MAT",VLOOKUP($B788,[7]MAT!$B$16:$G$83,4,FALSE),IF($A788="MDEO",VLOOKUP($B788,MDEO!$B$16:$I$21,4,FALSE)))))</f>
        <v>7500</v>
      </c>
      <c r="G788" s="399">
        <f>1/40*8</f>
        <v>0.2</v>
      </c>
      <c r="H788" s="404">
        <f t="shared" ref="H788" si="3">+F788*G788</f>
        <v>1500</v>
      </c>
      <c r="I788" s="403"/>
      <c r="J788" s="445"/>
    </row>
    <row r="789" spans="1:11" ht="12.75" customHeight="1" x14ac:dyDescent="0.3">
      <c r="A789" s="401"/>
      <c r="C789" s="352"/>
      <c r="D789" s="417"/>
      <c r="E789" s="352"/>
      <c r="F789" s="413" t="s">
        <v>32</v>
      </c>
      <c r="G789" s="402" t="str">
        <f>+B784</f>
        <v>3.7</v>
      </c>
      <c r="H789" s="402" t="s">
        <v>1235</v>
      </c>
      <c r="I789" s="396">
        <f>SUM(H788:H788)</f>
        <v>1500</v>
      </c>
      <c r="K789" s="431">
        <f>+I789*G785</f>
        <v>0</v>
      </c>
    </row>
    <row r="790" spans="1:11" ht="12.75" customHeight="1" x14ac:dyDescent="0.3">
      <c r="A790" s="395" t="s">
        <v>34</v>
      </c>
      <c r="B790" s="386"/>
      <c r="C790" s="352"/>
      <c r="D790" s="417"/>
      <c r="E790" s="352"/>
      <c r="F790" s="352"/>
      <c r="G790" s="352"/>
      <c r="H790" s="352"/>
      <c r="I790" s="403"/>
    </row>
    <row r="791" spans="1:11" ht="12.75" customHeight="1" x14ac:dyDescent="0.3">
      <c r="A791" s="720" t="s">
        <v>35</v>
      </c>
      <c r="B791" s="712"/>
      <c r="C791" s="712"/>
      <c r="D791" s="712"/>
      <c r="E791" s="350" t="s">
        <v>12</v>
      </c>
      <c r="F791" s="350" t="s">
        <v>36</v>
      </c>
      <c r="G791" s="350" t="s">
        <v>37</v>
      </c>
      <c r="H791" s="350" t="s">
        <v>38</v>
      </c>
      <c r="I791" s="403"/>
    </row>
    <row r="792" spans="1:11" ht="11.1" customHeight="1" x14ac:dyDescent="0.3">
      <c r="A792" s="397" t="s">
        <v>522</v>
      </c>
      <c r="B792" s="398" t="s">
        <v>1410</v>
      </c>
      <c r="C792" s="721" t="str">
        <f>IF($A792="EQUI",VLOOKUP($B792,EQUI!B$16:G$35,2,FALSE),IF($A792="TRAN",VLOOKUP($B792,TRAN!$B$16:$G$26,2,FALSE),IF($A792="MAT1",VLOOKUP($B792,'MAT1'!$B$16:$G$473,2,FALSE),IF($A792="MAT2",VLOOKUP($B792,'MAT2'!$B$16:$G$65,2,FALSE),IF($A792="MDEO",VLOOKUP($B792,MDEO!$B$16:$P$27,2,FALSE))))))</f>
        <v>Disco de corte diamantado Duro</v>
      </c>
      <c r="D792" s="721"/>
      <c r="E792" s="355" t="s">
        <v>105</v>
      </c>
      <c r="F792" s="355">
        <v>380000</v>
      </c>
      <c r="G792" s="399">
        <v>2.1000000000000001E-2</v>
      </c>
      <c r="H792" s="423">
        <f t="shared" ref="H792:H793" si="4">+F792*G792</f>
        <v>7980.0000000000009</v>
      </c>
      <c r="I792" s="424"/>
      <c r="J792" s="445"/>
    </row>
    <row r="793" spans="1:11" ht="11.1" customHeight="1" x14ac:dyDescent="0.3">
      <c r="A793" s="397" t="s">
        <v>522</v>
      </c>
      <c r="B793" s="398" t="s">
        <v>1411</v>
      </c>
      <c r="C793" s="721" t="str">
        <f>IF($A793="EQUI",VLOOKUP($B793,EQUI!B$16:G$35,2,FALSE),IF($A793="TRAN",VLOOKUP($B793,TRAN!$B$16:$G$26,2,FALSE),IF($A793="MAT1",VLOOKUP($B793,'MAT1'!$B$16:$G$473,2,FALSE),IF($A793="MAT2",VLOOKUP($B793,'MAT2'!$B$16:$G$65,2,FALSE),IF($A793="MDEO",VLOOKUP($B793,MDEO!$B$16:$P$27,2,FALSE))))))</f>
        <v>Disco de corte diamantado Blando</v>
      </c>
      <c r="D793" s="721"/>
      <c r="E793" s="355" t="s">
        <v>105</v>
      </c>
      <c r="F793" s="355">
        <v>380000</v>
      </c>
      <c r="G793" s="399">
        <v>2.1000000000000001E-2</v>
      </c>
      <c r="H793" s="423">
        <f t="shared" si="4"/>
        <v>7980.0000000000009</v>
      </c>
      <c r="I793" s="424"/>
      <c r="J793" s="445"/>
    </row>
    <row r="794" spans="1:11" ht="11.1" customHeight="1" x14ac:dyDescent="0.3">
      <c r="A794" s="397"/>
      <c r="B794" s="398"/>
      <c r="C794" s="419"/>
      <c r="D794" s="419"/>
      <c r="E794" s="355"/>
      <c r="F794" s="355"/>
      <c r="G794" s="399"/>
      <c r="H794" s="423"/>
      <c r="I794" s="424"/>
      <c r="J794" s="445"/>
    </row>
    <row r="795" spans="1:11" ht="12.75" customHeight="1" x14ac:dyDescent="0.3">
      <c r="A795" s="401"/>
      <c r="C795" s="352"/>
      <c r="D795" s="417"/>
      <c r="E795" s="352"/>
      <c r="F795" s="413" t="s">
        <v>32</v>
      </c>
      <c r="G795" s="402" t="str">
        <f>+B784</f>
        <v>3.7</v>
      </c>
      <c r="H795" s="425" t="s">
        <v>1236</v>
      </c>
      <c r="I795" s="424">
        <f>+H792+H793</f>
        <v>15960.000000000002</v>
      </c>
      <c r="K795" s="431">
        <f>+I795*G785</f>
        <v>0</v>
      </c>
    </row>
    <row r="796" spans="1:11" ht="12.75" customHeight="1" x14ac:dyDescent="0.3">
      <c r="A796" s="395" t="s">
        <v>15</v>
      </c>
      <c r="B796" s="386"/>
      <c r="C796" s="352"/>
      <c r="D796" s="417"/>
      <c r="E796" s="352"/>
      <c r="F796" s="352"/>
      <c r="G796" s="352"/>
      <c r="H796" s="352"/>
      <c r="I796" s="403"/>
    </row>
    <row r="797" spans="1:11" ht="12.75" customHeight="1" x14ac:dyDescent="0.3">
      <c r="A797" s="720" t="s">
        <v>19</v>
      </c>
      <c r="B797" s="712"/>
      <c r="C797" s="712"/>
      <c r="D797" s="355" t="s">
        <v>43</v>
      </c>
      <c r="E797" s="350" t="s">
        <v>44</v>
      </c>
      <c r="F797" s="355" t="s">
        <v>45</v>
      </c>
      <c r="G797" s="350" t="s">
        <v>17</v>
      </c>
      <c r="H797" s="350" t="s">
        <v>30</v>
      </c>
      <c r="I797" s="403"/>
    </row>
    <row r="798" spans="1:11" ht="12.75" customHeight="1" x14ac:dyDescent="0.3">
      <c r="A798" s="405"/>
      <c r="B798" s="398"/>
      <c r="C798" s="417"/>
      <c r="D798" s="417"/>
      <c r="E798" s="417"/>
      <c r="F798" s="355"/>
      <c r="G798" s="352"/>
      <c r="H798" s="404"/>
      <c r="I798" s="403"/>
    </row>
    <row r="799" spans="1:11" ht="12.75" customHeight="1" x14ac:dyDescent="0.3">
      <c r="A799" s="401"/>
      <c r="C799" s="352"/>
      <c r="D799" s="417"/>
      <c r="E799" s="352"/>
      <c r="F799" s="413" t="s">
        <v>32</v>
      </c>
      <c r="G799" s="402" t="str">
        <f>+B784</f>
        <v>3.7</v>
      </c>
      <c r="H799" s="402" t="s">
        <v>1238</v>
      </c>
      <c r="I799" s="403">
        <f>SUM(H798:H798)</f>
        <v>0</v>
      </c>
    </row>
    <row r="800" spans="1:11" ht="12.75" customHeight="1" x14ac:dyDescent="0.3">
      <c r="A800" s="395" t="s">
        <v>1107</v>
      </c>
      <c r="B800" s="386"/>
      <c r="C800" s="352"/>
      <c r="D800" s="417"/>
      <c r="E800" s="352"/>
      <c r="F800" s="352"/>
      <c r="G800" s="352"/>
      <c r="H800" s="352"/>
      <c r="I800" s="403"/>
    </row>
    <row r="801" spans="1:11" ht="12.75" customHeight="1" x14ac:dyDescent="0.3">
      <c r="A801" s="722" t="s">
        <v>18</v>
      </c>
      <c r="B801" s="723"/>
      <c r="C801" s="723"/>
      <c r="D801" s="355" t="s">
        <v>48</v>
      </c>
      <c r="E801" s="355" t="s">
        <v>109</v>
      </c>
      <c r="F801" s="380" t="s">
        <v>250</v>
      </c>
      <c r="G801" s="380" t="s">
        <v>251</v>
      </c>
      <c r="H801" s="355" t="s">
        <v>252</v>
      </c>
      <c r="I801" s="407"/>
    </row>
    <row r="802" spans="1:11" ht="10.95" customHeight="1" x14ac:dyDescent="0.3">
      <c r="A802" s="405" t="s">
        <v>4</v>
      </c>
      <c r="B802" s="408" t="s">
        <v>175</v>
      </c>
      <c r="C802" s="409" t="str">
        <f>IF($A792="EQUI",VLOOKUP($A$688,EQUI!B$16:G$35,2,FALSE),IF($A802="TRAN",VLOOKUP($B792,TRAN!$B$16:$G$26,2,FALSE),IF($A802="MAT1",VLOOKUP($B802,'MAT1'!$B$16:$G$43,2,FALSE),IF($A802="MAT2",VLOOKUP($B802,'MAT2'!$B$16:$G$55,2,FALSE),IF($A802="MDEO",VLOOKUP($B802,MDEO!$B$16:$P$27,2,FALSE))))))</f>
        <v xml:space="preserve">oficial </v>
      </c>
      <c r="D802" s="449">
        <f>IF($A802="EQUI",VLOOKUP($B802,EQUI!B$16:G$35,3,FALSE),IF($A802="TRAN",VLOOKUP($B802,TRAN!$B$16:$G$26,3,FALSE),IF($A802="MAT",VLOOKUP($B802,'MAT1'!$B$16:$G$43,3,FALSE),IF($A802="MDEO",VLOOKUP($B802,MDEO!$B$16:$P$33,10,FALSE)))))</f>
        <v>12336.644836388892</v>
      </c>
      <c r="E802" s="410">
        <f>IF($A802="EQUI",VLOOKUP($B802,[6]EQUI!B$16:G$46,4,FALSE),IF($A802="TRAN",VLOOKUP($B802,[6]TRAN!$B$16:$G$26,4,FALSE),IF($A802="MAT",VLOOKUP($B802,[6]MAT!$B$16:$G$83,4,FALSE),IF($A802="MDEO",VLOOKUP($B802,[6]MDEO!$B$16:$I$21,4,FALSE)))))</f>
        <v>0</v>
      </c>
      <c r="F802" s="438">
        <f>+D802+D802*E802</f>
        <v>12336.644836388892</v>
      </c>
      <c r="G802" s="399">
        <v>0.2</v>
      </c>
      <c r="H802" s="411">
        <f>G802*F802</f>
        <v>2467.3289672777787</v>
      </c>
      <c r="I802" s="403"/>
      <c r="J802" s="445"/>
    </row>
    <row r="803" spans="1:11" ht="12.75" customHeight="1" x14ac:dyDescent="0.3">
      <c r="A803" s="401"/>
      <c r="C803" s="352"/>
      <c r="D803" s="417"/>
      <c r="E803" s="352"/>
      <c r="F803" s="413" t="s">
        <v>32</v>
      </c>
      <c r="G803" s="402" t="str">
        <f>+B784</f>
        <v>3.7</v>
      </c>
      <c r="H803" s="413" t="s">
        <v>1237</v>
      </c>
      <c r="I803" s="396">
        <f>SUM(H802:H802)</f>
        <v>2467.3289672777787</v>
      </c>
      <c r="K803" s="431">
        <f>+I803*G785</f>
        <v>0</v>
      </c>
    </row>
    <row r="804" spans="1:11" ht="12.75" customHeight="1" x14ac:dyDescent="0.3">
      <c r="A804" s="401" t="s">
        <v>433</v>
      </c>
      <c r="C804" s="352"/>
      <c r="D804" s="417"/>
      <c r="E804" s="352"/>
      <c r="F804" s="352"/>
      <c r="G804" s="352"/>
      <c r="H804" s="350"/>
      <c r="I804" s="396">
        <f>I803*0.05</f>
        <v>123.36644836388894</v>
      </c>
      <c r="K804" s="431">
        <f>+I804*G785</f>
        <v>0</v>
      </c>
    </row>
    <row r="805" spans="1:11" ht="12.75" customHeight="1" x14ac:dyDescent="0.3">
      <c r="A805" s="401"/>
      <c r="C805" s="352"/>
      <c r="D805" s="417"/>
      <c r="E805" s="352"/>
      <c r="F805" s="413" t="s">
        <v>55</v>
      </c>
      <c r="G805" s="350"/>
      <c r="H805" s="350"/>
      <c r="I805" s="396">
        <f>ROUND(I803+I804+I795+I789+I799,0)</f>
        <v>20051</v>
      </c>
    </row>
    <row r="806" spans="1:11" ht="12.75" customHeight="1" x14ac:dyDescent="0.3">
      <c r="A806" s="414"/>
      <c r="B806" s="415"/>
      <c r="C806" s="415"/>
      <c r="D806" s="450"/>
      <c r="E806" s="415"/>
      <c r="F806" s="415"/>
      <c r="G806" s="415"/>
      <c r="H806" s="415"/>
      <c r="I806" s="396"/>
    </row>
    <row r="807" spans="1:11" ht="59.4" customHeight="1" x14ac:dyDescent="0.3">
      <c r="A807" s="724" t="s">
        <v>114</v>
      </c>
      <c r="B807" s="710"/>
      <c r="C807" s="710"/>
      <c r="D807" s="450"/>
      <c r="E807" s="415"/>
      <c r="F807" s="710" t="s">
        <v>396</v>
      </c>
      <c r="G807" s="710"/>
      <c r="H807" s="710"/>
      <c r="I807" s="711"/>
    </row>
    <row r="808" spans="1:11" ht="12.75" customHeight="1" x14ac:dyDescent="0.3">
      <c r="A808" s="397" t="s">
        <v>111</v>
      </c>
      <c r="B808" s="712"/>
      <c r="C808" s="712"/>
      <c r="D808" s="417"/>
      <c r="E808" s="352"/>
      <c r="F808" s="350" t="s">
        <v>111</v>
      </c>
      <c r="G808" s="712"/>
      <c r="H808" s="712"/>
      <c r="I808" s="713"/>
    </row>
    <row r="809" spans="1:11" ht="12.75" customHeight="1" x14ac:dyDescent="0.3">
      <c r="A809" s="439" t="s">
        <v>115</v>
      </c>
      <c r="B809" s="710" t="s">
        <v>1551</v>
      </c>
      <c r="C809" s="710"/>
      <c r="F809" s="432" t="s">
        <v>112</v>
      </c>
      <c r="G809" s="712"/>
      <c r="H809" s="712"/>
      <c r="I809" s="713"/>
    </row>
    <row r="810" spans="1:11" ht="12.75" customHeight="1" x14ac:dyDescent="0.3">
      <c r="A810" s="439" t="s">
        <v>113</v>
      </c>
      <c r="B810" s="710" t="s">
        <v>1554</v>
      </c>
      <c r="C810" s="710"/>
      <c r="F810" s="432" t="s">
        <v>113</v>
      </c>
      <c r="G810" s="712"/>
      <c r="H810" s="712"/>
      <c r="I810" s="713"/>
    </row>
    <row r="811" spans="1:11" ht="12.75" customHeight="1" x14ac:dyDescent="0.3">
      <c r="A811" s="439"/>
      <c r="B811" s="350"/>
      <c r="C811" s="350"/>
      <c r="F811" s="432"/>
      <c r="G811" s="350"/>
      <c r="H811" s="350"/>
      <c r="I811" s="416"/>
    </row>
    <row r="812" spans="1:11" ht="12.75" customHeight="1" x14ac:dyDescent="0.3">
      <c r="A812" s="714" t="s">
        <v>110</v>
      </c>
      <c r="B812" s="715"/>
      <c r="C812" s="715"/>
      <c r="D812" s="715"/>
      <c r="E812" s="715"/>
      <c r="F812" s="715"/>
      <c r="G812" s="715"/>
      <c r="H812" s="715"/>
      <c r="I812" s="716"/>
    </row>
    <row r="813" spans="1:11" ht="17.399999999999999" customHeight="1" x14ac:dyDescent="0.3">
      <c r="A813" s="729"/>
      <c r="B813" s="730"/>
      <c r="C813" s="730"/>
      <c r="D813" s="730"/>
      <c r="E813" s="730"/>
      <c r="F813" s="730"/>
      <c r="G813" s="730"/>
      <c r="H813" s="730"/>
      <c r="I813" s="731"/>
    </row>
    <row r="814" spans="1:11" ht="17.399999999999999" customHeight="1" x14ac:dyDescent="0.3">
      <c r="A814" s="714"/>
      <c r="B814" s="715"/>
      <c r="C814" s="715"/>
      <c r="D814" s="715"/>
      <c r="E814" s="715"/>
      <c r="F814" s="715"/>
      <c r="G814" s="715"/>
      <c r="H814" s="715"/>
      <c r="I814" s="716"/>
    </row>
    <row r="815" spans="1:11" ht="12.75" customHeight="1" x14ac:dyDescent="0.3">
      <c r="A815" s="725" t="s">
        <v>68</v>
      </c>
      <c r="B815" s="726"/>
      <c r="C815" s="726"/>
      <c r="D815" s="726"/>
      <c r="E815" s="726"/>
      <c r="F815" s="726"/>
      <c r="G815" s="726"/>
      <c r="H815" s="726"/>
      <c r="I815" s="727"/>
    </row>
    <row r="816" spans="1:11" ht="15.75" customHeight="1" x14ac:dyDescent="0.3">
      <c r="A816" s="390" t="s">
        <v>69</v>
      </c>
      <c r="B816" s="420" t="s">
        <v>1233</v>
      </c>
      <c r="C816" s="710" t="s">
        <v>70</v>
      </c>
      <c r="D816" s="712" t="str">
        <f>VLOOKUP(B816,'AJUSTE PRESUPUESTO'!$A$18:$I$89,3,FALSE)</f>
        <v>Instalación de sello en junta transversal y longitudinal</v>
      </c>
      <c r="E816" s="712"/>
      <c r="F816" s="712"/>
      <c r="G816" s="712"/>
      <c r="H816" s="712"/>
      <c r="I816" s="713"/>
    </row>
    <row r="817" spans="1:13" ht="12.75" customHeight="1" x14ac:dyDescent="0.3">
      <c r="A817" s="390" t="s">
        <v>71</v>
      </c>
      <c r="B817" s="42" t="s">
        <v>248</v>
      </c>
      <c r="C817" s="710"/>
      <c r="D817" s="355" t="s">
        <v>12</v>
      </c>
      <c r="E817" s="392" t="s">
        <v>129</v>
      </c>
      <c r="F817" s="392" t="s">
        <v>13</v>
      </c>
      <c r="G817" s="392"/>
      <c r="H817" s="393" t="s">
        <v>27</v>
      </c>
      <c r="I817" s="394">
        <f>+I837</f>
        <v>14687</v>
      </c>
    </row>
    <row r="818" spans="1:13" ht="12.75" customHeight="1" x14ac:dyDescent="0.3">
      <c r="A818" s="395" t="s">
        <v>14</v>
      </c>
      <c r="B818" s="386"/>
      <c r="C818" s="352"/>
      <c r="D818" s="417"/>
      <c r="E818" s="352"/>
      <c r="F818" s="352"/>
      <c r="G818" s="352"/>
      <c r="H818" s="352"/>
      <c r="I818" s="396"/>
    </row>
    <row r="819" spans="1:13" ht="12.75" customHeight="1" x14ac:dyDescent="0.3">
      <c r="A819" s="720" t="s">
        <v>19</v>
      </c>
      <c r="B819" s="712"/>
      <c r="C819" s="712"/>
      <c r="D819" s="712"/>
      <c r="E819" s="712"/>
      <c r="F819" s="350" t="s">
        <v>520</v>
      </c>
      <c r="G819" s="350" t="s">
        <v>29</v>
      </c>
      <c r="H819" s="350" t="s">
        <v>30</v>
      </c>
      <c r="I819" s="403"/>
    </row>
    <row r="820" spans="1:13" ht="14.25" customHeight="1" x14ac:dyDescent="0.3">
      <c r="A820" s="397" t="s">
        <v>1</v>
      </c>
      <c r="B820" s="398" t="s">
        <v>81</v>
      </c>
      <c r="C820" s="721" t="str">
        <f>IF($A820="EQUI",VLOOKUP($B820,EQUI!B$16:G$145,2,FALSE),IF($A820="TRAN",VLOOKUP($B820,[6]TRAN!$B$16:$G$26,2,FALSE),IF(A820="MAT",VLOOKUP($B820,[6]MAT!$B$16:$G$83,2,FALSE),IF(A820="MDEO",VLOOKUP($B820,[6]MDEO!$B$16:$I$21,2,FALSE)))))</f>
        <v>Compresor para demolición y  limpieza a presión de junta</v>
      </c>
      <c r="D820" s="721"/>
      <c r="E820" s="721"/>
      <c r="F820" s="355">
        <f>IF($A820="EQUI",VLOOKUP($B820,EQUI!B$16:G$145,4,FALSE),IF($A820="TRAN",VLOOKUP($B820,TRAN!$B$16:$G$26,4,FALSE),IF($A820="MAT",VLOOKUP($B820,[6]MAT!$B$16:$G$83,4,FALSE),IF($A820="MDEO",VLOOKUP($B820,[6]MDEO!$B$16:$I$21,4,FALSE)))))</f>
        <v>65000</v>
      </c>
      <c r="G820" s="399">
        <v>0.02</v>
      </c>
      <c r="H820" s="404">
        <f t="shared" ref="H820" si="5">+F820*G820</f>
        <v>1300</v>
      </c>
      <c r="I820" s="403"/>
      <c r="J820" s="445"/>
    </row>
    <row r="821" spans="1:13" ht="12.75" customHeight="1" x14ac:dyDescent="0.3">
      <c r="A821" s="401"/>
      <c r="C821" s="352"/>
      <c r="D821" s="417"/>
      <c r="E821" s="352"/>
      <c r="F821" s="413" t="s">
        <v>32</v>
      </c>
      <c r="G821" s="402" t="str">
        <f>+B816</f>
        <v>3.8</v>
      </c>
      <c r="H821" s="402" t="s">
        <v>1433</v>
      </c>
      <c r="I821" s="396">
        <f>SUM(H820:H820)</f>
        <v>1300</v>
      </c>
      <c r="K821" s="431">
        <f>+I821*G817</f>
        <v>0</v>
      </c>
    </row>
    <row r="822" spans="1:13" ht="12.75" customHeight="1" x14ac:dyDescent="0.3">
      <c r="A822" s="395" t="s">
        <v>34</v>
      </c>
      <c r="B822" s="386"/>
      <c r="C822" s="352"/>
      <c r="D822" s="417"/>
      <c r="E822" s="352"/>
      <c r="F822" s="352"/>
      <c r="G822" s="352"/>
      <c r="H822" s="352"/>
      <c r="I822" s="403"/>
    </row>
    <row r="823" spans="1:13" ht="12.75" customHeight="1" x14ac:dyDescent="0.3">
      <c r="A823" s="720" t="s">
        <v>35</v>
      </c>
      <c r="B823" s="712"/>
      <c r="C823" s="712"/>
      <c r="D823" s="712"/>
      <c r="E823" s="350" t="s">
        <v>12</v>
      </c>
      <c r="F823" s="350" t="s">
        <v>36</v>
      </c>
      <c r="G823" s="350" t="s">
        <v>37</v>
      </c>
      <c r="H823" s="350" t="s">
        <v>38</v>
      </c>
      <c r="I823" s="403"/>
    </row>
    <row r="824" spans="1:13" ht="12" customHeight="1" x14ac:dyDescent="0.3">
      <c r="A824" s="397" t="s">
        <v>522</v>
      </c>
      <c r="B824" s="398" t="s">
        <v>155</v>
      </c>
      <c r="C824" s="721" t="str">
        <f>IF($A824="EQUI",VLOOKUP($B824,EQUI!B$16:G$35,2,FALSE),IF($A824="TRAN",VLOOKUP($B824,TRAN!$B$16:$G$26,2,FALSE),IF($A824="MAT1",VLOOKUP($B824,'MAT1'!$B$16:$G$43,2,FALSE),IF($A824="MAT2",VLOOKUP($B824,'MAT2'!$B$16:$G$65,2,FALSE),IF($A824="MDEO",VLOOKUP($B824,MDEO!$B$16:$P$27,2,FALSE))))))</f>
        <v>Sika Flex</v>
      </c>
      <c r="D824" s="721"/>
      <c r="E824" s="355" t="str">
        <f>IF($A824="EQUI",VLOOKUP($B824,EQUI!B$16:G$35,3,FALSE),IF($A824="TRAN",VLOOKUP($B824,TRAN!$B$16:$G$26,3,FALSE),IF($A824="MAT1",VLOOKUP($B824,'MAT1'!$B$16:$G$43,3,FALSE),IF($A824="MAT2",VLOOKUP($B824,'MAT2'!$B$16:$G$55,3,FALSE),IF($A824="MDEO",VLOOKUP($B824,MDEO!$B$16:$P$27,3,FALSE))))))</f>
        <v>CC</v>
      </c>
      <c r="F824" s="355">
        <f>IF($A824="EQUI",VLOOKUP($B824,EQUI!B$16:G$35,4,FALSE),IF($A824="TRAN",VLOOKUP($B824,TRAN!$B$16:$G$26,4,FALSE),IF($A824="MAT1",VLOOKUP($B824,'MAT1'!$B$16:$G$43,4,FALSE),IF($A824="MAT2",VLOOKUP($B824,'MAT2'!$B$16:$G$53,4,FALSE),IF($A824="MDEO",VLOOKUP($B824,MDEO!$B$16:$P$27,4,FALSE))))))</f>
        <v>31400</v>
      </c>
      <c r="G824" s="399">
        <v>0.12</v>
      </c>
      <c r="H824" s="423">
        <f t="shared" ref="H824:H825" si="6">+F824*G824</f>
        <v>3768</v>
      </c>
      <c r="I824" s="424"/>
      <c r="J824" s="445"/>
      <c r="M824" s="430" t="e">
        <f>+#REF!*G817</f>
        <v>#REF!</v>
      </c>
    </row>
    <row r="825" spans="1:13" ht="12.9" customHeight="1" x14ac:dyDescent="0.3">
      <c r="A825" s="397" t="s">
        <v>522</v>
      </c>
      <c r="B825" s="398" t="s">
        <v>156</v>
      </c>
      <c r="C825" s="721" t="str">
        <f>IF($A825="EQUI",VLOOKUP($B825,EQUI!B$16:G$35,2,FALSE),IF($A825="TRAN",VLOOKUP($B825,TRAN!$B$16:$G$26,2,FALSE),IF($A825="MAT1",VLOOKUP($B825,'MAT1'!$B$16:$G$43,2,FALSE),IF($A825="MAT2",VLOOKUP($B825,'MAT2'!$B$16:$G$65,2,FALSE),IF($A825="MDEO",VLOOKUP($B825,MDEO!$B$16:$P$27,2,FALSE))))))</f>
        <v>sikarod</v>
      </c>
      <c r="D825" s="721"/>
      <c r="E825" s="355" t="str">
        <f>IF($A825="EQUI",VLOOKUP($B825,EQUI!B$16:G$35,3,FALSE),IF($A825="TRAN",VLOOKUP($B825,TRAN!$B$16:$G$26,3,FALSE),IF($A825="MAT1",VLOOKUP($B825,'MAT1'!$B$16:$G$43,3,FALSE),IF($A825="MAT2",VLOOKUP($B825,'MAT2'!$B$16:$G$55,3,FALSE),IF($A825="MDEO",VLOOKUP($B825,MDEO!$B$16:$P$27,3,FALSE))))))</f>
        <v>ML</v>
      </c>
      <c r="F825" s="355">
        <f>IF($A825="EQUI",VLOOKUP($B825,EQUI!B$16:G$35,4,FALSE),IF($A825="TRAN",VLOOKUP($B825,TRAN!$B$16:$G$26,4,FALSE),IF($A825="MAT1",VLOOKUP($B825,'MAT1'!$B$16:$G$43,4,FALSE),IF($A825="MAT2",VLOOKUP($B825,'MAT2'!$B$16:$G$53,4,FALSE),IF($A825="MDEO",VLOOKUP($B825,MDEO!$B$16:$P$27,4,FALSE))))))</f>
        <v>600</v>
      </c>
      <c r="G825" s="399">
        <v>1</v>
      </c>
      <c r="H825" s="423">
        <f t="shared" si="6"/>
        <v>600</v>
      </c>
      <c r="I825" s="424"/>
      <c r="J825" s="445"/>
    </row>
    <row r="826" spans="1:13" ht="12.75" customHeight="1" x14ac:dyDescent="0.3">
      <c r="A826" s="401"/>
      <c r="C826" s="352"/>
      <c r="D826" s="417"/>
      <c r="E826" s="352"/>
      <c r="F826" s="413" t="s">
        <v>32</v>
      </c>
      <c r="G826" s="402" t="str">
        <f>+B816</f>
        <v>3.8</v>
      </c>
      <c r="H826" s="425" t="s">
        <v>1434</v>
      </c>
      <c r="I826" s="424">
        <f>SUM(H824:H825)</f>
        <v>4368</v>
      </c>
      <c r="K826" s="431">
        <f>+I826*G817</f>
        <v>0</v>
      </c>
    </row>
    <row r="827" spans="1:13" ht="12.75" customHeight="1" x14ac:dyDescent="0.3">
      <c r="A827" s="395" t="s">
        <v>15</v>
      </c>
      <c r="B827" s="386"/>
      <c r="C827" s="352"/>
      <c r="D827" s="417"/>
      <c r="E827" s="352"/>
      <c r="F827" s="352"/>
      <c r="G827" s="352"/>
      <c r="H827" s="352"/>
      <c r="I827" s="403"/>
    </row>
    <row r="828" spans="1:13" ht="12.75" customHeight="1" x14ac:dyDescent="0.3">
      <c r="A828" s="720" t="s">
        <v>19</v>
      </c>
      <c r="B828" s="712"/>
      <c r="C828" s="712"/>
      <c r="D828" s="355" t="s">
        <v>43</v>
      </c>
      <c r="E828" s="350" t="s">
        <v>44</v>
      </c>
      <c r="F828" s="355" t="s">
        <v>45</v>
      </c>
      <c r="G828" s="350" t="s">
        <v>17</v>
      </c>
      <c r="H828" s="350" t="s">
        <v>30</v>
      </c>
      <c r="I828" s="403"/>
    </row>
    <row r="829" spans="1:13" ht="12.75" customHeight="1" x14ac:dyDescent="0.3">
      <c r="A829" s="405"/>
      <c r="B829" s="398"/>
      <c r="C829" s="417"/>
      <c r="D829" s="417"/>
      <c r="E829" s="417"/>
      <c r="F829" s="355"/>
      <c r="G829" s="352"/>
      <c r="H829" s="404"/>
      <c r="I829" s="403"/>
    </row>
    <row r="830" spans="1:13" ht="12.75" customHeight="1" x14ac:dyDescent="0.3">
      <c r="A830" s="401"/>
      <c r="C830" s="352"/>
      <c r="D830" s="417"/>
      <c r="E830" s="352"/>
      <c r="F830" s="413" t="s">
        <v>32</v>
      </c>
      <c r="G830" s="402" t="str">
        <f>+B816</f>
        <v>3.8</v>
      </c>
      <c r="H830" s="402" t="s">
        <v>1435</v>
      </c>
      <c r="I830" s="403">
        <f>SUM(H829:H829)</f>
        <v>0</v>
      </c>
    </row>
    <row r="831" spans="1:13" ht="12.75" customHeight="1" x14ac:dyDescent="0.3">
      <c r="A831" s="395" t="s">
        <v>1107</v>
      </c>
      <c r="B831" s="386"/>
      <c r="C831" s="352"/>
      <c r="D831" s="417"/>
      <c r="E831" s="352"/>
      <c r="F831" s="352"/>
      <c r="G831" s="352"/>
      <c r="H831" s="352"/>
      <c r="I831" s="403"/>
    </row>
    <row r="832" spans="1:13" ht="12.75" customHeight="1" x14ac:dyDescent="0.3">
      <c r="A832" s="722" t="s">
        <v>18</v>
      </c>
      <c r="B832" s="723"/>
      <c r="C832" s="723"/>
      <c r="D832" s="355" t="s">
        <v>48</v>
      </c>
      <c r="E832" s="355" t="s">
        <v>109</v>
      </c>
      <c r="F832" s="380" t="s">
        <v>250</v>
      </c>
      <c r="G832" s="380" t="s">
        <v>251</v>
      </c>
      <c r="H832" s="355" t="s">
        <v>252</v>
      </c>
      <c r="I832" s="407"/>
    </row>
    <row r="833" spans="1:11" ht="10.95" customHeight="1" x14ac:dyDescent="0.3">
      <c r="A833" s="405" t="s">
        <v>4</v>
      </c>
      <c r="B833" s="408" t="s">
        <v>176</v>
      </c>
      <c r="C833" s="409" t="str">
        <f>IF($A823="EQUI",VLOOKUP($A$688,EQUI!B$16:G$35,2,FALSE),IF($A833="TRAN",VLOOKUP($B823,TRAN!$B$16:$G$26,2,FALSE),IF($A833="MAT1",VLOOKUP($B833,'MAT1'!$B$16:$G$43,2,FALSE),IF($A833="MAT2",VLOOKUP($B833,'MAT2'!$B$16:$G$55,2,FALSE),IF($A833="MDEO",VLOOKUP($B833,MDEO!$B$16:$P$27,2,FALSE))))))</f>
        <v xml:space="preserve">ayudante entendido </v>
      </c>
      <c r="D833" s="449">
        <f>IF($A833="EQUI",VLOOKUP($B833,EQUI!B$16:G$35,3,FALSE),IF($A833="TRAN",VLOOKUP($B833,TRAN!$B$16:$G$26,3,FALSE),IF($A833="MAT",VLOOKUP($B833,'MAT1'!$B$16:$G$43,3,FALSE),IF($A833="MDEO",VLOOKUP($B833,MDEO!$B$16:$P$33,10,FALSE)))))</f>
        <v>11136.644836388892</v>
      </c>
      <c r="E833" s="410">
        <f>IF($A833="EQUI",VLOOKUP($B833,[6]EQUI!B$16:G$46,4,FALSE),IF($A833="TRAN",VLOOKUP($B833,[6]TRAN!$B$16:$G$26,4,FALSE),IF($A833="MAT",VLOOKUP($B833,[6]MAT!$B$16:$G$83,4,FALSE),IF($A833="MDEO",VLOOKUP($B833,[6]MDEO!$B$16:$I$21,4,FALSE)))))</f>
        <v>0</v>
      </c>
      <c r="F833" s="438">
        <f>+D833+D833*E833</f>
        <v>11136.644836388892</v>
      </c>
      <c r="G833" s="399">
        <v>0.4</v>
      </c>
      <c r="H833" s="411">
        <f>G833*F833</f>
        <v>4454.6579345555574</v>
      </c>
      <c r="I833" s="403"/>
      <c r="J833" s="445"/>
    </row>
    <row r="834" spans="1:11" ht="10.95" customHeight="1" x14ac:dyDescent="0.3">
      <c r="A834" s="405" t="s">
        <v>4</v>
      </c>
      <c r="B834" s="408" t="s">
        <v>177</v>
      </c>
      <c r="C834" s="409" t="str">
        <f>IF($A824="EQUI",VLOOKUP($A$688,EQUI!B$16:G$35,2,FALSE),IF($A834="TRAN",VLOOKUP($B824,TRAN!$B$16:$G$26,2,FALSE),IF($A834="MAT1",VLOOKUP($B834,'MAT1'!$B$16:$G$43,2,FALSE),IF($A834="MAT2",VLOOKUP($B834,'MAT2'!$B$16:$G$55,2,FALSE),IF($A834="MDEO",VLOOKUP($B834,MDEO!$B$16:$P$27,2,FALSE))))))</f>
        <v xml:space="preserve">ayudante </v>
      </c>
      <c r="D834" s="449">
        <f>IF($A834="EQUI",VLOOKUP($B834,EQUI!B$16:G$35,3,FALSE),IF($A834="TRAN",VLOOKUP($B834,TRAN!$B$16:$G$26,3,FALSE),IF($A834="MAT",VLOOKUP($B834,'MAT1'!$B$16:$G$43,3,FALSE),IF($A834="MDEO",VLOOKUP($B834,MDEO!$B$16:$P$33,10,FALSE)))))</f>
        <v>10336.644836388892</v>
      </c>
      <c r="E834" s="410">
        <f>IF($A834="EQUI",VLOOKUP($B834,[6]EQUI!B$16:G$46,4,FALSE),IF($A834="TRAN",VLOOKUP($B834,[6]TRAN!$B$16:$G$26,4,FALSE),IF($A834="MAT",VLOOKUP($B834,[6]MAT!$B$16:$G$83,4,FALSE),IF($A834="MDEO",VLOOKUP($B834,[6]MDEO!$B$16:$I$21,4,FALSE)))))</f>
        <v>0</v>
      </c>
      <c r="F834" s="438">
        <f>+D834+D834*E834</f>
        <v>10336.644836388892</v>
      </c>
      <c r="G834" s="399">
        <v>0.4</v>
      </c>
      <c r="H834" s="411">
        <f>G834*F834</f>
        <v>4134.6579345555574</v>
      </c>
      <c r="I834" s="403"/>
      <c r="J834" s="445"/>
    </row>
    <row r="835" spans="1:11" ht="12.75" customHeight="1" x14ac:dyDescent="0.3">
      <c r="A835" s="401"/>
      <c r="C835" s="352"/>
      <c r="D835" s="417"/>
      <c r="E835" s="352"/>
      <c r="F835" s="413" t="s">
        <v>32</v>
      </c>
      <c r="G835" s="402" t="str">
        <f>+B816</f>
        <v>3.8</v>
      </c>
      <c r="H835" s="413" t="s">
        <v>1436</v>
      </c>
      <c r="I835" s="396">
        <f>SUM(H833:H834)</f>
        <v>8589.3158691111148</v>
      </c>
      <c r="K835" s="431">
        <f>+I835*G817</f>
        <v>0</v>
      </c>
    </row>
    <row r="836" spans="1:11" ht="12.75" customHeight="1" x14ac:dyDescent="0.3">
      <c r="A836" s="401" t="s">
        <v>433</v>
      </c>
      <c r="C836" s="352"/>
      <c r="D836" s="417"/>
      <c r="E836" s="352"/>
      <c r="F836" s="352"/>
      <c r="G836" s="352"/>
      <c r="H836" s="350"/>
      <c r="I836" s="396">
        <f>I835*0.05</f>
        <v>429.46579345555574</v>
      </c>
      <c r="K836" s="431">
        <f>+I836*G817</f>
        <v>0</v>
      </c>
    </row>
    <row r="837" spans="1:11" ht="12.75" customHeight="1" x14ac:dyDescent="0.3">
      <c r="A837" s="401"/>
      <c r="C837" s="352"/>
      <c r="D837" s="417"/>
      <c r="E837" s="352"/>
      <c r="F837" s="413" t="s">
        <v>55</v>
      </c>
      <c r="G837" s="350"/>
      <c r="H837" s="350"/>
      <c r="I837" s="396">
        <f>ROUND(I835+I836+I826+I821+I830,0)</f>
        <v>14687</v>
      </c>
    </row>
    <row r="838" spans="1:11" ht="12.75" customHeight="1" x14ac:dyDescent="0.3">
      <c r="A838" s="414"/>
      <c r="B838" s="415"/>
      <c r="C838" s="415"/>
      <c r="D838" s="450"/>
      <c r="E838" s="415"/>
      <c r="F838" s="415"/>
      <c r="G838" s="415"/>
      <c r="H838" s="415"/>
      <c r="I838" s="396"/>
    </row>
    <row r="839" spans="1:11" ht="59.4" customHeight="1" x14ac:dyDescent="0.3">
      <c r="A839" s="724" t="s">
        <v>114</v>
      </c>
      <c r="B839" s="710"/>
      <c r="C839" s="710"/>
      <c r="D839" s="450"/>
      <c r="E839" s="415"/>
      <c r="F839" s="710" t="s">
        <v>396</v>
      </c>
      <c r="G839" s="710"/>
      <c r="H839" s="710"/>
      <c r="I839" s="711"/>
    </row>
    <row r="840" spans="1:11" ht="12.75" customHeight="1" x14ac:dyDescent="0.3">
      <c r="A840" s="397" t="s">
        <v>111</v>
      </c>
      <c r="B840" s="712"/>
      <c r="C840" s="712"/>
      <c r="D840" s="417"/>
      <c r="E840" s="352"/>
      <c r="F840" s="350" t="s">
        <v>111</v>
      </c>
      <c r="G840" s="712"/>
      <c r="H840" s="712"/>
      <c r="I840" s="713"/>
    </row>
    <row r="841" spans="1:11" ht="12.75" customHeight="1" x14ac:dyDescent="0.3">
      <c r="A841" s="439" t="s">
        <v>115</v>
      </c>
      <c r="B841" s="710" t="s">
        <v>1551</v>
      </c>
      <c r="C841" s="710"/>
      <c r="F841" s="432" t="s">
        <v>112</v>
      </c>
      <c r="G841" s="712"/>
      <c r="H841" s="712"/>
      <c r="I841" s="713"/>
    </row>
    <row r="842" spans="1:11" ht="12.75" customHeight="1" x14ac:dyDescent="0.3">
      <c r="A842" s="439" t="s">
        <v>113</v>
      </c>
      <c r="B842" s="710" t="s">
        <v>1554</v>
      </c>
      <c r="C842" s="710"/>
      <c r="F842" s="432" t="s">
        <v>113</v>
      </c>
      <c r="G842" s="712"/>
      <c r="H842" s="712"/>
      <c r="I842" s="713"/>
    </row>
    <row r="843" spans="1:11" ht="12.75" customHeight="1" x14ac:dyDescent="0.3">
      <c r="A843" s="439"/>
      <c r="B843" s="350"/>
      <c r="C843" s="350"/>
      <c r="F843" s="432"/>
      <c r="G843" s="350"/>
      <c r="H843" s="350"/>
      <c r="I843" s="416"/>
    </row>
    <row r="844" spans="1:11" ht="12.75" customHeight="1" x14ac:dyDescent="0.3">
      <c r="A844" s="714" t="s">
        <v>110</v>
      </c>
      <c r="B844" s="715"/>
      <c r="C844" s="715"/>
      <c r="D844" s="715"/>
      <c r="E844" s="715"/>
      <c r="F844" s="715"/>
      <c r="G844" s="715"/>
      <c r="H844" s="715"/>
      <c r="I844" s="716"/>
    </row>
    <row r="845" spans="1:11" ht="17.399999999999999" customHeight="1" x14ac:dyDescent="0.3">
      <c r="A845" s="729"/>
      <c r="B845" s="730"/>
      <c r="C845" s="730"/>
      <c r="D845" s="730"/>
      <c r="E845" s="730"/>
      <c r="F845" s="730"/>
      <c r="G845" s="730"/>
      <c r="H845" s="730"/>
      <c r="I845" s="731"/>
    </row>
    <row r="846" spans="1:11" ht="17.399999999999999" customHeight="1" x14ac:dyDescent="0.3">
      <c r="A846" s="714"/>
      <c r="B846" s="715"/>
      <c r="C846" s="715"/>
      <c r="D846" s="715"/>
      <c r="E846" s="715"/>
      <c r="F846" s="715"/>
      <c r="G846" s="715"/>
      <c r="H846" s="715"/>
      <c r="I846" s="716"/>
    </row>
    <row r="847" spans="1:11" ht="12.75" customHeight="1" x14ac:dyDescent="0.3">
      <c r="A847" s="390" t="s">
        <v>69</v>
      </c>
      <c r="B847" s="420" t="s">
        <v>1234</v>
      </c>
      <c r="C847" s="710" t="s">
        <v>70</v>
      </c>
      <c r="D847" s="712" t="str">
        <f>VLOOKUP(B847,'AJUSTE PRESUPUESTO'!$A$18:$I$89,3,FALSE)</f>
        <v>Mano de obra para la fabricación de la canastilla incluye equipo de corte soldadura</v>
      </c>
      <c r="E847" s="712"/>
      <c r="F847" s="712"/>
      <c r="G847" s="712"/>
      <c r="H847" s="712"/>
      <c r="I847" s="713"/>
    </row>
    <row r="848" spans="1:11" ht="12.75" customHeight="1" x14ac:dyDescent="0.3">
      <c r="A848" s="390" t="s">
        <v>71</v>
      </c>
      <c r="B848" s="42" t="s">
        <v>248</v>
      </c>
      <c r="C848" s="710"/>
      <c r="D848" s="355" t="s">
        <v>12</v>
      </c>
      <c r="E848" s="392" t="s">
        <v>124</v>
      </c>
      <c r="F848" s="392" t="s">
        <v>13</v>
      </c>
      <c r="G848" s="392">
        <f>VLOOKUP(B848,PRESUPUESTO!$B$15:$I$1200,5,FALSE)</f>
        <v>9134</v>
      </c>
      <c r="H848" s="393" t="s">
        <v>27</v>
      </c>
      <c r="I848" s="394">
        <f>+I867</f>
        <v>17000</v>
      </c>
    </row>
    <row r="849" spans="1:12" ht="12.75" customHeight="1" x14ac:dyDescent="0.3">
      <c r="A849" s="395" t="s">
        <v>14</v>
      </c>
      <c r="B849" s="386"/>
      <c r="C849" s="352"/>
      <c r="D849" s="417"/>
      <c r="E849" s="352"/>
      <c r="F849" s="352"/>
      <c r="G849" s="352"/>
      <c r="H849" s="352"/>
      <c r="I849" s="396"/>
    </row>
    <row r="850" spans="1:12" ht="12.75" customHeight="1" x14ac:dyDescent="0.3">
      <c r="A850" s="720" t="s">
        <v>19</v>
      </c>
      <c r="B850" s="712"/>
      <c r="C850" s="712"/>
      <c r="D850" s="712"/>
      <c r="E850" s="712"/>
      <c r="F850" s="350" t="s">
        <v>520</v>
      </c>
      <c r="G850" s="350" t="s">
        <v>29</v>
      </c>
      <c r="H850" s="350" t="s">
        <v>30</v>
      </c>
      <c r="I850" s="403"/>
    </row>
    <row r="851" spans="1:12" ht="10.199999999999999" customHeight="1" x14ac:dyDescent="0.3">
      <c r="A851" s="397" t="s">
        <v>1</v>
      </c>
      <c r="B851" s="398" t="s">
        <v>93</v>
      </c>
      <c r="C851" s="721"/>
      <c r="D851" s="721"/>
      <c r="E851" s="721"/>
      <c r="F851" s="355"/>
      <c r="G851" s="399"/>
      <c r="H851" s="404"/>
      <c r="I851" s="403"/>
      <c r="J851" s="445"/>
      <c r="L851" s="430">
        <f>1/30</f>
        <v>3.3333333333333333E-2</v>
      </c>
    </row>
    <row r="852" spans="1:12" ht="12.75" customHeight="1" x14ac:dyDescent="0.3">
      <c r="A852" s="401"/>
      <c r="C852" s="352"/>
      <c r="D852" s="417"/>
      <c r="E852" s="352"/>
      <c r="F852" s="413" t="s">
        <v>32</v>
      </c>
      <c r="G852" s="402" t="str">
        <f>+B847</f>
        <v>3.9</v>
      </c>
      <c r="H852" s="402" t="s">
        <v>1437</v>
      </c>
      <c r="I852" s="396">
        <f>SUM(H851:H851)</f>
        <v>0</v>
      </c>
      <c r="K852" s="431">
        <f>+I852*G848</f>
        <v>0</v>
      </c>
    </row>
    <row r="853" spans="1:12" ht="12.75" customHeight="1" x14ac:dyDescent="0.3">
      <c r="A853" s="395" t="s">
        <v>34</v>
      </c>
      <c r="B853" s="386"/>
      <c r="C853" s="352"/>
      <c r="D853" s="417"/>
      <c r="E853" s="352"/>
      <c r="F853" s="352"/>
      <c r="G853" s="352"/>
      <c r="H853" s="352"/>
      <c r="I853" s="403"/>
    </row>
    <row r="854" spans="1:12" ht="12.75" customHeight="1" x14ac:dyDescent="0.3">
      <c r="A854" s="720" t="s">
        <v>35</v>
      </c>
      <c r="B854" s="712"/>
      <c r="C854" s="712"/>
      <c r="D854" s="712"/>
      <c r="E854" s="350" t="s">
        <v>12</v>
      </c>
      <c r="F854" s="350" t="s">
        <v>36</v>
      </c>
      <c r="G854" s="350" t="s">
        <v>37</v>
      </c>
      <c r="H854" s="350" t="s">
        <v>38</v>
      </c>
      <c r="I854" s="403"/>
    </row>
    <row r="855" spans="1:12" ht="11.4" customHeight="1" x14ac:dyDescent="0.3">
      <c r="A855" s="397" t="s">
        <v>522</v>
      </c>
      <c r="B855" s="398" t="s">
        <v>149</v>
      </c>
      <c r="C855" s="721" t="str">
        <f>IF($A855="EQUI",VLOOKUP($B855,EQUI!B$16:G$35,2,FALSE),IF($A855="TRAN",VLOOKUP($B855,TRAN!$B$16:$G$26,2,FALSE),IF($A855="MAT1",VLOOKUP($B855,'MAT1'!$B$16:$G$43,2,FALSE),IF($A855="MAT2",VLOOKUP($B855,'MAT2'!$B$16:$G$65,2,FALSE),IF($A855="MDEO",VLOOKUP($B855,MDEO!$B$16:$P$27,2,FALSE))))))</f>
        <v>fabricacion de pasa juntas  1ø3/4 @0,3l=,35 fabricación</v>
      </c>
      <c r="D855" s="721"/>
      <c r="E855" s="355" t="str">
        <f>IF($A855="EQUI",VLOOKUP($B855,EQUI!B$16:G$35,3,FALSE),IF($A855="TRAN",VLOOKUP($B855,TRAN!$B$16:$G$26,3,FALSE),IF($A855="MAT1",VLOOKUP($B855,'MAT1'!$B$16:$G$43,3,FALSE),IF($A855="MAT2",VLOOKUP($B855,'MAT2'!$B$16:$G$55,3,FALSE),IF($A855="MDEO",VLOOKUP($B855,MDEO!$B$16:$P$27,3,FALSE))))))</f>
        <v>UN</v>
      </c>
      <c r="F855" s="355">
        <f>IF($A855="EQUI",VLOOKUP($B855,EQUI!B$16:G$35,4,FALSE),IF($A855="TRAN",VLOOKUP($B855,TRAN!$B$16:$G$26,4,FALSE),IF($A855="MAT1",VLOOKUP($B855,'MAT1'!$B$16:$G$43,4,FALSE),IF($A855="MAT2",VLOOKUP($B855,'MAT2'!$B$16:$G$53,4,FALSE),IF($A855="MDEO",VLOOKUP($B855,MDEO!$B$16:$P$27,4,FALSE))))))</f>
        <v>17000</v>
      </c>
      <c r="G855" s="399">
        <v>1</v>
      </c>
      <c r="H855" s="423">
        <f t="shared" ref="H855" si="7">+F855*G855</f>
        <v>17000</v>
      </c>
      <c r="I855" s="424"/>
      <c r="J855" s="445"/>
    </row>
    <row r="856" spans="1:12" ht="12.75" customHeight="1" x14ac:dyDescent="0.3">
      <c r="A856" s="401"/>
      <c r="C856" s="352"/>
      <c r="D856" s="417"/>
      <c r="E856" s="352"/>
      <c r="F856" s="413" t="s">
        <v>32</v>
      </c>
      <c r="G856" s="402" t="str">
        <f>+B847</f>
        <v>3.9</v>
      </c>
      <c r="H856" s="425" t="s">
        <v>1438</v>
      </c>
      <c r="I856" s="424">
        <f>SUM(H855:H855)</f>
        <v>17000</v>
      </c>
      <c r="K856" s="431">
        <f>+I856*G848</f>
        <v>155278000</v>
      </c>
    </row>
    <row r="857" spans="1:12" ht="12.75" customHeight="1" x14ac:dyDescent="0.3">
      <c r="A857" s="395" t="s">
        <v>15</v>
      </c>
      <c r="B857" s="386"/>
      <c r="C857" s="352"/>
      <c r="D857" s="417"/>
      <c r="E857" s="352"/>
      <c r="F857" s="352"/>
      <c r="G857" s="352"/>
      <c r="H857" s="352"/>
      <c r="I857" s="403"/>
    </row>
    <row r="858" spans="1:12" ht="12.75" customHeight="1" x14ac:dyDescent="0.3">
      <c r="A858" s="720" t="s">
        <v>19</v>
      </c>
      <c r="B858" s="712"/>
      <c r="C858" s="712"/>
      <c r="D858" s="355" t="s">
        <v>43</v>
      </c>
      <c r="E858" s="350" t="s">
        <v>44</v>
      </c>
      <c r="F858" s="355" t="s">
        <v>45</v>
      </c>
      <c r="G858" s="350" t="s">
        <v>17</v>
      </c>
      <c r="H858" s="350" t="s">
        <v>30</v>
      </c>
      <c r="I858" s="403"/>
    </row>
    <row r="859" spans="1:12" ht="12.75" customHeight="1" x14ac:dyDescent="0.3">
      <c r="A859" s="405" t="s">
        <v>3</v>
      </c>
      <c r="B859" s="398" t="s">
        <v>171</v>
      </c>
      <c r="C859" s="417"/>
      <c r="D859" s="417">
        <v>0</v>
      </c>
      <c r="E859" s="417">
        <v>55</v>
      </c>
      <c r="F859" s="355">
        <f>+E859*D859</f>
        <v>0</v>
      </c>
      <c r="G859" s="352">
        <f>IF($A859="EQUI",VLOOKUP($B859,[6]EQUI!B$16:G$46,4,FALSE),IF($A859="TRAN",VLOOKUP($B859,[6]TRAN!$B$16:$G$26,4,FALSE),IF($A859="MAT",VLOOKUP($B859,[6]MAT!$B$16:$G$83,4,FALSE),IF($A859="MDEO",VLOOKUP($B859,[6]MDEO!$B$16:$I$21,4,FALSE)))))</f>
        <v>980</v>
      </c>
      <c r="H859" s="404">
        <f>+F859*G859</f>
        <v>0</v>
      </c>
      <c r="I859" s="403"/>
    </row>
    <row r="860" spans="1:12" ht="12.75" customHeight="1" x14ac:dyDescent="0.3">
      <c r="A860" s="401"/>
      <c r="C860" s="352"/>
      <c r="D860" s="417"/>
      <c r="E860" s="352"/>
      <c r="F860" s="413" t="s">
        <v>32</v>
      </c>
      <c r="G860" s="402" t="str">
        <f>+B847</f>
        <v>3.9</v>
      </c>
      <c r="H860" s="402" t="s">
        <v>1439</v>
      </c>
      <c r="I860" s="403">
        <f>SUM(H859:H859)</f>
        <v>0</v>
      </c>
    </row>
    <row r="861" spans="1:12" ht="12.75" customHeight="1" x14ac:dyDescent="0.3">
      <c r="A861" s="395" t="s">
        <v>1107</v>
      </c>
      <c r="B861" s="386"/>
      <c r="C861" s="352"/>
      <c r="D861" s="417"/>
      <c r="E861" s="352"/>
      <c r="F861" s="352"/>
      <c r="G861" s="352"/>
      <c r="H861" s="352"/>
      <c r="I861" s="403"/>
    </row>
    <row r="862" spans="1:12" ht="12.75" customHeight="1" x14ac:dyDescent="0.3">
      <c r="A862" s="722" t="s">
        <v>18</v>
      </c>
      <c r="B862" s="723"/>
      <c r="C862" s="723"/>
      <c r="D862" s="355" t="s">
        <v>48</v>
      </c>
      <c r="E862" s="355" t="s">
        <v>109</v>
      </c>
      <c r="F862" s="380" t="s">
        <v>250</v>
      </c>
      <c r="G862" s="380" t="s">
        <v>251</v>
      </c>
      <c r="H862" s="355" t="s">
        <v>252</v>
      </c>
      <c r="I862" s="407"/>
    </row>
    <row r="863" spans="1:12" ht="10.95" customHeight="1" x14ac:dyDescent="0.3">
      <c r="A863" s="405"/>
      <c r="B863" s="408"/>
      <c r="C863" s="409"/>
      <c r="D863" s="449"/>
      <c r="E863" s="410"/>
      <c r="F863" s="438"/>
      <c r="G863" s="399"/>
      <c r="H863" s="411"/>
      <c r="I863" s="403"/>
      <c r="J863" s="445"/>
    </row>
    <row r="864" spans="1:12" ht="10.95" customHeight="1" x14ac:dyDescent="0.3">
      <c r="A864" s="405"/>
      <c r="B864" s="408"/>
      <c r="C864" s="426"/>
      <c r="D864" s="449"/>
      <c r="E864" s="410"/>
      <c r="F864" s="438"/>
      <c r="G864" s="399"/>
      <c r="H864" s="411"/>
      <c r="I864" s="403"/>
      <c r="J864" s="445"/>
    </row>
    <row r="865" spans="1:11" ht="12.75" customHeight="1" x14ac:dyDescent="0.3">
      <c r="A865" s="401"/>
      <c r="C865" s="352"/>
      <c r="D865" s="417"/>
      <c r="E865" s="352"/>
      <c r="F865" s="413" t="s">
        <v>32</v>
      </c>
      <c r="G865" s="402" t="str">
        <f>+B847</f>
        <v>3.9</v>
      </c>
      <c r="H865" s="413" t="s">
        <v>1440</v>
      </c>
      <c r="I865" s="396">
        <f>SUM(H863:H863)</f>
        <v>0</v>
      </c>
      <c r="K865" s="431">
        <f>+I865*G848</f>
        <v>0</v>
      </c>
    </row>
    <row r="866" spans="1:11" ht="12.75" customHeight="1" x14ac:dyDescent="0.3">
      <c r="A866" s="401" t="s">
        <v>433</v>
      </c>
      <c r="C866" s="352"/>
      <c r="D866" s="417"/>
      <c r="E866" s="352"/>
      <c r="F866" s="352"/>
      <c r="G866" s="352"/>
      <c r="H866" s="350"/>
      <c r="I866" s="396">
        <f>I865*0.05</f>
        <v>0</v>
      </c>
      <c r="K866" s="431">
        <f>+I866*G848</f>
        <v>0</v>
      </c>
    </row>
    <row r="867" spans="1:11" ht="12.75" customHeight="1" x14ac:dyDescent="0.3">
      <c r="A867" s="401"/>
      <c r="C867" s="352"/>
      <c r="D867" s="417"/>
      <c r="E867" s="352"/>
      <c r="F867" s="413" t="s">
        <v>55</v>
      </c>
      <c r="G867" s="350"/>
      <c r="H867" s="350"/>
      <c r="I867" s="396">
        <f>ROUND(I865+I866+I856+I852+I860,0)</f>
        <v>17000</v>
      </c>
    </row>
    <row r="868" spans="1:11" ht="12.75" customHeight="1" x14ac:dyDescent="0.3">
      <c r="A868" s="414"/>
      <c r="B868" s="415"/>
      <c r="C868" s="415"/>
      <c r="D868" s="450"/>
      <c r="E868" s="415"/>
      <c r="F868" s="415"/>
      <c r="G868" s="415"/>
      <c r="H868" s="415"/>
      <c r="I868" s="396"/>
    </row>
    <row r="869" spans="1:11" ht="59.4" customHeight="1" x14ac:dyDescent="0.3">
      <c r="A869" s="724" t="s">
        <v>114</v>
      </c>
      <c r="B869" s="710"/>
      <c r="C869" s="710"/>
      <c r="D869" s="450"/>
      <c r="E869" s="415"/>
      <c r="F869" s="710" t="s">
        <v>396</v>
      </c>
      <c r="G869" s="710"/>
      <c r="H869" s="710"/>
      <c r="I869" s="711"/>
    </row>
    <row r="870" spans="1:11" ht="12.75" customHeight="1" x14ac:dyDescent="0.3">
      <c r="A870" s="397" t="s">
        <v>111</v>
      </c>
      <c r="B870" s="712"/>
      <c r="C870" s="712"/>
      <c r="D870" s="417"/>
      <c r="E870" s="352"/>
      <c r="F870" s="350" t="s">
        <v>111</v>
      </c>
      <c r="G870" s="712"/>
      <c r="H870" s="712"/>
      <c r="I870" s="713"/>
    </row>
    <row r="871" spans="1:11" ht="12.75" customHeight="1" x14ac:dyDescent="0.3">
      <c r="A871" s="439" t="s">
        <v>115</v>
      </c>
      <c r="B871" s="710" t="s">
        <v>1551</v>
      </c>
      <c r="C871" s="710"/>
      <c r="F871" s="432" t="s">
        <v>112</v>
      </c>
      <c r="G871" s="712"/>
      <c r="H871" s="712"/>
      <c r="I871" s="713"/>
    </row>
    <row r="872" spans="1:11" ht="12.75" customHeight="1" x14ac:dyDescent="0.3">
      <c r="A872" s="439" t="s">
        <v>113</v>
      </c>
      <c r="B872" s="710" t="s">
        <v>1554</v>
      </c>
      <c r="C872" s="710"/>
      <c r="F872" s="432" t="s">
        <v>113</v>
      </c>
      <c r="G872" s="712"/>
      <c r="H872" s="712"/>
      <c r="I872" s="713"/>
    </row>
    <row r="873" spans="1:11" ht="12.75" customHeight="1" x14ac:dyDescent="0.3">
      <c r="A873" s="439"/>
      <c r="B873" s="350"/>
      <c r="C873" s="350"/>
      <c r="F873" s="432"/>
      <c r="G873" s="350"/>
      <c r="H873" s="350"/>
      <c r="I873" s="416"/>
    </row>
    <row r="874" spans="1:11" ht="12.75" customHeight="1" x14ac:dyDescent="0.3">
      <c r="A874" s="714" t="s">
        <v>110</v>
      </c>
      <c r="B874" s="715"/>
      <c r="C874" s="715"/>
      <c r="D874" s="715"/>
      <c r="E874" s="715"/>
      <c r="F874" s="715"/>
      <c r="G874" s="715"/>
      <c r="H874" s="715"/>
      <c r="I874" s="716"/>
    </row>
    <row r="875" spans="1:11" ht="17.399999999999999" customHeight="1" x14ac:dyDescent="0.3">
      <c r="A875" s="729"/>
      <c r="B875" s="730"/>
      <c r="C875" s="730"/>
      <c r="D875" s="730"/>
      <c r="E875" s="730"/>
      <c r="F875" s="730"/>
      <c r="G875" s="730"/>
      <c r="H875" s="730"/>
      <c r="I875" s="731"/>
    </row>
    <row r="876" spans="1:11" ht="17.399999999999999" customHeight="1" x14ac:dyDescent="0.3">
      <c r="A876" s="714"/>
      <c r="B876" s="715"/>
      <c r="C876" s="715"/>
      <c r="D876" s="715"/>
      <c r="E876" s="715"/>
      <c r="F876" s="715"/>
      <c r="G876" s="715"/>
      <c r="H876" s="715"/>
      <c r="I876" s="716"/>
    </row>
    <row r="877" spans="1:11" ht="9.75" customHeight="1" x14ac:dyDescent="0.3">
      <c r="A877" s="433"/>
      <c r="I877" s="434"/>
    </row>
    <row r="878" spans="1:11" ht="12" customHeight="1" x14ac:dyDescent="0.3">
      <c r="A878" s="724" t="s">
        <v>68</v>
      </c>
      <c r="B878" s="710"/>
      <c r="C878" s="710"/>
      <c r="D878" s="710"/>
      <c r="E878" s="710"/>
      <c r="F878" s="710"/>
      <c r="G878" s="710"/>
      <c r="H878" s="710"/>
      <c r="I878" s="711"/>
    </row>
    <row r="879" spans="1:11" ht="12" customHeight="1" x14ac:dyDescent="0.3">
      <c r="A879" s="390" t="s">
        <v>69</v>
      </c>
      <c r="B879" s="391" t="s">
        <v>266</v>
      </c>
      <c r="C879" s="710" t="s">
        <v>70</v>
      </c>
      <c r="D879" s="712" t="str">
        <f>VLOOKUP(B879,'AJUSTE PRESUPUESTO'!$A$18:$I$68,3,FALSE)</f>
        <v>Fabricación e instalación de bordillos en concreto 3000 lb 0,35*,15*1</v>
      </c>
      <c r="E879" s="712"/>
      <c r="F879" s="712"/>
      <c r="G879" s="712"/>
      <c r="H879" s="712"/>
      <c r="I879" s="713"/>
    </row>
    <row r="880" spans="1:11" ht="12" customHeight="1" x14ac:dyDescent="0.3">
      <c r="A880" s="390" t="s">
        <v>71</v>
      </c>
      <c r="B880" s="391" t="str">
        <f>VLOOKUP(B879,[6]PRESUPUESTO!$A$18:$I$90,2,FALSE)</f>
        <v>672-13</v>
      </c>
      <c r="C880" s="710"/>
      <c r="D880" s="355" t="s">
        <v>12</v>
      </c>
      <c r="E880" s="392" t="s">
        <v>129</v>
      </c>
      <c r="F880" s="392" t="s">
        <v>13</v>
      </c>
      <c r="G880" s="392">
        <f>VLOOKUP(B880,PRESUPUESTO!$B$15:$I$1201,5,FALSE)</f>
        <v>15131</v>
      </c>
      <c r="H880" s="393" t="s">
        <v>27</v>
      </c>
      <c r="I880" s="394">
        <f>+I902</f>
        <v>80232</v>
      </c>
    </row>
    <row r="881" spans="1:15" ht="12" customHeight="1" x14ac:dyDescent="0.3">
      <c r="A881" s="395" t="s">
        <v>14</v>
      </c>
      <c r="B881" s="386"/>
      <c r="C881" s="352"/>
      <c r="D881" s="417"/>
      <c r="E881" s="352"/>
      <c r="F881" s="352"/>
      <c r="G881" s="352"/>
      <c r="H881" s="352"/>
      <c r="I881" s="396"/>
    </row>
    <row r="882" spans="1:15" ht="12" customHeight="1" x14ac:dyDescent="0.3">
      <c r="A882" s="720" t="s">
        <v>19</v>
      </c>
      <c r="B882" s="712"/>
      <c r="C882" s="712"/>
      <c r="D882" s="712"/>
      <c r="E882" s="712"/>
      <c r="F882" s="350" t="s">
        <v>28</v>
      </c>
      <c r="G882" s="350" t="s">
        <v>29</v>
      </c>
      <c r="H882" s="350" t="s">
        <v>30</v>
      </c>
      <c r="I882" s="403"/>
    </row>
    <row r="883" spans="1:15" ht="12" customHeight="1" x14ac:dyDescent="0.3">
      <c r="A883" s="397" t="s">
        <v>1</v>
      </c>
      <c r="B883" s="398" t="s">
        <v>85</v>
      </c>
      <c r="C883" s="721" t="str">
        <f>IF($A883="EQUI",VLOOKUP($B883,EQUI!B$16:G$54,2,FALSE),IF($A883="TRAN",VLOOKUP($B883,TRAN!$B$16:$G$26,3,FALSE),IF($A883="MAT",VLOOKUP($B883,'MAT1'!$B$16:$G$43,3,FALSE),IF($A883="MDEO",VLOOKUP($B883,MDEO!$B$16:$P$33,2,FALSE)))))</f>
        <v>formaleta para bordillo/cuneta</v>
      </c>
      <c r="D883" s="721"/>
      <c r="E883" s="721"/>
      <c r="F883" s="355">
        <f>IF($A883="EQUI",VLOOKUP($B883,EQUI!B$16:G$54,4,FALSE),IF($A883="TRAN",VLOOKUP($B883,TRAN!$B$16:$G$26,3,FALSE),IF($A883="MAT",VLOOKUP($B883,'MAT1'!$B$16:$G$43,3,FALSE),IF($A883="MDEO",VLOOKUP($B883,MDEO!$B$16:$P$33,2,FALSE)))))</f>
        <v>2150</v>
      </c>
      <c r="G883" s="352">
        <v>1</v>
      </c>
      <c r="H883" s="404">
        <f>+F883*G883</f>
        <v>2150</v>
      </c>
      <c r="I883" s="403"/>
    </row>
    <row r="884" spans="1:15" ht="12" customHeight="1" x14ac:dyDescent="0.3">
      <c r="A884" s="397" t="s">
        <v>1</v>
      </c>
      <c r="B884" s="398" t="s">
        <v>98</v>
      </c>
      <c r="C884" s="721" t="str">
        <f>IF($A884="EQUI",VLOOKUP($B884,EQUI!B$16:G$54,2,FALSE),IF($A884="TRAN",VLOOKUP($B884,TRAN!$B$16:$G$26,3,FALSE),IF($A884="MAT",VLOOKUP($B884,'MAT1'!$B$16:$G$43,3,FALSE),IF($A884="MDEO",VLOOKUP($B884,MDEO!$B$16:$P$33,2,FALSE)))))</f>
        <v>vibrador de aguja</v>
      </c>
      <c r="D884" s="721"/>
      <c r="E884" s="721"/>
      <c r="F884" s="355">
        <f>IF($A884="EQUI",VLOOKUP($B884,EQUI!B$16:G$54,4,FALSE),IF($A884="TRAN",VLOOKUP($B884,TRAN!$B$16:$G$26,3,FALSE),IF($A884="MAT",VLOOKUP($B884,'MAT1'!$B$16:$G$43,3,FALSE),IF($A884="MDEO",VLOOKUP($B884,MDEO!$B$16:$P$33,2,FALSE)))))</f>
        <v>4375</v>
      </c>
      <c r="G884" s="352">
        <v>1</v>
      </c>
      <c r="H884" s="404">
        <f>+F884*G884</f>
        <v>4375</v>
      </c>
      <c r="I884" s="403"/>
    </row>
    <row r="885" spans="1:15" ht="12" customHeight="1" x14ac:dyDescent="0.3">
      <c r="A885" s="401"/>
      <c r="C885" s="352"/>
      <c r="D885" s="417"/>
      <c r="E885" s="352"/>
      <c r="F885" s="413" t="s">
        <v>32</v>
      </c>
      <c r="G885" s="402" t="str">
        <f>+B879</f>
        <v>4.1</v>
      </c>
      <c r="H885" s="402" t="s">
        <v>343</v>
      </c>
      <c r="I885" s="396">
        <f>SUM(H883:H884)</f>
        <v>6525</v>
      </c>
    </row>
    <row r="886" spans="1:15" ht="12" customHeight="1" x14ac:dyDescent="0.3">
      <c r="A886" s="395" t="s">
        <v>34</v>
      </c>
      <c r="B886" s="386"/>
      <c r="C886" s="352"/>
      <c r="D886" s="417"/>
      <c r="E886" s="352"/>
      <c r="F886" s="352"/>
      <c r="G886" s="352"/>
      <c r="H886" s="352"/>
      <c r="I886" s="403"/>
    </row>
    <row r="887" spans="1:15" ht="12" customHeight="1" x14ac:dyDescent="0.3">
      <c r="A887" s="720" t="s">
        <v>35</v>
      </c>
      <c r="B887" s="712"/>
      <c r="C887" s="712"/>
      <c r="D887" s="712"/>
      <c r="E887" s="350" t="s">
        <v>12</v>
      </c>
      <c r="F887" s="350" t="s">
        <v>36</v>
      </c>
      <c r="G887" s="350" t="s">
        <v>37</v>
      </c>
      <c r="H887" s="350" t="s">
        <v>38</v>
      </c>
      <c r="I887" s="403"/>
    </row>
    <row r="888" spans="1:15" ht="12" customHeight="1" x14ac:dyDescent="0.3">
      <c r="A888" s="397" t="s">
        <v>523</v>
      </c>
      <c r="B888" s="398" t="s">
        <v>138</v>
      </c>
      <c r="C888" s="721" t="str">
        <f>IF($A888="EQUI",VLOOKUP($B888,EQUI!B$16:G$35,2,FALSE),IF($A888="TRAN",VLOOKUP($B888,TRAN!$B$16:$G$26,2,FALSE),IF($A888="MAT1",VLOOKUP($B888,'MAT1'!$B$16:$G$43,2,FALSE),IF($A888="MAT2",VLOOKUP($B888,'MAT2'!$B$16:$G$65,2,FALSE),IF($A888="MDEO",VLOOKUP($B888,MDEO!$B$16:$P$27,2,FALSE))))))</f>
        <v>Concreto 2500 psi en obra</v>
      </c>
      <c r="D888" s="721"/>
      <c r="E888" s="355" t="str">
        <f>IF($A888="EQUI",VLOOKUP($B888,EQUI!B$16:G$35,3,FALSE),IF($A888="TRAN",VLOOKUP($B888,TRAN!$B$16:$G$26,3,FALSE),IF($A888="MAT1",VLOOKUP($B888,'MAT1'!$B$16:$G$43,3,FALSE),IF($A888="MAT2",VLOOKUP($B888,'MAT2'!$B$16:$G$55,3,FALSE),IF($A888="MDEO",VLOOKUP($B888,MDEO!$B$16:$P$27,3,FALSE))))))</f>
        <v>M3</v>
      </c>
      <c r="F888" s="355">
        <f>IF($A888="EQUI",VLOOKUP($B888,EQUI!B$16:G$35,4,FALSE),IF($A888="TRAN",VLOOKUP($B888,TRAN!$B$16:$G$26,4,FALSE),IF($A888="MAT1",VLOOKUP($B888,'MAT1'!$B$16:$G$43,4,FALSE),IF($A888="MAT2",VLOOKUP($B888,'MAT2'!$B$16:$G$53,4,FALSE),IF($A888="MDEO",VLOOKUP($B888,MDEO!$B$16:$P$27,4,FALSE))))))</f>
        <v>439313</v>
      </c>
      <c r="G888" s="352">
        <f>0.15*0.35*1.05</f>
        <v>5.5125E-2</v>
      </c>
      <c r="H888" s="404">
        <f>+G888*F888</f>
        <v>24217.129124999999</v>
      </c>
      <c r="I888" s="403"/>
      <c r="K888" s="441">
        <f>+G888*G880</f>
        <v>834.09637499999997</v>
      </c>
      <c r="M888" s="430">
        <f>+G888*G880*7</f>
        <v>5838.6746249999997</v>
      </c>
      <c r="N888" s="430">
        <f>+G888*G880*0.5</f>
        <v>417.04818749999998</v>
      </c>
      <c r="O888" s="430">
        <f>+G888*G880*0.9</f>
        <v>750.68673749999994</v>
      </c>
    </row>
    <row r="889" spans="1:15" ht="12" customHeight="1" x14ac:dyDescent="0.3">
      <c r="A889" s="397" t="s">
        <v>523</v>
      </c>
      <c r="B889" s="398" t="s">
        <v>143</v>
      </c>
      <c r="C889" s="721" t="str">
        <f>IF($A889="EQUI",VLOOKUP($B889,EQUI!B$16:G$35,2,FALSE),IF($A889="TRAN",VLOOKUP($B889,TRAN!$B$16:$G$26,2,FALSE),IF($A889="MAT1",VLOOKUP($B889,'MAT1'!$B$16:$G$43,2,FALSE),IF($A889="MAT2",VLOOKUP($B889,'MAT2'!$B$16:$G$65,2,FALSE),IF($A889="MDEO",VLOOKUP($B889,MDEO!$B$16:$P$27,2,FALSE))))))</f>
        <v>Mortero 1:6 para pega y rebitada</v>
      </c>
      <c r="D889" s="721"/>
      <c r="E889" s="355" t="str">
        <f>IF($A889="EQUI",VLOOKUP($B889,EQUI!B$16:G$35,3,FALSE),IF($A889="TRAN",VLOOKUP($B889,TRAN!$B$16:$G$26,3,FALSE),IF($A889="MAT1",VLOOKUP($B889,'MAT1'!$B$16:$G$43,3,FALSE),IF($A889="MAT2",VLOOKUP($B889,'MAT2'!$B$16:$G$55,3,FALSE),IF($A889="MDEO",VLOOKUP($B889,MDEO!$B$16:$P$27,3,FALSE))))))</f>
        <v>M3</v>
      </c>
      <c r="F889" s="355">
        <f>IF($A889="EQUI",VLOOKUP($B889,EQUI!B$16:G$35,4,FALSE),IF($A889="TRAN",VLOOKUP($B889,TRAN!$B$16:$G$26,4,FALSE),IF($A889="MAT1",VLOOKUP($B889,'MAT1'!$B$16:$G$43,4,FALSE),IF($A889="MAT2",VLOOKUP($B889,'MAT2'!$B$16:$G$53,4,FALSE),IF($A889="MDEO",VLOOKUP($B889,MDEO!$B$16:$P$27,4,FALSE))))))</f>
        <v>403352</v>
      </c>
      <c r="G889" s="352">
        <v>4.0000000000000001E-3</v>
      </c>
      <c r="H889" s="404">
        <f>+F889*G889</f>
        <v>1613.4080000000001</v>
      </c>
      <c r="I889" s="403"/>
    </row>
    <row r="890" spans="1:15" ht="12" customHeight="1" x14ac:dyDescent="0.3">
      <c r="A890" s="401"/>
      <c r="C890" s="352"/>
      <c r="D890" s="417"/>
      <c r="E890" s="352"/>
      <c r="F890" s="413" t="s">
        <v>32</v>
      </c>
      <c r="G890" s="402" t="str">
        <f>+B879</f>
        <v>4.1</v>
      </c>
      <c r="H890" s="402" t="s">
        <v>344</v>
      </c>
      <c r="I890" s="396">
        <f>SUM(H888:H889)</f>
        <v>25830.537124999999</v>
      </c>
    </row>
    <row r="891" spans="1:15" ht="12" customHeight="1" x14ac:dyDescent="0.3">
      <c r="A891" s="395" t="s">
        <v>15</v>
      </c>
      <c r="B891" s="386"/>
      <c r="C891" s="352"/>
      <c r="D891" s="417"/>
      <c r="E891" s="352"/>
      <c r="F891" s="352"/>
      <c r="G891" s="352"/>
      <c r="H891" s="352"/>
      <c r="I891" s="403"/>
    </row>
    <row r="892" spans="1:15" ht="12" customHeight="1" x14ac:dyDescent="0.3">
      <c r="A892" s="720" t="s">
        <v>19</v>
      </c>
      <c r="B892" s="712"/>
      <c r="C892" s="712"/>
      <c r="D892" s="355" t="s">
        <v>43</v>
      </c>
      <c r="E892" s="350" t="s">
        <v>44</v>
      </c>
      <c r="F892" s="355" t="s">
        <v>45</v>
      </c>
      <c r="G892" s="350" t="s">
        <v>17</v>
      </c>
      <c r="H892" s="350" t="s">
        <v>30</v>
      </c>
      <c r="I892" s="403"/>
    </row>
    <row r="893" spans="1:15" ht="12" customHeight="1" x14ac:dyDescent="0.3">
      <c r="A893" s="405" t="s">
        <v>3</v>
      </c>
      <c r="B893" s="398" t="s">
        <v>168</v>
      </c>
      <c r="C893" s="417" t="str">
        <f>IF($A893="EQUI",VLOOKUP($B893,EQUI!B$16:G$46,2,FALSE),IF($A893="TRAN",VLOOKUP($B893,TRAN!$B$16:$G$26,2,FALSE),IF(A893="MAT",VLOOKUP($B893,[7]MAT!$B$16:$G$83,2,FALSE),IF(A893="MDEO",VLOOKUP($B893,MDEO!$B$16:$I$21,2,FALSE)))))</f>
        <v>trans int  bordillo un</v>
      </c>
      <c r="D893" s="355">
        <v>1</v>
      </c>
      <c r="E893" s="355">
        <v>1</v>
      </c>
      <c r="F893" s="355">
        <f>+E893*D893</f>
        <v>1</v>
      </c>
      <c r="G893" s="350">
        <v>1000</v>
      </c>
      <c r="H893" s="404">
        <f>+F893*G893</f>
        <v>1000</v>
      </c>
      <c r="I893" s="403"/>
    </row>
    <row r="894" spans="1:15" ht="12" customHeight="1" x14ac:dyDescent="0.3">
      <c r="A894" s="401"/>
      <c r="C894" s="352"/>
      <c r="D894" s="417"/>
      <c r="E894" s="352"/>
      <c r="F894" s="413" t="s">
        <v>32</v>
      </c>
      <c r="G894" s="402" t="str">
        <f>+B879</f>
        <v>4.1</v>
      </c>
      <c r="H894" s="402" t="s">
        <v>345</v>
      </c>
      <c r="I894" s="396">
        <f>SUM(H893:H893)</f>
        <v>1000</v>
      </c>
    </row>
    <row r="895" spans="1:15" ht="12.75" customHeight="1" x14ac:dyDescent="0.3">
      <c r="A895" s="395" t="s">
        <v>1107</v>
      </c>
      <c r="B895" s="386"/>
      <c r="C895" s="352"/>
      <c r="D895" s="417"/>
      <c r="E895" s="352"/>
      <c r="F895" s="352"/>
      <c r="G895" s="352"/>
      <c r="H895" s="352"/>
      <c r="I895" s="403"/>
    </row>
    <row r="896" spans="1:15" ht="12" customHeight="1" x14ac:dyDescent="0.3">
      <c r="A896" s="722" t="s">
        <v>18</v>
      </c>
      <c r="B896" s="723"/>
      <c r="C896" s="723"/>
      <c r="D896" s="355" t="s">
        <v>48</v>
      </c>
      <c r="E896" s="355" t="s">
        <v>109</v>
      </c>
      <c r="F896" s="380" t="s">
        <v>250</v>
      </c>
      <c r="G896" s="380" t="s">
        <v>251</v>
      </c>
      <c r="H896" s="355" t="s">
        <v>252</v>
      </c>
      <c r="I896" s="407"/>
    </row>
    <row r="897" spans="1:9" ht="12" customHeight="1" x14ac:dyDescent="0.3">
      <c r="A897" s="405" t="s">
        <v>4</v>
      </c>
      <c r="B897" s="408" t="s">
        <v>175</v>
      </c>
      <c r="C897" s="409" t="str">
        <f>IF($A897="EQUI",VLOOKUP($B897,EQUI!B$16:G$35,3,FALSE),IF($A897="TRAN",VLOOKUP($B897,TRAN!$B$16:$G$26,3,FALSE),IF($A897="MAT",VLOOKUP($B897,'MAT1'!$B$16:$G$43,3,FALSE),IF($A897="MDEO",VLOOKUP($B897,MDEO!$B$16:$P$33,2,FALSE)))))</f>
        <v xml:space="preserve">oficial </v>
      </c>
      <c r="D897" s="449">
        <f>IF($A897="EQUI",VLOOKUP($B897,EQUI!B$16:G$35,3,FALSE),IF($A897="TRAN",VLOOKUP($B897,TRAN!$B$16:$G$26,3,FALSE),IF($A897="MAT",VLOOKUP($B897,'MAT1'!$B$16:$G$43,3,FALSE),IF($A897="MDEO",VLOOKUP($B897,MDEO!$B$16:$P$33,10,FALSE)))))</f>
        <v>12336.644836388892</v>
      </c>
      <c r="E897" s="410"/>
      <c r="F897" s="438">
        <f>+D897+D897*E897</f>
        <v>12336.644836388892</v>
      </c>
      <c r="G897" s="412">
        <v>1</v>
      </c>
      <c r="H897" s="411">
        <f>G897*F897</f>
        <v>12336.644836388892</v>
      </c>
      <c r="I897" s="403"/>
    </row>
    <row r="898" spans="1:9" ht="12" customHeight="1" x14ac:dyDescent="0.3">
      <c r="A898" s="405" t="s">
        <v>4</v>
      </c>
      <c r="B898" s="408" t="s">
        <v>177</v>
      </c>
      <c r="C898" s="409" t="str">
        <f>IF($A898="EQUI",VLOOKUP($B898,EQUI!B$16:G$35,3,FALSE),IF($A898="TRAN",VLOOKUP($B898,TRAN!$B$16:$G$26,3,FALSE),IF($A898="MAT",VLOOKUP($B898,'MAT1'!$B$16:$G$43,3,FALSE),IF($A898="MDEO",VLOOKUP($B898,MDEO!$B$16:$P$33,2,FALSE)))))</f>
        <v xml:space="preserve">ayudante </v>
      </c>
      <c r="D898" s="449">
        <f>IF($A898="EQUI",VLOOKUP($B898,EQUI!B$16:G$35,3,FALSE),IF($A898="TRAN",VLOOKUP($B898,TRAN!$B$16:$G$26,3,FALSE),IF($A898="MAT",VLOOKUP($B898,'MAT1'!$B$16:$G$43,3,FALSE),IF($A898="MDEO",VLOOKUP($B898,MDEO!$B$16:$P$33,10,FALSE)))))</f>
        <v>10336.644836388892</v>
      </c>
      <c r="E898" s="410"/>
      <c r="F898" s="438">
        <f>+D898+D898*E898</f>
        <v>10336.644836388892</v>
      </c>
      <c r="G898" s="412">
        <v>3</v>
      </c>
      <c r="H898" s="411">
        <f>G898*F898</f>
        <v>31009.934509166676</v>
      </c>
      <c r="I898" s="403"/>
    </row>
    <row r="899" spans="1:9" ht="12" customHeight="1" x14ac:dyDescent="0.3">
      <c r="A899" s="405" t="s">
        <v>4</v>
      </c>
      <c r="B899" s="408" t="s">
        <v>178</v>
      </c>
      <c r="C899" s="409" t="str">
        <f>IF($A899="EQUI",VLOOKUP($B899,EQUI!B$16:G$35,3,FALSE),IF($A899="TRAN",VLOOKUP($B899,TRAN!$B$16:$G$26,3,FALSE),IF($A899="MAT",VLOOKUP($B899,'MAT1'!$B$16:$G$43,3,FALSE),IF($A899="MDEO",VLOOKUP($B899,MDEO!$B$16:$P$33,2,FALSE)))))</f>
        <v>contra maestro</v>
      </c>
      <c r="D899" s="449">
        <f>IF($A899="EQUI",VLOOKUP($B899,EQUI!B$16:G$35,3,FALSE),IF($A899="TRAN",VLOOKUP($B899,TRAN!$B$16:$G$26,3,FALSE),IF($A899="MAT",VLOOKUP($B899,'MAT1'!$B$16:$G$43,3,FALSE),IF($A899="MDEO",VLOOKUP($B899,MDEO!$B$16:$P$33,10,FALSE)))))</f>
        <v>12974.601086388891</v>
      </c>
      <c r="E899" s="410"/>
      <c r="F899" s="438">
        <f>+D899+D899*E899</f>
        <v>12974.601086388891</v>
      </c>
      <c r="G899" s="412">
        <v>0.1</v>
      </c>
      <c r="H899" s="411">
        <f>G899*F899</f>
        <v>1297.4601086388893</v>
      </c>
      <c r="I899" s="403"/>
    </row>
    <row r="900" spans="1:9" ht="12" customHeight="1" x14ac:dyDescent="0.3">
      <c r="A900" s="401"/>
      <c r="C900" s="352"/>
      <c r="D900" s="417"/>
      <c r="E900" s="352"/>
      <c r="F900" s="413" t="s">
        <v>32</v>
      </c>
      <c r="G900" s="402" t="str">
        <f>+B879</f>
        <v>4.1</v>
      </c>
      <c r="H900" s="413" t="s">
        <v>346</v>
      </c>
      <c r="I900" s="396">
        <f>SUM(H897:H899)</f>
        <v>44644.039454194455</v>
      </c>
    </row>
    <row r="901" spans="1:9" ht="12" customHeight="1" x14ac:dyDescent="0.3">
      <c r="A901" s="401" t="s">
        <v>54</v>
      </c>
      <c r="C901" s="352"/>
      <c r="D901" s="417"/>
      <c r="E901" s="352"/>
      <c r="F901" s="352"/>
      <c r="G901" s="352"/>
      <c r="H901" s="350"/>
      <c r="I901" s="396">
        <f>I900*0.05</f>
        <v>2232.2019727097227</v>
      </c>
    </row>
    <row r="902" spans="1:9" ht="12" customHeight="1" x14ac:dyDescent="0.3">
      <c r="A902" s="401"/>
      <c r="C902" s="352"/>
      <c r="D902" s="417"/>
      <c r="E902" s="352"/>
      <c r="F902" s="413" t="s">
        <v>55</v>
      </c>
      <c r="G902" s="350"/>
      <c r="H902" s="350"/>
      <c r="I902" s="396">
        <f>ROUND(I900+I901+I890+I885+I894,0)</f>
        <v>80232</v>
      </c>
    </row>
    <row r="903" spans="1:9" ht="12" customHeight="1" x14ac:dyDescent="0.3">
      <c r="A903" s="414"/>
      <c r="B903" s="415"/>
      <c r="C903" s="415"/>
      <c r="D903" s="450"/>
      <c r="E903" s="415"/>
      <c r="F903" s="415"/>
      <c r="G903" s="415"/>
      <c r="H903" s="415"/>
      <c r="I903" s="396"/>
    </row>
    <row r="904" spans="1:9" ht="59.4" customHeight="1" x14ac:dyDescent="0.3">
      <c r="A904" s="724" t="s">
        <v>114</v>
      </c>
      <c r="B904" s="710"/>
      <c r="C904" s="710"/>
      <c r="D904" s="450"/>
      <c r="E904" s="415"/>
      <c r="F904" s="710" t="s">
        <v>396</v>
      </c>
      <c r="G904" s="710"/>
      <c r="H904" s="710"/>
      <c r="I904" s="711"/>
    </row>
    <row r="905" spans="1:9" ht="12.75" customHeight="1" x14ac:dyDescent="0.3">
      <c r="A905" s="397" t="s">
        <v>111</v>
      </c>
      <c r="B905" s="712"/>
      <c r="C905" s="712"/>
      <c r="D905" s="417"/>
      <c r="E905" s="352"/>
      <c r="F905" s="350" t="s">
        <v>111</v>
      </c>
      <c r="G905" s="712"/>
      <c r="H905" s="712"/>
      <c r="I905" s="713"/>
    </row>
    <row r="906" spans="1:9" ht="12.75" customHeight="1" x14ac:dyDescent="0.3">
      <c r="A906" s="439" t="s">
        <v>115</v>
      </c>
      <c r="B906" s="710" t="s">
        <v>1551</v>
      </c>
      <c r="C906" s="710"/>
      <c r="F906" s="432" t="s">
        <v>112</v>
      </c>
      <c r="G906" s="712"/>
      <c r="H906" s="712"/>
      <c r="I906" s="713"/>
    </row>
    <row r="907" spans="1:9" ht="12.75" customHeight="1" x14ac:dyDescent="0.3">
      <c r="A907" s="439" t="s">
        <v>113</v>
      </c>
      <c r="B907" s="710" t="s">
        <v>1554</v>
      </c>
      <c r="C907" s="710"/>
      <c r="F907" s="432" t="s">
        <v>113</v>
      </c>
      <c r="G907" s="712"/>
      <c r="H907" s="712"/>
      <c r="I907" s="713"/>
    </row>
    <row r="908" spans="1:9" ht="12.75" customHeight="1" x14ac:dyDescent="0.3">
      <c r="A908" s="439"/>
      <c r="B908" s="350"/>
      <c r="C908" s="350"/>
      <c r="F908" s="432"/>
      <c r="G908" s="350"/>
      <c r="H908" s="350"/>
      <c r="I908" s="416"/>
    </row>
    <row r="909" spans="1:9" ht="12.75" customHeight="1" x14ac:dyDescent="0.3">
      <c r="A909" s="714" t="s">
        <v>110</v>
      </c>
      <c r="B909" s="715"/>
      <c r="C909" s="715"/>
      <c r="D909" s="715"/>
      <c r="E909" s="715"/>
      <c r="F909" s="715"/>
      <c r="G909" s="715"/>
      <c r="H909" s="715"/>
      <c r="I909" s="716"/>
    </row>
    <row r="910" spans="1:9" ht="16.95" customHeight="1" x14ac:dyDescent="0.3">
      <c r="A910" s="729"/>
      <c r="B910" s="730"/>
      <c r="C910" s="730"/>
      <c r="D910" s="730"/>
      <c r="E910" s="730"/>
      <c r="F910" s="730"/>
      <c r="G910" s="730"/>
      <c r="H910" s="730"/>
      <c r="I910" s="731"/>
    </row>
    <row r="911" spans="1:9" ht="16.95" customHeight="1" x14ac:dyDescent="0.3">
      <c r="A911" s="714"/>
      <c r="B911" s="715"/>
      <c r="C911" s="715"/>
      <c r="D911" s="715"/>
      <c r="E911" s="715"/>
      <c r="F911" s="715"/>
      <c r="G911" s="715"/>
      <c r="H911" s="715"/>
      <c r="I911" s="716"/>
    </row>
    <row r="912" spans="1:9" ht="12" customHeight="1" x14ac:dyDescent="0.3">
      <c r="A912" s="725" t="s">
        <v>68</v>
      </c>
      <c r="B912" s="726"/>
      <c r="C912" s="726"/>
      <c r="D912" s="726"/>
      <c r="E912" s="726"/>
      <c r="F912" s="726"/>
      <c r="G912" s="726"/>
      <c r="H912" s="726"/>
      <c r="I912" s="727"/>
    </row>
    <row r="913" spans="1:9" ht="30.6" customHeight="1" x14ac:dyDescent="0.3">
      <c r="A913" s="390" t="s">
        <v>69</v>
      </c>
      <c r="B913" s="391" t="s">
        <v>267</v>
      </c>
      <c r="C913" s="710" t="s">
        <v>70</v>
      </c>
      <c r="D913" s="721" t="str">
        <f>VLOOKUP(B913,'AJUSTE PRESUPUESTO'!$A$18:$I$68,3,FALSE)</f>
        <v>Lleno para conformación sección de anden con material granular de excavación no contaminado al 60% y 40% subbase granular</v>
      </c>
      <c r="E913" s="721"/>
      <c r="F913" s="721"/>
      <c r="G913" s="721"/>
      <c r="H913" s="721"/>
      <c r="I913" s="732"/>
    </row>
    <row r="914" spans="1:9" ht="12.6" customHeight="1" x14ac:dyDescent="0.3">
      <c r="A914" s="390" t="s">
        <v>71</v>
      </c>
      <c r="B914" s="391" t="str">
        <f>VLOOKUP(B913,PRESUPUESTO!$A$18:$I$69,2,FALSE)</f>
        <v>230.1-13</v>
      </c>
      <c r="C914" s="710"/>
      <c r="D914" s="355" t="s">
        <v>12</v>
      </c>
      <c r="E914" s="392" t="s">
        <v>124</v>
      </c>
      <c r="F914" s="392" t="s">
        <v>13</v>
      </c>
      <c r="G914" s="392">
        <f>VLOOKUP(B914,PRESUPUESTO!$B$15:$I$1201,5,FALSE)</f>
        <v>4237</v>
      </c>
      <c r="H914" s="393" t="s">
        <v>27</v>
      </c>
      <c r="I914" s="394">
        <f>+I938</f>
        <v>80048</v>
      </c>
    </row>
    <row r="915" spans="1:9" ht="12" customHeight="1" x14ac:dyDescent="0.3">
      <c r="A915" s="395" t="s">
        <v>14</v>
      </c>
      <c r="B915" s="386"/>
      <c r="C915" s="352"/>
      <c r="D915" s="417"/>
      <c r="E915" s="352"/>
      <c r="F915" s="352"/>
      <c r="G915" s="352"/>
      <c r="H915" s="352"/>
      <c r="I915" s="396"/>
    </row>
    <row r="916" spans="1:9" ht="12" customHeight="1" x14ac:dyDescent="0.3">
      <c r="A916" s="720" t="s">
        <v>19</v>
      </c>
      <c r="B916" s="712"/>
      <c r="C916" s="712"/>
      <c r="D916" s="712"/>
      <c r="E916" s="712"/>
      <c r="F916" s="350" t="s">
        <v>28</v>
      </c>
      <c r="G916" s="350" t="s">
        <v>29</v>
      </c>
      <c r="H916" s="350" t="s">
        <v>30</v>
      </c>
      <c r="I916" s="403"/>
    </row>
    <row r="917" spans="1:9" ht="12" customHeight="1" x14ac:dyDescent="0.3">
      <c r="A917" s="397" t="s">
        <v>1</v>
      </c>
      <c r="B917" s="398" t="s">
        <v>97</v>
      </c>
      <c r="C917" s="721" t="str">
        <f>IF($A917="EQUI",VLOOKUP($B917,EQUI!B$16:G$54,2,FALSE),IF($A917="TRAN",VLOOKUP($B917,TRAN!$B$16:$G$26,3,FALSE),IF($A917="MAT",VLOOKUP($B917,'MAT1'!$B$16:$G$43,3,FALSE),IF($A917="MDEO",VLOOKUP($B917,MDEO!$B$16:$P$33,2,FALSE)))))</f>
        <v>tanque de almacenamiento de agua</v>
      </c>
      <c r="D917" s="721"/>
      <c r="E917" s="721"/>
      <c r="F917" s="355">
        <f>IF($A917="EQUI",VLOOKUP($B917,EQUI!B$16:G$54,4,FALSE),IF($A917="TRAN",VLOOKUP($B917,TRAN!$B$16:$G$26,3,FALSE),IF($A917="MAT",VLOOKUP($B917,'MAT1'!$B$16:$G$43,3,FALSE),IF($A917="MDEO",VLOOKUP($B917,MDEO!$B$16:$P$33,2,FALSE)))))</f>
        <v>1000</v>
      </c>
      <c r="G917" s="352">
        <v>0.2</v>
      </c>
      <c r="H917" s="404">
        <f>+F917*G917</f>
        <v>200</v>
      </c>
      <c r="I917" s="403"/>
    </row>
    <row r="918" spans="1:9" ht="12" customHeight="1" x14ac:dyDescent="0.3">
      <c r="A918" s="397" t="s">
        <v>1</v>
      </c>
      <c r="B918" s="398" t="s">
        <v>76</v>
      </c>
      <c r="C918" s="721" t="str">
        <f>IF($A918="EQUI",VLOOKUP($B918,EQUI!B$16:G$54,2,FALSE),IF($A918="TRAN",VLOOKUP($B918,TRAN!$B$16:$G$26,3,FALSE),IF($A918="MAT",VLOOKUP($B918,'MAT1'!$B$16:$G$43,3,FALSE),IF($A918="MDEO",VLOOKUP($B918,MDEO!$B$16:$P$33,2,FALSE)))))</f>
        <v>Compactador tipo rana</v>
      </c>
      <c r="D918" s="721"/>
      <c r="E918" s="721"/>
      <c r="F918" s="355">
        <f>IF($A918="EQUI",VLOOKUP($B918,EQUI!B$16:G$54,4,FALSE),IF($A918="TRAN",VLOOKUP($B918,TRAN!$B$16:$G$26,3,FALSE),IF($A918="MAT",VLOOKUP($B918,'MAT1'!$B$16:$G$43,3,FALSE),IF($A918="MDEO",VLOOKUP($B918,MDEO!$B$16:$P$33,2,FALSE)))))</f>
        <v>5000</v>
      </c>
      <c r="G918" s="352">
        <v>1</v>
      </c>
      <c r="H918" s="404">
        <f>+F918*G918</f>
        <v>5000</v>
      </c>
      <c r="I918" s="403"/>
    </row>
    <row r="919" spans="1:9" ht="12" customHeight="1" x14ac:dyDescent="0.3">
      <c r="A919" s="401"/>
      <c r="C919" s="352"/>
      <c r="D919" s="417"/>
      <c r="E919" s="352"/>
      <c r="F919" s="413" t="s">
        <v>32</v>
      </c>
      <c r="G919" s="402" t="str">
        <f>+B913</f>
        <v>4.2</v>
      </c>
      <c r="H919" s="402" t="s">
        <v>347</v>
      </c>
      <c r="I919" s="396">
        <f>SUM(H917:H918)</f>
        <v>5200</v>
      </c>
    </row>
    <row r="920" spans="1:9" ht="12" customHeight="1" x14ac:dyDescent="0.3">
      <c r="A920" s="395" t="s">
        <v>34</v>
      </c>
      <c r="B920" s="386"/>
      <c r="C920" s="352"/>
      <c r="D920" s="417"/>
      <c r="E920" s="352"/>
      <c r="F920" s="352"/>
      <c r="G920" s="352"/>
      <c r="H920" s="352"/>
      <c r="I920" s="403"/>
    </row>
    <row r="921" spans="1:9" ht="12" customHeight="1" x14ac:dyDescent="0.3">
      <c r="A921" s="720" t="s">
        <v>35</v>
      </c>
      <c r="B921" s="712"/>
      <c r="C921" s="712"/>
      <c r="D921" s="712"/>
      <c r="E921" s="350" t="s">
        <v>12</v>
      </c>
      <c r="F921" s="350" t="s">
        <v>36</v>
      </c>
      <c r="G921" s="350" t="s">
        <v>37</v>
      </c>
      <c r="H921" s="350" t="s">
        <v>38</v>
      </c>
      <c r="I921" s="403"/>
    </row>
    <row r="922" spans="1:9" ht="12" customHeight="1" x14ac:dyDescent="0.3">
      <c r="A922" s="397" t="s">
        <v>522</v>
      </c>
      <c r="B922" s="398" t="s">
        <v>134</v>
      </c>
      <c r="C922" s="721" t="str">
        <f>IF($A922="EQUI",VLOOKUP($B922,EQUI!B$16:G$35,2,FALSE),IF($A922="TRAN",VLOOKUP($B922,TRAN!$B$16:$G$26,2,FALSE),IF($A922="MAT1",VLOOKUP($B922,'MAT1'!$B$16:$G$43,2,FALSE),IF($A922="MAT2",VLOOKUP($B922,'MAT2'!$B$16:$G$65,2,FALSE),IF($A922="MDEO",VLOOKUP($B922,MDEO!$B$16:$P$27,2,FALSE))))))</f>
        <v>agua</v>
      </c>
      <c r="D922" s="721"/>
      <c r="E922" s="355" t="str">
        <f>IF($A922="EQUI",VLOOKUP($B922,EQUI!B$16:G$35,3,FALSE),IF($A922="TRAN",VLOOKUP($B922,TRAN!$B$16:$G$26,3,FALSE),IF($A922="MAT1",VLOOKUP($B922,'MAT1'!$B$16:$G$43,3,FALSE),IF($A922="MAT2",VLOOKUP($B922,'MAT2'!$B$16:$G$55,3,FALSE),IF($A922="MDEO",VLOOKUP($B922,MDEO!$B$16:$P$27,3,FALSE))))))</f>
        <v>M3</v>
      </c>
      <c r="F922" s="355">
        <f>IF($A922="EQUI",VLOOKUP($B922,EQUI!B$16:G$35,4,FALSE),IF($A922="TRAN",VLOOKUP($B922,TRAN!$B$16:$G$26,4,FALSE),IF($A922="MAT1",VLOOKUP($B922,'MAT1'!$B$16:$G$43,4,FALSE),IF($A922="MAT2",VLOOKUP($B922,'MAT2'!$B$16:$G$53,4,FALSE),IF($A922="MDEO",VLOOKUP($B922,MDEO!$B$16:$P$27,4,FALSE))))))</f>
        <v>2750</v>
      </c>
      <c r="G922" s="352">
        <f>0.2</f>
        <v>0.2</v>
      </c>
      <c r="H922" s="404">
        <f>+F922*G922</f>
        <v>550</v>
      </c>
      <c r="I922" s="403"/>
    </row>
    <row r="923" spans="1:9" ht="12" customHeight="1" x14ac:dyDescent="0.3">
      <c r="A923" s="397" t="s">
        <v>523</v>
      </c>
      <c r="B923" s="398" t="s">
        <v>525</v>
      </c>
      <c r="C923" s="721" t="str">
        <f>IF($A923="EQUI",VLOOKUP($B923,EQUI!B$16:G$35,2,FALSE),IF($A923="TRAN",VLOOKUP($B923,TRAN!$B$16:$G$26,2,FALSE),IF($A923="MAT1",VLOOKUP($B923,'MAT1'!$B$16:$G$43,2,FALSE),IF($A923="MAT2",VLOOKUP($B923,'MAT2'!$B$16:$G$65,2,FALSE),IF($A923="MDEO",VLOOKUP($B923,MDEO!$B$16:$P$27,2,FALSE))))))</f>
        <v xml:space="preserve">Subbase granular </v>
      </c>
      <c r="D923" s="721"/>
      <c r="E923" s="355" t="str">
        <f>IF($A923="EQUI",VLOOKUP($B923,EQUI!B$16:G$35,3,FALSE),IF($A923="TRAN",VLOOKUP($B923,TRAN!$B$16:$G$26,3,FALSE),IF($A923="MAT1",VLOOKUP($B923,'MAT1'!$B$16:$G$43,3,FALSE),IF($A923="MAT2",VLOOKUP($B923,'MAT2'!$B$16:$G$55,3,FALSE),IF($A923="MDEO",VLOOKUP($B923,MDEO!$B$16:$P$27,3,FALSE))))))</f>
        <v>M3</v>
      </c>
      <c r="F923" s="355">
        <f>IF($A923="EQUI",VLOOKUP($B923,EQUI!B$16:G$35,4,FALSE),IF($A923="TRAN",VLOOKUP($B923,TRAN!$B$16:$G$26,4,FALSE),IF($A923="MAT1",VLOOKUP($B923,'MAT1'!$B$16:$G$43,4,FALSE),IF($A923="MAT2",VLOOKUP($B923,'MAT2'!$B$16:$G$53,4,FALSE),IF($A923="MDEO",VLOOKUP($B923,MDEO!$B$16:$P$27,4,FALSE))))))</f>
        <v>39000</v>
      </c>
      <c r="G923" s="352">
        <f>0.4*1.3</f>
        <v>0.52</v>
      </c>
      <c r="H923" s="404">
        <f>+F923*G923</f>
        <v>20280</v>
      </c>
      <c r="I923" s="403"/>
    </row>
    <row r="924" spans="1:9" ht="12" customHeight="1" x14ac:dyDescent="0.3">
      <c r="A924" s="401"/>
      <c r="C924" s="352"/>
      <c r="D924" s="417"/>
      <c r="E924" s="352"/>
      <c r="F924" s="413" t="s">
        <v>32</v>
      </c>
      <c r="G924" s="402" t="str">
        <f>+B913</f>
        <v>4.2</v>
      </c>
      <c r="H924" s="402" t="s">
        <v>348</v>
      </c>
      <c r="I924" s="396">
        <f>SUM(H922:H923)</f>
        <v>20830</v>
      </c>
    </row>
    <row r="925" spans="1:9" ht="12" customHeight="1" x14ac:dyDescent="0.3">
      <c r="A925" s="395" t="s">
        <v>15</v>
      </c>
      <c r="B925" s="386"/>
      <c r="C925" s="352"/>
      <c r="D925" s="417"/>
      <c r="E925" s="352"/>
      <c r="F925" s="352"/>
      <c r="G925" s="352"/>
      <c r="H925" s="352"/>
      <c r="I925" s="403"/>
    </row>
    <row r="926" spans="1:9" ht="12" customHeight="1" x14ac:dyDescent="0.3">
      <c r="A926" s="720" t="s">
        <v>19</v>
      </c>
      <c r="B926" s="712"/>
      <c r="C926" s="712"/>
      <c r="D926" s="355" t="s">
        <v>43</v>
      </c>
      <c r="E926" s="428" t="s">
        <v>44</v>
      </c>
      <c r="F926" s="355" t="s">
        <v>45</v>
      </c>
      <c r="G926" s="350" t="s">
        <v>17</v>
      </c>
      <c r="H926" s="350" t="s">
        <v>30</v>
      </c>
      <c r="I926" s="403"/>
    </row>
    <row r="927" spans="1:9" ht="12" customHeight="1" x14ac:dyDescent="0.3">
      <c r="A927" s="405" t="s">
        <v>3</v>
      </c>
      <c r="B927" s="398" t="s">
        <v>166</v>
      </c>
      <c r="C927" s="419" t="str">
        <f>IF($A927="EQUI",VLOOKUP($B927,EQUI!B$16:G$35,2,FALSE),IF($A927="TRAN",VLOOKUP($B927,TRAN!$B$16:$G$26,2,FALSE),IF($A927="MAT1",VLOOKUP($B927,'MAT1'!$B$16:$G$43,2,FALSE),IF($A927="MAT2",VLOOKUP($B927,'MAT2'!$B$16:$G$65,2,FALSE),IF($A927="MDEO",VLOOKUP($B927,MDEO!$B$16:$P$27,2,FALSE))))))</f>
        <v>trans agua 0-5km</v>
      </c>
      <c r="D927" s="419">
        <f>+G922</f>
        <v>0.2</v>
      </c>
      <c r="E927" s="355">
        <v>5</v>
      </c>
      <c r="F927" s="355">
        <f>+E927*D927</f>
        <v>1</v>
      </c>
      <c r="G927" s="350">
        <f>IF($A927="EQUI",VLOOKUP($B927,[6]EQUI!B$16:G$46,4,FALSE),IF($A927="TRAN",VLOOKUP($B927,[6]TRAN!$B$16:$G$26,4,FALSE),IF($A927="MAT",VLOOKUP($B927,[6]MAT!$B$16:$G$83,4,FALSE),IF($A927="MDEO",VLOOKUP($B927,[6]MDEO!$B$16:$I$21,4,FALSE)))))</f>
        <v>1095</v>
      </c>
      <c r="H927" s="404">
        <f>+F927*G927</f>
        <v>1095</v>
      </c>
      <c r="I927" s="403"/>
    </row>
    <row r="928" spans="1:9" ht="12" customHeight="1" x14ac:dyDescent="0.3">
      <c r="A928" s="405" t="s">
        <v>3</v>
      </c>
      <c r="B928" s="398" t="s">
        <v>428</v>
      </c>
      <c r="C928" s="419" t="str">
        <f>IF($A928="EQUI",VLOOKUP($B928,EQUI!B$16:G$35,2,FALSE),IF($A928="TRAN",VLOOKUP($B928,TRAN!$B$16:$G$37,2,FALSE),IF($A928="MAT1",VLOOKUP($B928,'MAT1'!$B$16:$G$43,2,FALSE),IF($A928="MAT2",VLOOKUP($B928,'MAT2'!$B$16:$G$65,2,FALSE),IF($A928="MDEO",VLOOKUP($B928,MDEO!$B$16:$P$27,2,FALSE))))))</f>
        <v>trans material necocli &gt; 10 km</v>
      </c>
      <c r="D928" s="419">
        <f>+G923</f>
        <v>0.52</v>
      </c>
      <c r="E928" s="355">
        <v>50</v>
      </c>
      <c r="F928" s="355">
        <f>+E928*D928</f>
        <v>26</v>
      </c>
      <c r="G928" s="350">
        <f>IF($A928="EQUI",VLOOKUP($B928,EQUI!B$16:G$35,2,FALSE),IF($A928="TRAN",VLOOKUP($B928,TRAN!$B$16:$G$37,4,FALSE),IF($A928="MAT1",VLOOKUP($B928,'MAT1'!$B$16:$G$43,2,FALSE),IF($A928="MAT2",VLOOKUP($B928,'MAT2'!$B$16:$G$65,2,FALSE),IF($A928="MDEO",VLOOKUP($B928,MDEO!$B$16:$P$27,2,FALSE))))))</f>
        <v>650</v>
      </c>
      <c r="H928" s="404">
        <f>+F928*G928</f>
        <v>16900</v>
      </c>
      <c r="I928" s="403"/>
    </row>
    <row r="929" spans="1:9" ht="12" customHeight="1" x14ac:dyDescent="0.3">
      <c r="A929" s="401"/>
      <c r="C929" s="352"/>
      <c r="D929" s="417"/>
      <c r="E929" s="352"/>
      <c r="F929" s="413" t="s">
        <v>32</v>
      </c>
      <c r="G929" s="402" t="str">
        <f>+B913</f>
        <v>4.2</v>
      </c>
      <c r="H929" s="402" t="s">
        <v>349</v>
      </c>
      <c r="I929" s="396">
        <f>SUM(H927:H928)</f>
        <v>17995</v>
      </c>
    </row>
    <row r="930" spans="1:9" ht="12.75" customHeight="1" x14ac:dyDescent="0.3">
      <c r="A930" s="395" t="s">
        <v>1107</v>
      </c>
      <c r="B930" s="386"/>
      <c r="C930" s="352"/>
      <c r="D930" s="417"/>
      <c r="E930" s="352"/>
      <c r="F930" s="352"/>
      <c r="G930" s="352"/>
      <c r="H930" s="352"/>
      <c r="I930" s="403"/>
    </row>
    <row r="931" spans="1:9" ht="12" customHeight="1" x14ac:dyDescent="0.3">
      <c r="A931" s="722" t="s">
        <v>18</v>
      </c>
      <c r="B931" s="723"/>
      <c r="C931" s="723"/>
      <c r="D931" s="355" t="s">
        <v>48</v>
      </c>
      <c r="E931" s="355" t="s">
        <v>109</v>
      </c>
      <c r="F931" s="380" t="s">
        <v>250</v>
      </c>
      <c r="G931" s="380" t="s">
        <v>251</v>
      </c>
      <c r="H931" s="355" t="s">
        <v>252</v>
      </c>
      <c r="I931" s="407"/>
    </row>
    <row r="932" spans="1:9" ht="12" customHeight="1" x14ac:dyDescent="0.3">
      <c r="A932" s="405" t="s">
        <v>4</v>
      </c>
      <c r="B932" s="408" t="s">
        <v>175</v>
      </c>
      <c r="C932" s="409" t="str">
        <f>IF($A932="EQUI",VLOOKUP($B932,EQUI!B$16:G$35,3,FALSE),IF($A932="TRAN",VLOOKUP($B932,TRAN!$B$16:$G$26,3,FALSE),IF($A932="MAT",VLOOKUP($B932,'MAT1'!$B$16:$G$43,3,FALSE),IF($A932="MDEO",VLOOKUP($B932,MDEO!$B$16:$P$33,2,FALSE)))))</f>
        <v xml:space="preserve">oficial </v>
      </c>
      <c r="D932" s="449">
        <f>IF($A932="EQUI",VLOOKUP($B932,EQUI!B$16:G$35,3,FALSE),IF($A932="TRAN",VLOOKUP($B932,TRAN!$B$16:$G$26,3,FALSE),IF($A932="MAT",VLOOKUP($B932,'MAT1'!$B$16:$G$43,3,FALSE),IF($A932="MDEO",VLOOKUP($B932,MDEO!$B$16:$P$33,10,FALSE)))))</f>
        <v>12336.644836388892</v>
      </c>
      <c r="E932" s="410"/>
      <c r="F932" s="438">
        <f>+D932+D932*E932</f>
        <v>12336.644836388892</v>
      </c>
      <c r="G932" s="412">
        <v>1</v>
      </c>
      <c r="H932" s="411">
        <f>G932*F932</f>
        <v>12336.644836388892</v>
      </c>
      <c r="I932" s="403"/>
    </row>
    <row r="933" spans="1:9" ht="12" customHeight="1" x14ac:dyDescent="0.3">
      <c r="A933" s="405" t="s">
        <v>4</v>
      </c>
      <c r="B933" s="408" t="s">
        <v>177</v>
      </c>
      <c r="C933" s="409" t="str">
        <f>IF($A933="EQUI",VLOOKUP($B933,EQUI!B$16:G$35,3,FALSE),IF($A933="TRAN",VLOOKUP($B933,TRAN!$B$16:$G$26,3,FALSE),IF($A933="MAT",VLOOKUP($B933,'MAT1'!$B$16:$G$43,3,FALSE),IF($A933="MDEO",VLOOKUP($B933,MDEO!$B$16:$P$33,2,FALSE)))))</f>
        <v xml:space="preserve">ayudante </v>
      </c>
      <c r="D933" s="449">
        <f>IF($A933="EQUI",VLOOKUP($B933,EQUI!B$16:G$35,3,FALSE),IF($A933="TRAN",VLOOKUP($B933,TRAN!$B$16:$G$26,3,FALSE),IF($A933="MAT",VLOOKUP($B933,'MAT1'!$B$16:$G$43,3,FALSE),IF($A933="MDEO",VLOOKUP($B933,MDEO!$B$16:$P$33,10,FALSE)))))</f>
        <v>10336.644836388892</v>
      </c>
      <c r="E933" s="410"/>
      <c r="F933" s="438">
        <f>+D933+D933*E933</f>
        <v>10336.644836388892</v>
      </c>
      <c r="G933" s="412">
        <v>2</v>
      </c>
      <c r="H933" s="411">
        <f>G933*F933</f>
        <v>20673.289672777784</v>
      </c>
      <c r="I933" s="403"/>
    </row>
    <row r="934" spans="1:9" ht="12" customHeight="1" x14ac:dyDescent="0.3">
      <c r="A934" s="405" t="s">
        <v>4</v>
      </c>
      <c r="B934" s="408" t="s">
        <v>178</v>
      </c>
      <c r="C934" s="409" t="str">
        <f>IF($A934="EQUI",VLOOKUP($B934,EQUI!B$16:G$35,3,FALSE),IF($A934="TRAN",VLOOKUP($B934,TRAN!$B$16:$G$26,3,FALSE),IF($A934="MAT",VLOOKUP($B934,'MAT1'!$B$16:$G$43,3,FALSE),IF($A934="MDEO",VLOOKUP($B934,MDEO!$B$16:$P$33,2,FALSE)))))</f>
        <v>contra maestro</v>
      </c>
      <c r="D934" s="449">
        <f>IF($A934="EQUI",VLOOKUP($B934,EQUI!B$16:G$35,3,FALSE),IF($A934="TRAN",VLOOKUP($B934,TRAN!$B$16:$G$26,3,FALSE),IF($A934="MAT",VLOOKUP($B934,'MAT1'!$B$16:$G$43,3,FALSE),IF($A934="MDEO",VLOOKUP($B934,MDEO!$B$16:$P$33,10,FALSE)))))</f>
        <v>12974.601086388891</v>
      </c>
      <c r="E934" s="410"/>
      <c r="F934" s="438">
        <f>+D934+D934*E934</f>
        <v>12974.601086388891</v>
      </c>
      <c r="G934" s="412">
        <v>0.1</v>
      </c>
      <c r="H934" s="411">
        <f>G934*F934</f>
        <v>1297.4601086388893</v>
      </c>
      <c r="I934" s="403"/>
    </row>
    <row r="935" spans="1:9" ht="12" customHeight="1" x14ac:dyDescent="0.3">
      <c r="A935" s="720"/>
      <c r="B935" s="712"/>
      <c r="C935" s="352"/>
      <c r="D935" s="417"/>
      <c r="E935" s="352"/>
      <c r="F935" s="352"/>
      <c r="G935" s="352"/>
      <c r="H935" s="352"/>
      <c r="I935" s="403"/>
    </row>
    <row r="936" spans="1:9" ht="12" customHeight="1" x14ac:dyDescent="0.3">
      <c r="A936" s="401"/>
      <c r="C936" s="352"/>
      <c r="D936" s="417"/>
      <c r="E936" s="352"/>
      <c r="F936" s="413" t="s">
        <v>32</v>
      </c>
      <c r="G936" s="402" t="str">
        <f>+B913</f>
        <v>4.2</v>
      </c>
      <c r="H936" s="413" t="s">
        <v>350</v>
      </c>
      <c r="I936" s="396">
        <f>SUM(H932:H935)</f>
        <v>34307.394617805563</v>
      </c>
    </row>
    <row r="937" spans="1:9" ht="12" customHeight="1" x14ac:dyDescent="0.3">
      <c r="A937" s="401" t="s">
        <v>54</v>
      </c>
      <c r="C937" s="352"/>
      <c r="D937" s="417"/>
      <c r="E937" s="352"/>
      <c r="F937" s="352"/>
      <c r="G937" s="352"/>
      <c r="H937" s="350"/>
      <c r="I937" s="396">
        <f>I936*0.05</f>
        <v>1715.3697308902783</v>
      </c>
    </row>
    <row r="938" spans="1:9" ht="12" customHeight="1" x14ac:dyDescent="0.3">
      <c r="A938" s="401"/>
      <c r="C938" s="352"/>
      <c r="D938" s="417"/>
      <c r="E938" s="352"/>
      <c r="F938" s="413" t="s">
        <v>55</v>
      </c>
      <c r="G938" s="350"/>
      <c r="H938" s="350"/>
      <c r="I938" s="396">
        <f>ROUND(I936+I937+I924+I919+I929,0)</f>
        <v>80048</v>
      </c>
    </row>
    <row r="939" spans="1:9" ht="12.75" customHeight="1" x14ac:dyDescent="0.3">
      <c r="A939" s="414"/>
      <c r="B939" s="415"/>
      <c r="C939" s="415"/>
      <c r="D939" s="450"/>
      <c r="E939" s="415"/>
      <c r="F939" s="415"/>
      <c r="G939" s="415"/>
      <c r="H939" s="415"/>
      <c r="I939" s="396"/>
    </row>
    <row r="940" spans="1:9" ht="59.4" customHeight="1" x14ac:dyDescent="0.3">
      <c r="A940" s="724" t="s">
        <v>114</v>
      </c>
      <c r="B940" s="710"/>
      <c r="C940" s="710"/>
      <c r="D940" s="450"/>
      <c r="E940" s="415"/>
      <c r="F940" s="710" t="s">
        <v>396</v>
      </c>
      <c r="G940" s="710"/>
      <c r="H940" s="710"/>
      <c r="I940" s="711"/>
    </row>
    <row r="941" spans="1:9" ht="12.75" customHeight="1" x14ac:dyDescent="0.3">
      <c r="A941" s="397" t="s">
        <v>111</v>
      </c>
      <c r="B941" s="712"/>
      <c r="C941" s="712"/>
      <c r="D941" s="417"/>
      <c r="E941" s="352"/>
      <c r="F941" s="350" t="s">
        <v>111</v>
      </c>
      <c r="G941" s="712"/>
      <c r="H941" s="712"/>
      <c r="I941" s="713"/>
    </row>
    <row r="942" spans="1:9" ht="12.75" customHeight="1" x14ac:dyDescent="0.3">
      <c r="A942" s="439" t="s">
        <v>115</v>
      </c>
      <c r="B942" s="710" t="s">
        <v>1551</v>
      </c>
      <c r="C942" s="710"/>
      <c r="F942" s="432" t="s">
        <v>112</v>
      </c>
      <c r="G942" s="712"/>
      <c r="H942" s="712"/>
      <c r="I942" s="713"/>
    </row>
    <row r="943" spans="1:9" ht="12.75" customHeight="1" x14ac:dyDescent="0.3">
      <c r="A943" s="439" t="s">
        <v>113</v>
      </c>
      <c r="B943" s="710" t="s">
        <v>1554</v>
      </c>
      <c r="C943" s="710"/>
      <c r="F943" s="432" t="s">
        <v>113</v>
      </c>
      <c r="G943" s="712"/>
      <c r="H943" s="712"/>
      <c r="I943" s="713"/>
    </row>
    <row r="944" spans="1:9" ht="12.75" customHeight="1" x14ac:dyDescent="0.3">
      <c r="A944" s="439"/>
      <c r="B944" s="350"/>
      <c r="C944" s="350"/>
      <c r="F944" s="432"/>
      <c r="G944" s="350"/>
      <c r="H944" s="350"/>
      <c r="I944" s="416"/>
    </row>
    <row r="945" spans="1:15" ht="12.75" customHeight="1" x14ac:dyDescent="0.3">
      <c r="A945" s="714" t="s">
        <v>110</v>
      </c>
      <c r="B945" s="715"/>
      <c r="C945" s="715"/>
      <c r="D945" s="715"/>
      <c r="E945" s="715"/>
      <c r="F945" s="715"/>
      <c r="G945" s="715"/>
      <c r="H945" s="715"/>
      <c r="I945" s="716"/>
    </row>
    <row r="946" spans="1:15" ht="19.95" customHeight="1" x14ac:dyDescent="0.3">
      <c r="A946" s="729"/>
      <c r="B946" s="730"/>
      <c r="C946" s="730"/>
      <c r="D946" s="730"/>
      <c r="E946" s="730"/>
      <c r="F946" s="730"/>
      <c r="G946" s="730"/>
      <c r="H946" s="730"/>
      <c r="I946" s="731"/>
    </row>
    <row r="947" spans="1:15" ht="19.95" customHeight="1" x14ac:dyDescent="0.3">
      <c r="A947" s="714"/>
      <c r="B947" s="715"/>
      <c r="C947" s="715"/>
      <c r="D947" s="715"/>
      <c r="E947" s="715"/>
      <c r="F947" s="715"/>
      <c r="G947" s="715"/>
      <c r="H947" s="715"/>
      <c r="I947" s="716"/>
    </row>
    <row r="948" spans="1:15" ht="12.75" customHeight="1" x14ac:dyDescent="0.3">
      <c r="A948" s="433"/>
      <c r="I948" s="434"/>
    </row>
    <row r="949" spans="1:15" ht="9.75" customHeight="1" x14ac:dyDescent="0.3">
      <c r="A949" s="724" t="s">
        <v>68</v>
      </c>
      <c r="B949" s="710"/>
      <c r="C949" s="710"/>
      <c r="D949" s="710"/>
      <c r="E949" s="710"/>
      <c r="F949" s="710"/>
      <c r="G949" s="710"/>
      <c r="H949" s="710"/>
      <c r="I949" s="711"/>
    </row>
    <row r="950" spans="1:15" ht="19.2" customHeight="1" x14ac:dyDescent="0.3">
      <c r="A950" s="390" t="s">
        <v>69</v>
      </c>
      <c r="B950" s="391" t="s">
        <v>268</v>
      </c>
      <c r="C950" s="710" t="s">
        <v>70</v>
      </c>
      <c r="D950" s="721" t="str">
        <f>VLOOKUP(B950,'AJUSTE PRESUPUESTO'!$A$18:$I$68,3,FALSE)</f>
        <v xml:space="preserve">construcción de anden e: 0,1m en concreto texturizado con tableta 20*20 táctil y 10*20 señalizado </v>
      </c>
      <c r="E950" s="721"/>
      <c r="F950" s="721"/>
      <c r="G950" s="721"/>
      <c r="H950" s="721"/>
      <c r="I950" s="732"/>
    </row>
    <row r="951" spans="1:15" ht="9.75" customHeight="1" x14ac:dyDescent="0.3">
      <c r="A951" s="390" t="s">
        <v>71</v>
      </c>
      <c r="B951" s="391" t="str">
        <f>VLOOKUP(B950,PRESUPUESTO!$A$18:$I$69,2,FALSE)</f>
        <v>PAR-07</v>
      </c>
      <c r="C951" s="710"/>
      <c r="D951" s="355" t="s">
        <v>12</v>
      </c>
      <c r="E951" s="392" t="s">
        <v>26</v>
      </c>
      <c r="F951" s="392" t="s">
        <v>13</v>
      </c>
      <c r="G951" s="392">
        <f>VLOOKUP(B951,PRESUPUESTO!$B$15:$I$1201,5,FALSE)</f>
        <v>18157</v>
      </c>
      <c r="H951" s="393" t="s">
        <v>27</v>
      </c>
      <c r="I951" s="429">
        <f>+I977</f>
        <v>138136</v>
      </c>
      <c r="J951" s="445"/>
    </row>
    <row r="952" spans="1:15" ht="9.75" customHeight="1" x14ac:dyDescent="0.3">
      <c r="A952" s="395" t="s">
        <v>14</v>
      </c>
      <c r="B952" s="386"/>
      <c r="C952" s="352"/>
      <c r="D952" s="417"/>
      <c r="E952" s="352"/>
      <c r="F952" s="352"/>
      <c r="G952" s="352"/>
      <c r="H952" s="352"/>
      <c r="I952" s="396"/>
    </row>
    <row r="953" spans="1:15" ht="9.75" customHeight="1" x14ac:dyDescent="0.3">
      <c r="A953" s="720" t="s">
        <v>19</v>
      </c>
      <c r="B953" s="712"/>
      <c r="C953" s="712"/>
      <c r="D953" s="712"/>
      <c r="E953" s="712"/>
      <c r="F953" s="350" t="s">
        <v>28</v>
      </c>
      <c r="G953" s="350" t="s">
        <v>29</v>
      </c>
      <c r="H953" s="350" t="s">
        <v>30</v>
      </c>
      <c r="I953" s="403"/>
    </row>
    <row r="954" spans="1:15" ht="9.75" customHeight="1" x14ac:dyDescent="0.3">
      <c r="A954" s="397" t="s">
        <v>1</v>
      </c>
      <c r="B954" s="398" t="s">
        <v>85</v>
      </c>
      <c r="C954" s="721" t="str">
        <f>IF($A954="EQUI",VLOOKUP($B954,EQUI!B$16:G$54,2,FALSE),IF($A954="TRAN",VLOOKUP($B954,TRAN!$B$16:$G$26,3,FALSE),IF($A954="MAT",VLOOKUP($B954,'MAT1'!$B$16:$G$43,3,FALSE),IF($A954="MDEO",VLOOKUP($B954,MDEO!$B$16:$P$33,2,FALSE)))))</f>
        <v>formaleta para bordillo/cuneta</v>
      </c>
      <c r="D954" s="721"/>
      <c r="E954" s="721"/>
      <c r="F954" s="355">
        <f>IF($A954="EQUI",VLOOKUP($B954,EQUI!B$16:G$54,4,FALSE),IF($A954="TRAN",VLOOKUP($B954,TRAN!$B$16:$G$26,3,FALSE),IF($A954="MAT",VLOOKUP($B954,'MAT1'!$B$16:$G$43,3,FALSE),IF($A954="MDEO",VLOOKUP($B954,MDEO!$B$16:$P$33,2,FALSE)))))</f>
        <v>2150</v>
      </c>
      <c r="G954" s="352">
        <v>1</v>
      </c>
      <c r="H954" s="404">
        <f>+F954*G954</f>
        <v>2150</v>
      </c>
      <c r="I954" s="403"/>
    </row>
    <row r="955" spans="1:15" ht="9.75" customHeight="1" x14ac:dyDescent="0.3">
      <c r="A955" s="401"/>
      <c r="C955" s="352"/>
      <c r="D955" s="417"/>
      <c r="E955" s="352"/>
      <c r="F955" s="413" t="s">
        <v>32</v>
      </c>
      <c r="G955" s="402" t="str">
        <f>+B950</f>
        <v>4.3</v>
      </c>
      <c r="H955" s="402" t="s">
        <v>351</v>
      </c>
      <c r="I955" s="396">
        <f>SUM(H954:H954)</f>
        <v>2150</v>
      </c>
    </row>
    <row r="956" spans="1:15" ht="9.75" customHeight="1" x14ac:dyDescent="0.3">
      <c r="A956" s="395" t="s">
        <v>34</v>
      </c>
      <c r="B956" s="386"/>
      <c r="C956" s="352"/>
      <c r="D956" s="417"/>
      <c r="E956" s="352"/>
      <c r="F956" s="352"/>
      <c r="G956" s="352"/>
      <c r="H956" s="352"/>
      <c r="I956" s="403"/>
    </row>
    <row r="957" spans="1:15" ht="9.75" customHeight="1" x14ac:dyDescent="0.3">
      <c r="A957" s="720" t="s">
        <v>35</v>
      </c>
      <c r="B957" s="712"/>
      <c r="C957" s="712"/>
      <c r="D957" s="712"/>
      <c r="E957" s="350" t="s">
        <v>12</v>
      </c>
      <c r="F957" s="350" t="s">
        <v>36</v>
      </c>
      <c r="G957" s="350" t="s">
        <v>37</v>
      </c>
      <c r="H957" s="350" t="s">
        <v>38</v>
      </c>
      <c r="I957" s="403"/>
    </row>
    <row r="958" spans="1:15" ht="9.75" customHeight="1" x14ac:dyDescent="0.3">
      <c r="A958" s="397" t="s">
        <v>523</v>
      </c>
      <c r="B958" s="398" t="s">
        <v>139</v>
      </c>
      <c r="C958" s="721" t="str">
        <f>IF($A958="EQUI",VLOOKUP($B958,EQUI!B$16:G$35,2,FALSE),IF($A958="TRAN",VLOOKUP($B958,TRAN!$B$16:$G$26,2,FALSE),IF($A958="MAT1",VLOOKUP($B958,'MAT1'!$B$16:$G$43,2,FALSE),IF($A958="MAT2",VLOOKUP($B958,'MAT2'!$B$16:$G$65,2,FALSE),IF($A958="MDEO",VLOOKUP($B958,MDEO!$B$16:$P$27,2,FALSE))))))</f>
        <v>Concreto 3000psi en obra</v>
      </c>
      <c r="D958" s="721"/>
      <c r="E958" s="355" t="str">
        <f>IF($A958="EQUI",VLOOKUP($B958,EQUI!B$16:G$35,3,FALSE),IF($A958="TRAN",VLOOKUP($B958,TRAN!$B$16:$G$26,3,FALSE),IF($A958="MAT1",VLOOKUP($B958,'MAT1'!$B$16:$G$43,3,FALSE),IF($A958="MAT2",VLOOKUP($B958,'MAT2'!$B$16:$G$55,3,FALSE),IF($A958="MDEO",VLOOKUP($B958,MDEO!$B$16:$P$27,3,FALSE))))))</f>
        <v>M3</v>
      </c>
      <c r="F958" s="355">
        <f>IF($A958="EQUI",VLOOKUP($B958,EQUI!B$16:G$35,4,FALSE),IF($A958="TRAN",VLOOKUP($B958,TRAN!$B$16:$G$26,4,FALSE),IF($A958="MAT1",VLOOKUP($B958,'MAT1'!$B$16:$G$43,4,FALSE),IF($A958="MAT2",VLOOKUP($B958,'MAT2'!$B$16:$G$53,4,FALSE),IF($A958="MDEO",VLOOKUP($B958,MDEO!$B$16:$P$27,4,FALSE))))))</f>
        <v>498450</v>
      </c>
      <c r="G958" s="352">
        <v>0.1</v>
      </c>
      <c r="H958" s="404">
        <f>+G958*F958</f>
        <v>49845</v>
      </c>
      <c r="I958" s="403"/>
      <c r="K958" s="441">
        <f>+G958*G951</f>
        <v>1815.7</v>
      </c>
      <c r="M958" s="430">
        <f>+G958*G951*7</f>
        <v>12709.9</v>
      </c>
      <c r="N958" s="430">
        <f>+G958*G951*0.5</f>
        <v>907.85</v>
      </c>
      <c r="O958" s="430">
        <f>+G958*G951*0.9</f>
        <v>1634.13</v>
      </c>
    </row>
    <row r="959" spans="1:15" ht="9.75" customHeight="1" x14ac:dyDescent="0.3">
      <c r="A959" s="397" t="s">
        <v>522</v>
      </c>
      <c r="B959" s="398" t="s">
        <v>159</v>
      </c>
      <c r="C959" s="721" t="str">
        <f>IF($A959="EQUI",VLOOKUP($B959,EQUI!B$16:G$35,2,FALSE),IF($A959="TRAN",VLOOKUP($B959,TRAN!$B$16:$G$26,2,FALSE),IF($A959="MAT1",VLOOKUP($B959,'MAT1'!$B$16:$G$54,2,FALSE),IF($A959="MAT2",VLOOKUP($B959,'MAT2'!$B$16:$G$65,2,FALSE),IF($A959="MDEO",VLOOKUP($B959,MDEO!$B$16:$P$27,2,FALSE))))))</f>
        <v>tableta señalización 0,1*20 m gris</v>
      </c>
      <c r="D959" s="721"/>
      <c r="E959" s="355" t="str">
        <f>IF($A959="EQUI",VLOOKUP($B959,EQUI!B$16:G$35,3,FALSE),IF($A959="TRAN",VLOOKUP($B959,TRAN!$B$16:$G$26,3,FALSE),IF($A959="MAT1",VLOOKUP($B959,'MAT1'!$B$16:$G$54,3,FALSE),IF($A959="MAT2",VLOOKUP($B959,'MAT2'!$B$16:$G$55,3,FALSE),IF($A959="MDEO",VLOOKUP($B959,MDEO!$B$16:$P$27,3,FALSE))))))</f>
        <v>UN</v>
      </c>
      <c r="F959" s="355">
        <f>IF($A959="EQUI",VLOOKUP($B959,EQUI!B$16:G$35,4,FALSE),IF($A959="TRAN",VLOOKUP($B959,TRAN!$B$16:$G$26,4,FALSE),IF($A959="MAT1",VLOOKUP($B959,'MAT1'!$B$16:$G$54,4,FALSE),IF($A959="MAT2",VLOOKUP($B959,'MAT2'!$B$16:$G$53,4,FALSE),IF($A959="MDEO",VLOOKUP($B959,MDEO!$B$16:$P$27,4,FALSE))))))</f>
        <v>1300</v>
      </c>
      <c r="G959" s="352">
        <v>5</v>
      </c>
      <c r="H959" s="404">
        <f>+F959*G959</f>
        <v>6500</v>
      </c>
      <c r="I959" s="403"/>
    </row>
    <row r="960" spans="1:15" ht="9.75" customHeight="1" x14ac:dyDescent="0.3">
      <c r="A960" s="397" t="s">
        <v>522</v>
      </c>
      <c r="B960" s="398" t="s">
        <v>160</v>
      </c>
      <c r="C960" s="721" t="str">
        <f>IF($A960="EQUI",VLOOKUP($B960,EQUI!B$16:G$35,2,FALSE),IF($A960="TRAN",VLOOKUP($B960,TRAN!$B$16:$G$26,2,FALSE),IF($A960="MAT1",VLOOKUP($B960,'MAT1'!$B$16:$G$54,2,FALSE),IF($A960="MAT2",VLOOKUP($B960,'MAT2'!$B$16:$G$65,2,FALSE),IF($A960="MDEO",VLOOKUP($B960,MDEO!$B$16:$P$27,2,FALSE))))))</f>
        <v>tableta táctil  guía 0,2*,2 m color gris</v>
      </c>
      <c r="D960" s="721"/>
      <c r="E960" s="355" t="str">
        <f>IF($A960="EQUI",VLOOKUP($B960,EQUI!B$16:G$35,3,FALSE),IF($A960="TRAN",VLOOKUP($B960,TRAN!$B$16:$G$26,3,FALSE),IF($A960="MAT1",VLOOKUP($B960,'MAT1'!$B$16:$G$54,3,FALSE),IF($A960="MAT2",VLOOKUP($B960,'MAT2'!$B$16:$G$55,3,FALSE),IF($A960="MDEO",VLOOKUP($B960,MDEO!$B$16:$P$27,3,FALSE))))))</f>
        <v>UN</v>
      </c>
      <c r="F960" s="355">
        <f>IF($A960="EQUI",VLOOKUP($B960,EQUI!B$16:G$35,4,FALSE),IF($A960="TRAN",VLOOKUP($B960,TRAN!$B$16:$G$26,4,FALSE),IF($A960="MAT1",VLOOKUP($B960,'MAT1'!$B$16:$G$54,4,FALSE),IF($A960="MAT2",VLOOKUP($B960,'MAT2'!$B$16:$G$53,4,FALSE),IF($A960="MDEO",VLOOKUP($B960,MDEO!$B$16:$P$27,4,FALSE))))))</f>
        <v>2100</v>
      </c>
      <c r="G960" s="352">
        <v>5</v>
      </c>
      <c r="H960" s="404">
        <f>+F960*G960</f>
        <v>10500</v>
      </c>
      <c r="I960" s="403"/>
    </row>
    <row r="961" spans="1:16" ht="13.5" customHeight="1" x14ac:dyDescent="0.3">
      <c r="A961" s="397" t="s">
        <v>523</v>
      </c>
      <c r="B961" s="398" t="s">
        <v>141</v>
      </c>
      <c r="C961" s="721" t="str">
        <f>IF($A961="EQUI",VLOOKUP($B961,EQUI!B$16:G$35,2,FALSE),IF($A961="TRAN",VLOOKUP($B961,TRAN!$B$16:$G$26,2,FALSE),IF($A961="MAT1",VLOOKUP($B961,'MAT1'!$B$16:$G$43,2,FALSE),IF($A961="MAT2",VLOOKUP($B961,'MAT2'!$B$16:$G$65,2,FALSE),IF($A961="MDEO",VLOOKUP($B961,MDEO!$B$16:$P$27,2,FALSE))))))</f>
        <v>Malla electrosoldada</v>
      </c>
      <c r="D961" s="721"/>
      <c r="E961" s="355" t="str">
        <f>IF($A961="EQUI",VLOOKUP($B961,EQUI!B$16:G$35,3,FALSE),IF($A961="TRAN",VLOOKUP($B961,TRAN!$B$16:$G$26,3,FALSE),IF($A961="MAT1",VLOOKUP($B961,'MAT1'!$B$16:$G$43,3,FALSE),IF($A961="MAT2",VLOOKUP($B961,'MAT2'!$B$16:$G$55,3,FALSE),IF($A961="MDEO",VLOOKUP($B961,MDEO!$B$16:$P$27,3,FALSE))))))</f>
        <v>KG</v>
      </c>
      <c r="F961" s="355">
        <f>IF($A961="EQUI",VLOOKUP($B961,EQUI!B$16:G$35,4,FALSE),IF($A961="TRAN",VLOOKUP($B961,TRAN!$B$16:$G$26,4,FALSE),IF($A961="MAT1",VLOOKUP($B961,'MAT1'!$B$16:$G$54,4,FALSE),IF($A961="MAT2",VLOOKUP($B961,'MAT2'!$B$16:$G$53,4,FALSE),IF($A961="MDEO",VLOOKUP($B961,MDEO!$B$16:$P$27,4,FALSE))))))</f>
        <v>6200</v>
      </c>
      <c r="G961" s="352">
        <v>0.82</v>
      </c>
      <c r="H961" s="404">
        <f>+F961*G961</f>
        <v>5084</v>
      </c>
      <c r="I961" s="403"/>
      <c r="P961" s="430">
        <f>+G961*G951</f>
        <v>14888.74</v>
      </c>
    </row>
    <row r="962" spans="1:16" ht="15.9" customHeight="1" x14ac:dyDescent="0.3">
      <c r="A962" s="397" t="s">
        <v>523</v>
      </c>
      <c r="B962" s="398" t="s">
        <v>143</v>
      </c>
      <c r="C962" s="721" t="str">
        <f>IF($A962="EQUI",VLOOKUP($B962,EQUI!B$16:G$35,2,FALSE),IF($A962="TRAN",VLOOKUP($B962,TRAN!$B$16:$G$26,2,FALSE),IF($A962="MAT1",VLOOKUP($B962,'MAT1'!$B$16:$G$43,2,FALSE),IF($A962="MAT2",VLOOKUP($B962,'MAT2'!$B$16:$G$65,2,FALSE),IF($A962="MDEO",VLOOKUP($B962,MDEO!$B$16:$P$27,2,FALSE))))))</f>
        <v>Mortero 1:6 para pega y rebitada</v>
      </c>
      <c r="D962" s="721"/>
      <c r="E962" s="355" t="str">
        <f>IF($A962="EQUI",VLOOKUP($B962,EQUI!B$16:G$35,3,FALSE),IF($A962="TRAN",VLOOKUP($B962,TRAN!$B$16:$G$26,3,FALSE),IF($A962="MAT1",VLOOKUP($B962,'MAT1'!$B$16:$G$43,3,FALSE),IF($A962="MAT2",VLOOKUP($B962,'MAT2'!$B$16:$G$55,3,FALSE),IF($A962="MDEO",VLOOKUP($B962,MDEO!$B$16:$P$27,3,FALSE))))))</f>
        <v>M3</v>
      </c>
      <c r="F962" s="355">
        <f>IF($A962="EQUI",VLOOKUP($B962,EQUI!B$16:G$35,4,FALSE),IF($A962="TRAN",VLOOKUP($B962,TRAN!$B$16:$G$26,4,FALSE),IF($A962="MAT1",VLOOKUP($B962,'MAT1'!$B$16:$G$43,4,FALSE),IF($A962="MAT2",VLOOKUP($B962,'MAT2'!$B$16:$G$53,4,FALSE),IF($A962="MDEO",VLOOKUP($B962,MDEO!$B$16:$P$27,4,FALSE))))))</f>
        <v>403352</v>
      </c>
      <c r="G962" s="352">
        <f>0.02*0.3</f>
        <v>6.0000000000000001E-3</v>
      </c>
      <c r="H962" s="404">
        <f>+F962*G962</f>
        <v>2420.1120000000001</v>
      </c>
      <c r="I962" s="403"/>
      <c r="M962" s="430">
        <f>+G962*G951*5</f>
        <v>544.71</v>
      </c>
    </row>
    <row r="963" spans="1:16" ht="9.75" customHeight="1" x14ac:dyDescent="0.3">
      <c r="A963" s="401"/>
      <c r="C963" s="352"/>
      <c r="D963" s="417"/>
      <c r="E963" s="352"/>
      <c r="F963" s="413" t="s">
        <v>32</v>
      </c>
      <c r="G963" s="402" t="str">
        <f>+B950</f>
        <v>4.3</v>
      </c>
      <c r="H963" s="402" t="s">
        <v>352</v>
      </c>
      <c r="I963" s="396">
        <f>SUM(H958:H962)</f>
        <v>74349.111999999994</v>
      </c>
    </row>
    <row r="964" spans="1:16" ht="9.75" customHeight="1" x14ac:dyDescent="0.3">
      <c r="A964" s="395" t="s">
        <v>15</v>
      </c>
      <c r="B964" s="386"/>
      <c r="C964" s="352"/>
      <c r="D964" s="417"/>
      <c r="E964" s="352"/>
      <c r="F964" s="352"/>
      <c r="G964" s="352"/>
      <c r="H964" s="352"/>
      <c r="I964" s="403"/>
    </row>
    <row r="965" spans="1:16" ht="9.75" customHeight="1" x14ac:dyDescent="0.3">
      <c r="A965" s="720" t="s">
        <v>19</v>
      </c>
      <c r="B965" s="712"/>
      <c r="C965" s="712"/>
      <c r="D965" s="355" t="s">
        <v>43</v>
      </c>
      <c r="E965" s="350" t="s">
        <v>44</v>
      </c>
      <c r="F965" s="355" t="s">
        <v>45</v>
      </c>
      <c r="G965" s="350" t="s">
        <v>17</v>
      </c>
      <c r="H965" s="350" t="s">
        <v>30</v>
      </c>
      <c r="I965" s="403"/>
    </row>
    <row r="966" spans="1:16" ht="9.75" customHeight="1" x14ac:dyDescent="0.3">
      <c r="A966" s="405" t="s">
        <v>3</v>
      </c>
      <c r="B966" s="398" t="s">
        <v>170</v>
      </c>
      <c r="C966" s="419" t="str">
        <f>IF($A966="EQUI",VLOOKUP($B966,EQUI!B$16:G$35,2,FALSE),IF($A966="TRAN",VLOOKUP($B966,TRAN!$B$16:$G$26,2,FALSE),IF($A966="MAT1",VLOOKUP($B966,'MAT1'!$B$16:$G$43,2,FALSE),IF($A966="MAT2",VLOOKUP($B966,'MAT2'!$B$16:$G$65,2,FALSE),IF($A966="MDEO",VLOOKUP($B966,MDEO!$B$16:$P$27,2,FALSE))))))</f>
        <v>trans int tableta-adoquin un</v>
      </c>
      <c r="D966" s="355">
        <f>+G959+G960</f>
        <v>10</v>
      </c>
      <c r="E966" s="355">
        <v>1</v>
      </c>
      <c r="F966" s="355">
        <v>20</v>
      </c>
      <c r="G966" s="350">
        <f>IF($A966="EQUI",VLOOKUP($B966,EQUI!B$16:G$35,2,FALSE),IF($A966="TRAN",VLOOKUP($B966,TRAN!$B$16:$G$37,4,FALSE),IF($A966="MAT1",VLOOKUP($B966,'MAT1'!$B$16:$G$43,2,FALSE),IF($A966="MAT2",VLOOKUP($B966,'MAT2'!$B$16:$G$65,2,FALSE),IF($A966="MDEO",VLOOKUP($B966,MDEO!$B$16:$P$27,2,FALSE))))))</f>
        <v>200</v>
      </c>
      <c r="H966" s="404">
        <f>+F966*G966</f>
        <v>4000</v>
      </c>
      <c r="I966" s="403"/>
    </row>
    <row r="967" spans="1:16" ht="9.75" customHeight="1" x14ac:dyDescent="0.3">
      <c r="A967" s="401"/>
      <c r="C967" s="352"/>
      <c r="D967" s="417"/>
      <c r="E967" s="352"/>
      <c r="F967" s="413" t="s">
        <v>32</v>
      </c>
      <c r="G967" s="402" t="str">
        <f>+B950</f>
        <v>4.3</v>
      </c>
      <c r="H967" s="402" t="s">
        <v>353</v>
      </c>
      <c r="I967" s="396">
        <f>SUM(H966:H966)</f>
        <v>4000</v>
      </c>
    </row>
    <row r="968" spans="1:16" ht="12.75" customHeight="1" x14ac:dyDescent="0.3">
      <c r="A968" s="395" t="s">
        <v>1107</v>
      </c>
      <c r="B968" s="386"/>
      <c r="C968" s="352"/>
      <c r="D968" s="417"/>
      <c r="E968" s="352"/>
      <c r="F968" s="352"/>
      <c r="G968" s="352"/>
      <c r="H968" s="352"/>
      <c r="I968" s="403"/>
    </row>
    <row r="969" spans="1:16" ht="9.75" customHeight="1" x14ac:dyDescent="0.3">
      <c r="A969" s="722" t="s">
        <v>18</v>
      </c>
      <c r="B969" s="723"/>
      <c r="C969" s="723"/>
      <c r="D969" s="355" t="s">
        <v>48</v>
      </c>
      <c r="E969" s="355" t="s">
        <v>109</v>
      </c>
      <c r="F969" s="380" t="s">
        <v>250</v>
      </c>
      <c r="G969" s="380" t="s">
        <v>251</v>
      </c>
      <c r="H969" s="355" t="s">
        <v>252</v>
      </c>
      <c r="I969" s="407"/>
    </row>
    <row r="970" spans="1:16" ht="9.75" customHeight="1" x14ac:dyDescent="0.3">
      <c r="A970" s="405" t="s">
        <v>4</v>
      </c>
      <c r="B970" s="408" t="s">
        <v>175</v>
      </c>
      <c r="C970" s="409" t="str">
        <f>IF($A970="EQUI",VLOOKUP($B970,EQUI!B$16:G$37,2,FALSE),IF($A970="TRAN",VLOOKUP($B970,TRAN!$B$16:$G$26,2,FALSE),IF($A970="MAT",VLOOKUP($B970,'MAT1'!$B$16:$G$43,2,FALSE),IF($A970="MDEO",VLOOKUP($B970,MDEO!$B$16:$P$27,2,FALSE)))))</f>
        <v xml:space="preserve">oficial </v>
      </c>
      <c r="D970" s="449">
        <f>IF($A970="EQUI",VLOOKUP($B970,EQUI!B$16:G$35,3,FALSE),IF($A970="TRAN",VLOOKUP($B970,TRAN!$B$16:$G$26,3,FALSE),IF($A970="MAT",VLOOKUP($B970,'MAT1'!$B$16:$G$43,3,FALSE),IF($A970="MDEO",VLOOKUP($B970,MDEO!$B$16:$P$33,10,FALSE)))))</f>
        <v>12336.644836388892</v>
      </c>
      <c r="E970" s="410"/>
      <c r="F970" s="438">
        <f>+D970+D970*E970</f>
        <v>12336.644836388892</v>
      </c>
      <c r="G970" s="412">
        <v>1.6</v>
      </c>
      <c r="H970" s="411">
        <f>G970*F970</f>
        <v>19738.63173822223</v>
      </c>
      <c r="I970" s="403"/>
    </row>
    <row r="971" spans="1:16" ht="9.75" customHeight="1" x14ac:dyDescent="0.3">
      <c r="A971" s="405" t="s">
        <v>4</v>
      </c>
      <c r="B971" s="408" t="s">
        <v>177</v>
      </c>
      <c r="C971" s="409" t="str">
        <f>IF($A971="EQUI",VLOOKUP($B971,EQUI!B$16:G$37,2,FALSE),IF($A971="TRAN",VLOOKUP($B971,TRAN!$B$16:$G$26,2,FALSE),IF($A971="MAT",VLOOKUP($B971,'MAT1'!$B$16:$G$43,2,FALSE),IF($A971="MDEO",VLOOKUP($B971,MDEO!$B$16:$P$27,2,FALSE)))))</f>
        <v xml:space="preserve">ayudante </v>
      </c>
      <c r="D971" s="449">
        <f>IF($A971="EQUI",VLOOKUP($B971,EQUI!B$16:G$35,3,FALSE),IF($A971="TRAN",VLOOKUP($B971,TRAN!$B$16:$G$26,3,FALSE),IF($A971="MAT",VLOOKUP($B971,'MAT1'!$B$16:$G$43,3,FALSE),IF($A971="MDEO",VLOOKUP($B971,MDEO!$B$16:$P$33,10,FALSE)))))</f>
        <v>10336.644836388892</v>
      </c>
      <c r="E971" s="410"/>
      <c r="F971" s="438">
        <f>+D971+D971*E971</f>
        <v>10336.644836388892</v>
      </c>
      <c r="G971" s="412">
        <v>3.2</v>
      </c>
      <c r="H971" s="411">
        <f>G971*F971</f>
        <v>33077.263476444459</v>
      </c>
      <c r="I971" s="403"/>
    </row>
    <row r="972" spans="1:16" ht="9.75" customHeight="1" x14ac:dyDescent="0.3">
      <c r="A972" s="405" t="s">
        <v>4</v>
      </c>
      <c r="B972" s="408" t="s">
        <v>178</v>
      </c>
      <c r="C972" s="409" t="str">
        <f>IF($A972="EQUI",VLOOKUP($B972,EQUI!B$16:G$37,2,FALSE),IF($A972="TRAN",VLOOKUP($B972,TRAN!$B$16:$G$26,2,FALSE),IF($A972="MAT",VLOOKUP($B972,'MAT1'!$B$16:$G$43,2,FALSE),IF($A972="MDEO",VLOOKUP($B972,MDEO!$B$16:$P$33,2,FALSE)))))</f>
        <v>contra maestro</v>
      </c>
      <c r="D972" s="449">
        <f>IF($A972="EQUI",VLOOKUP($B972,EQUI!B$16:G$35,3,FALSE),IF($A972="TRAN",VLOOKUP($B972,TRAN!$B$16:$G$26,3,FALSE),IF($A972="MAT",VLOOKUP($B972,'MAT1'!$B$16:$G$43,3,FALSE),IF($A972="MDEO",VLOOKUP($B972,MDEO!$B$16:$P$33,10,FALSE)))))</f>
        <v>12974.601086388891</v>
      </c>
      <c r="E972" s="410"/>
      <c r="F972" s="438">
        <f>+D972+D972*E972</f>
        <v>12974.601086388891</v>
      </c>
      <c r="G972" s="412">
        <f>+G970*0.1</f>
        <v>0.16000000000000003</v>
      </c>
      <c r="H972" s="411">
        <f>G972*F972</f>
        <v>2075.9361738222228</v>
      </c>
      <c r="I972" s="403"/>
    </row>
    <row r="973" spans="1:16" ht="9.75" customHeight="1" x14ac:dyDescent="0.3">
      <c r="A973" s="405" t="s">
        <v>4</v>
      </c>
      <c r="B973" s="408"/>
      <c r="C973" s="409"/>
      <c r="D973" s="449"/>
      <c r="E973" s="410"/>
      <c r="F973" s="438"/>
      <c r="G973" s="412"/>
      <c r="H973" s="411"/>
      <c r="I973" s="403"/>
    </row>
    <row r="974" spans="1:16" ht="9.75" customHeight="1" x14ac:dyDescent="0.3">
      <c r="A974" s="720"/>
      <c r="B974" s="712"/>
      <c r="C974" s="352"/>
      <c r="D974" s="417"/>
      <c r="E974" s="352"/>
      <c r="F974" s="352"/>
      <c r="G974" s="352"/>
      <c r="H974" s="352"/>
      <c r="I974" s="403"/>
    </row>
    <row r="975" spans="1:16" ht="9.75" customHeight="1" x14ac:dyDescent="0.3">
      <c r="A975" s="401"/>
      <c r="C975" s="352"/>
      <c r="D975" s="417"/>
      <c r="E975" s="352"/>
      <c r="F975" s="413" t="s">
        <v>32</v>
      </c>
      <c r="G975" s="402" t="str">
        <f>+B950</f>
        <v>4.3</v>
      </c>
      <c r="H975" s="413" t="s">
        <v>354</v>
      </c>
      <c r="I975" s="396">
        <f>SUM(H970:H974)</f>
        <v>54891.831388488907</v>
      </c>
    </row>
    <row r="976" spans="1:16" ht="9.75" customHeight="1" x14ac:dyDescent="0.3">
      <c r="A976" s="401" t="s">
        <v>54</v>
      </c>
      <c r="C976" s="352"/>
      <c r="D976" s="417"/>
      <c r="E976" s="352"/>
      <c r="F976" s="352"/>
      <c r="G976" s="352"/>
      <c r="H976" s="350"/>
      <c r="I976" s="396">
        <f>I975*0.05</f>
        <v>2744.5915694244454</v>
      </c>
    </row>
    <row r="977" spans="1:9" ht="9.75" customHeight="1" x14ac:dyDescent="0.3">
      <c r="A977" s="401"/>
      <c r="C977" s="352"/>
      <c r="D977" s="417"/>
      <c r="E977" s="352"/>
      <c r="F977" s="413" t="s">
        <v>55</v>
      </c>
      <c r="G977" s="350"/>
      <c r="H977" s="350"/>
      <c r="I977" s="396">
        <f>ROUND(I975+I976+I963+I955+I967,0)</f>
        <v>138136</v>
      </c>
    </row>
    <row r="978" spans="1:9" ht="59.4" customHeight="1" x14ac:dyDescent="0.3">
      <c r="A978" s="724" t="s">
        <v>114</v>
      </c>
      <c r="B978" s="710"/>
      <c r="C978" s="710"/>
      <c r="D978" s="450"/>
      <c r="E978" s="415"/>
      <c r="F978" s="710" t="s">
        <v>396</v>
      </c>
      <c r="G978" s="710"/>
      <c r="H978" s="710"/>
      <c r="I978" s="711"/>
    </row>
    <row r="979" spans="1:9" ht="12.75" customHeight="1" x14ac:dyDescent="0.3">
      <c r="A979" s="397" t="s">
        <v>111</v>
      </c>
      <c r="B979" s="712"/>
      <c r="C979" s="712"/>
      <c r="D979" s="417"/>
      <c r="E979" s="352"/>
      <c r="F979" s="350" t="s">
        <v>111</v>
      </c>
      <c r="G979" s="712"/>
      <c r="H979" s="712"/>
      <c r="I979" s="713"/>
    </row>
    <row r="980" spans="1:9" ht="12.75" customHeight="1" x14ac:dyDescent="0.3">
      <c r="A980" s="439" t="s">
        <v>115</v>
      </c>
      <c r="B980" s="710" t="s">
        <v>1551</v>
      </c>
      <c r="C980" s="710"/>
      <c r="F980" s="432" t="s">
        <v>112</v>
      </c>
      <c r="G980" s="712"/>
      <c r="H980" s="712"/>
      <c r="I980" s="713"/>
    </row>
    <row r="981" spans="1:9" ht="12.75" customHeight="1" x14ac:dyDescent="0.3">
      <c r="A981" s="439" t="s">
        <v>113</v>
      </c>
      <c r="B981" s="710" t="s">
        <v>1554</v>
      </c>
      <c r="C981" s="710"/>
      <c r="F981" s="432" t="s">
        <v>113</v>
      </c>
      <c r="G981" s="712"/>
      <c r="H981" s="712"/>
      <c r="I981" s="713"/>
    </row>
    <row r="982" spans="1:9" ht="12.75" customHeight="1" x14ac:dyDescent="0.3">
      <c r="A982" s="439"/>
      <c r="B982" s="350"/>
      <c r="C982" s="350"/>
      <c r="F982" s="432"/>
      <c r="G982" s="350"/>
      <c r="H982" s="350"/>
      <c r="I982" s="416"/>
    </row>
    <row r="983" spans="1:9" ht="12.75" customHeight="1" x14ac:dyDescent="0.3">
      <c r="A983" s="714" t="s">
        <v>110</v>
      </c>
      <c r="B983" s="715"/>
      <c r="C983" s="715"/>
      <c r="D983" s="715"/>
      <c r="E983" s="715"/>
      <c r="F983" s="715"/>
      <c r="G983" s="715"/>
      <c r="H983" s="715"/>
      <c r="I983" s="716"/>
    </row>
    <row r="984" spans="1:9" ht="20.25" customHeight="1" x14ac:dyDescent="0.3">
      <c r="A984" s="729"/>
      <c r="B984" s="730"/>
      <c r="C984" s="730"/>
      <c r="D984" s="730"/>
      <c r="E984" s="730"/>
      <c r="F984" s="730"/>
      <c r="G984" s="730"/>
      <c r="H984" s="730"/>
      <c r="I984" s="731"/>
    </row>
    <row r="985" spans="1:9" ht="21" customHeight="1" x14ac:dyDescent="0.3">
      <c r="A985" s="714"/>
      <c r="B985" s="715"/>
      <c r="C985" s="715"/>
      <c r="D985" s="715"/>
      <c r="E985" s="715"/>
      <c r="F985" s="715"/>
      <c r="G985" s="715"/>
      <c r="H985" s="715"/>
      <c r="I985" s="716"/>
    </row>
    <row r="986" spans="1:9" ht="12.75" customHeight="1" x14ac:dyDescent="0.3">
      <c r="A986" s="433"/>
      <c r="I986" s="434"/>
    </row>
    <row r="987" spans="1:9" ht="12.75" customHeight="1" x14ac:dyDescent="0.3">
      <c r="A987" s="724" t="s">
        <v>68</v>
      </c>
      <c r="B987" s="710"/>
      <c r="C987" s="710"/>
      <c r="D987" s="710"/>
      <c r="E987" s="710"/>
      <c r="F987" s="710"/>
      <c r="G987" s="710"/>
      <c r="H987" s="710"/>
      <c r="I987" s="711"/>
    </row>
    <row r="988" spans="1:9" ht="12.75" customHeight="1" x14ac:dyDescent="0.3">
      <c r="A988" s="390" t="s">
        <v>69</v>
      </c>
      <c r="B988" s="391" t="s">
        <v>269</v>
      </c>
      <c r="C988" s="710" t="s">
        <v>70</v>
      </c>
      <c r="D988" s="712" t="str">
        <f>VLOOKUP(B988,'AJUSTE PRESUPUESTO'!$A$18:$I$68,3,FALSE)</f>
        <v xml:space="preserve">pintura tipo trafico, para resaltos y cruces peaonales tipo cebra </v>
      </c>
      <c r="E988" s="712"/>
      <c r="F988" s="712"/>
      <c r="G988" s="712"/>
      <c r="H988" s="712"/>
      <c r="I988" s="713"/>
    </row>
    <row r="989" spans="1:9" ht="12.75" customHeight="1" x14ac:dyDescent="0.3">
      <c r="A989" s="390" t="s">
        <v>71</v>
      </c>
      <c r="B989" s="391" t="str">
        <f>VLOOKUP(B988,PRESUPUESTO!$A$18:$I$69,2,FALSE)</f>
        <v>710-13</v>
      </c>
      <c r="C989" s="710"/>
      <c r="D989" s="355" t="s">
        <v>12</v>
      </c>
      <c r="E989" s="392" t="s">
        <v>26</v>
      </c>
      <c r="F989" s="392" t="s">
        <v>13</v>
      </c>
      <c r="G989" s="392">
        <f>VLOOKUP(B989,PRESUPUESTO!$B$15:$I$1201,5,FALSE)</f>
        <v>540</v>
      </c>
      <c r="H989" s="393" t="s">
        <v>27</v>
      </c>
      <c r="I989" s="394">
        <f>+I1012</f>
        <v>28333</v>
      </c>
    </row>
    <row r="990" spans="1:9" ht="12.75" customHeight="1" x14ac:dyDescent="0.3">
      <c r="A990" s="395" t="s">
        <v>14</v>
      </c>
      <c r="B990" s="386"/>
      <c r="C990" s="352"/>
      <c r="D990" s="417"/>
      <c r="E990" s="352"/>
      <c r="F990" s="352"/>
      <c r="G990" s="352"/>
      <c r="H990" s="352"/>
      <c r="I990" s="396"/>
    </row>
    <row r="991" spans="1:9" ht="12.75" customHeight="1" x14ac:dyDescent="0.3">
      <c r="A991" s="720" t="s">
        <v>19</v>
      </c>
      <c r="B991" s="712"/>
      <c r="C991" s="712"/>
      <c r="D991" s="712"/>
      <c r="E991" s="712"/>
      <c r="F991" s="350" t="s">
        <v>28</v>
      </c>
      <c r="G991" s="350" t="s">
        <v>29</v>
      </c>
      <c r="H991" s="350" t="s">
        <v>30</v>
      </c>
      <c r="I991" s="403"/>
    </row>
    <row r="992" spans="1:9" ht="12.75" customHeight="1" x14ac:dyDescent="0.3">
      <c r="A992" s="397" t="s">
        <v>1</v>
      </c>
      <c r="B992" s="398" t="s">
        <v>80</v>
      </c>
      <c r="C992" s="721" t="str">
        <f>IF($A992="EQUI",VLOOKUP($B992,EQUI!B$16:G$54,2,FALSE),IF($A992="TRAN",VLOOKUP($B992,TRAN!$B$16:$G$26,3,FALSE),IF($A992="MAT",VLOOKUP($B992,'MAT1'!$B$16:$G$43,3,FALSE),IF($A992="MDEO",VLOOKUP($B992,MDEO!$B$16:$P$33,2,FALSE)))))</f>
        <v>Equipo de compresor para pintura</v>
      </c>
      <c r="D992" s="721"/>
      <c r="E992" s="721"/>
      <c r="F992" s="355">
        <f>IF($A992="EQUI",VLOOKUP($B992,EQUI!B$16:G$54,4,FALSE),IF($A992="TRAN",VLOOKUP($B992,TRAN!$B$16:$G$26,3,FALSE),IF($A992="MAT",VLOOKUP($B992,'MAT1'!$B$16:$G$43,3,FALSE),IF($A992="MDEO",VLOOKUP($B992,MDEO!$B$16:$P$33,2,FALSE)))))</f>
        <v>6500</v>
      </c>
      <c r="G992" s="352">
        <v>0.44</v>
      </c>
      <c r="H992" s="404">
        <f>+F992*G992</f>
        <v>2860</v>
      </c>
      <c r="I992" s="403"/>
    </row>
    <row r="993" spans="1:13" ht="12.75" customHeight="1" x14ac:dyDescent="0.3">
      <c r="A993" s="397" t="s">
        <v>1</v>
      </c>
      <c r="B993" s="398" t="s">
        <v>92</v>
      </c>
      <c r="C993" s="721" t="str">
        <f>IF($A993="EQUI",VLOOKUP($B993,EQUI!B$16:G$54,2,FALSE),IF($A993="TRAN",VLOOKUP($B993,TRAN!$B$16:$G$26,3,FALSE),IF($A993="MAT",VLOOKUP($B993,'MAT1'!$B$16:$G$43,3,FALSE),IF($A993="MDEO",VLOOKUP($B993,MDEO!$B$16:$P$33,2,FALSE)))))</f>
        <v>plantilla acrílica</v>
      </c>
      <c r="D993" s="721"/>
      <c r="E993" s="721"/>
      <c r="F993" s="355">
        <f>IF($A993="EQUI",VLOOKUP($B993,EQUI!B$16:G$54,4,FALSE),IF($A993="TRAN",VLOOKUP($B993,TRAN!$B$16:$G$26,3,FALSE),IF($A993="MAT",VLOOKUP($B993,'MAT1'!$B$16:$G$43,3,FALSE),IF($A993="MDEO",VLOOKUP($B993,MDEO!$B$16:$P$33,2,FALSE)))))</f>
        <v>10000</v>
      </c>
      <c r="G993" s="352">
        <v>0.44</v>
      </c>
      <c r="H993" s="404">
        <f>+F993*G993</f>
        <v>4400</v>
      </c>
      <c r="I993" s="403"/>
    </row>
    <row r="994" spans="1:13" ht="12.75" customHeight="1" x14ac:dyDescent="0.3">
      <c r="A994" s="397" t="s">
        <v>1</v>
      </c>
      <c r="B994" s="398"/>
      <c r="C994" s="721"/>
      <c r="D994" s="721"/>
      <c r="E994" s="721"/>
      <c r="F994" s="355"/>
      <c r="G994" s="352"/>
      <c r="H994" s="404"/>
      <c r="I994" s="403"/>
    </row>
    <row r="995" spans="1:13" ht="12.75" customHeight="1" x14ac:dyDescent="0.3">
      <c r="A995" s="401"/>
      <c r="C995" s="352"/>
      <c r="D995" s="417"/>
      <c r="E995" s="352"/>
      <c r="F995" s="413" t="s">
        <v>32</v>
      </c>
      <c r="G995" s="402" t="str">
        <f>+B988</f>
        <v>4.4</v>
      </c>
      <c r="H995" s="402" t="s">
        <v>355</v>
      </c>
      <c r="I995" s="396">
        <f>SUM(H992:H994)</f>
        <v>7260</v>
      </c>
    </row>
    <row r="996" spans="1:13" ht="12.75" customHeight="1" x14ac:dyDescent="0.3">
      <c r="A996" s="395" t="s">
        <v>34</v>
      </c>
      <c r="B996" s="386"/>
      <c r="C996" s="352"/>
      <c r="D996" s="417"/>
      <c r="E996" s="352"/>
      <c r="F996" s="352"/>
      <c r="G996" s="352"/>
      <c r="H996" s="352"/>
      <c r="I996" s="403"/>
    </row>
    <row r="997" spans="1:13" ht="12.75" customHeight="1" x14ac:dyDescent="0.3">
      <c r="A997" s="720" t="s">
        <v>35</v>
      </c>
      <c r="B997" s="712"/>
      <c r="C997" s="712"/>
      <c r="D997" s="712"/>
      <c r="E997" s="350" t="s">
        <v>12</v>
      </c>
      <c r="F997" s="350" t="s">
        <v>36</v>
      </c>
      <c r="G997" s="350" t="s">
        <v>37</v>
      </c>
      <c r="H997" s="350" t="s">
        <v>38</v>
      </c>
      <c r="I997" s="403"/>
    </row>
    <row r="998" spans="1:13" ht="12.75" customHeight="1" x14ac:dyDescent="0.3">
      <c r="A998" s="397" t="s">
        <v>522</v>
      </c>
      <c r="B998" s="398" t="s">
        <v>150</v>
      </c>
      <c r="C998" s="721" t="str">
        <f>IF($A998="EQUI",VLOOKUP($B998,EQUI!B$16:G$35,2,FALSE),IF($A998="TRAN",VLOOKUP($B998,TRAN!$B$16:$G$26,2,FALSE),IF($A998="MAT1",VLOOKUP($B998,'MAT1'!$B$16:$G$54,2,FALSE),IF($A998="MAT2",VLOOKUP($B998,'MAT2'!$B$16:$G$65,2,FALSE),IF($A998="MDEO",VLOOKUP($B998,MDEO!$B$16:$P$27,2,FALSE))))))</f>
        <v>pintura trafico</v>
      </c>
      <c r="D998" s="721"/>
      <c r="E998" s="355" t="str">
        <f>IF($A998="EQUI",VLOOKUP($B998,EQUI!B$16:G$35,3,FALSE),IF($A998="TRAN",VLOOKUP($B998,TRAN!$B$16:$G$26,3,FALSE),IF($A998="MAT1",VLOOKUP($B998,'MAT1'!$B$16:$G$54,3,FALSE),IF($A998="MAT2",VLOOKUP($B998,'MAT2'!$B$16:$G$55,3,FALSE),IF($A998="MDEO",VLOOKUP($B998,MDEO!$B$16:$P$27,3,FALSE))))))</f>
        <v>GL</v>
      </c>
      <c r="F998" s="355">
        <f>IF($A998="EQUI",VLOOKUP($B998,EQUI!B$16:G$35,4,FALSE),IF($A998="TRAN",VLOOKUP($B998,TRAN!$B$16:$G$26,4,FALSE),IF($A998="MAT1",VLOOKUP($B998,'MAT1'!$B$16:$G$54,4,FALSE),IF($A998="MAT2",VLOOKUP($B998,'MAT2'!$B$16:$G$53,4,FALSE),IF($A998="MDEO",VLOOKUP($B998,MDEO!$B$16:$P$27,4,FALSE))))))</f>
        <v>145000</v>
      </c>
      <c r="G998" s="352">
        <v>0.06</v>
      </c>
      <c r="H998" s="404">
        <f>+F998*G998</f>
        <v>8700</v>
      </c>
      <c r="I998" s="403"/>
      <c r="M998" s="430">
        <f>+G998*G989</f>
        <v>32.4</v>
      </c>
    </row>
    <row r="999" spans="1:13" ht="12.6" customHeight="1" x14ac:dyDescent="0.3">
      <c r="A999" s="397" t="s">
        <v>522</v>
      </c>
      <c r="B999" s="398" t="s">
        <v>142</v>
      </c>
      <c r="C999" s="721" t="str">
        <f>IF($A999="EQUI",VLOOKUP($B999,EQUI!B$16:G$35,2,FALSE),IF($A999="TRAN",VLOOKUP($B999,TRAN!$B$16:$G$26,2,FALSE),IF($A999="MAT1",VLOOKUP($B999,'MAT1'!$B$16:$G$54,2,FALSE),IF($A999="MAT2",VLOOKUP($B999,'MAT2'!$B$16:$G$65,2,FALSE),IF($A999="MDEO",VLOOKUP($B999,MDEO!$B$16:$P$27,2,FALSE))))))</f>
        <v>disolvente</v>
      </c>
      <c r="D999" s="721"/>
      <c r="E999" s="355" t="str">
        <f>IF($A999="EQUI",VLOOKUP($B999,EQUI!B$16:G$35,3,FALSE),IF($A999="TRAN",VLOOKUP($B999,TRAN!$B$16:$G$26,3,FALSE),IF($A999="MAT1",VLOOKUP($B999,'MAT1'!$B$16:$G$54,3,FALSE),IF($A999="MAT2",VLOOKUP($B999,'MAT2'!$B$16:$G$55,3,FALSE),IF($A999="MDEO",VLOOKUP($B999,MDEO!$B$16:$P$27,3,FALSE))))))</f>
        <v>GL</v>
      </c>
      <c r="F999" s="355">
        <f>IF($A999="EQUI",VLOOKUP($B999,EQUI!B$16:G$35,4,FALSE),IF($A999="TRAN",VLOOKUP($B999,TRAN!$B$16:$G$26,4,FALSE),IF($A999="MAT1",VLOOKUP($B999,'MAT1'!$B$16:$G$54,4,FALSE),IF($A999="MAT2",VLOOKUP($B999,'MAT2'!$B$16:$G$53,4,FALSE),IF($A999="MDEO",VLOOKUP($B999,MDEO!$B$16:$P$27,4,FALSE))))))</f>
        <v>21650</v>
      </c>
      <c r="G999" s="352">
        <v>0.06</v>
      </c>
      <c r="H999" s="404">
        <f>+F999*G999</f>
        <v>1299</v>
      </c>
      <c r="I999" s="403"/>
    </row>
    <row r="1000" spans="1:13" ht="12.75" customHeight="1" x14ac:dyDescent="0.3">
      <c r="A1000" s="401"/>
      <c r="C1000" s="352"/>
      <c r="D1000" s="417"/>
      <c r="E1000" s="352"/>
      <c r="F1000" s="413" t="s">
        <v>32</v>
      </c>
      <c r="G1000" s="402" t="str">
        <f>+B988</f>
        <v>4.4</v>
      </c>
      <c r="H1000" s="402" t="s">
        <v>356</v>
      </c>
      <c r="I1000" s="396">
        <f>SUM(H998:H999)</f>
        <v>9999</v>
      </c>
    </row>
    <row r="1001" spans="1:13" ht="12.75" customHeight="1" x14ac:dyDescent="0.3">
      <c r="A1001" s="395" t="s">
        <v>15</v>
      </c>
      <c r="B1001" s="386"/>
      <c r="C1001" s="352"/>
      <c r="D1001" s="417"/>
      <c r="E1001" s="352"/>
      <c r="F1001" s="352"/>
      <c r="G1001" s="352"/>
      <c r="H1001" s="352"/>
      <c r="I1001" s="403"/>
    </row>
    <row r="1002" spans="1:13" ht="12.75" customHeight="1" x14ac:dyDescent="0.3">
      <c r="A1002" s="720" t="s">
        <v>19</v>
      </c>
      <c r="B1002" s="712"/>
      <c r="C1002" s="712"/>
      <c r="D1002" s="355" t="s">
        <v>43</v>
      </c>
      <c r="E1002" s="350" t="s">
        <v>44</v>
      </c>
      <c r="F1002" s="355" t="s">
        <v>45</v>
      </c>
      <c r="G1002" s="350" t="s">
        <v>17</v>
      </c>
      <c r="H1002" s="350" t="s">
        <v>30</v>
      </c>
      <c r="I1002" s="403"/>
    </row>
    <row r="1003" spans="1:13" ht="9.75" customHeight="1" x14ac:dyDescent="0.3">
      <c r="A1003" s="405"/>
      <c r="B1003" s="398"/>
      <c r="C1003" s="417"/>
      <c r="D1003" s="355"/>
      <c r="E1003" s="355"/>
      <c r="F1003" s="355"/>
      <c r="G1003" s="350"/>
      <c r="H1003" s="404"/>
      <c r="I1003" s="403"/>
    </row>
    <row r="1004" spans="1:13" ht="12.75" customHeight="1" x14ac:dyDescent="0.3">
      <c r="A1004" s="401"/>
      <c r="C1004" s="352"/>
      <c r="D1004" s="417"/>
      <c r="E1004" s="352"/>
      <c r="F1004" s="413" t="s">
        <v>32</v>
      </c>
      <c r="G1004" s="402" t="str">
        <f>+B988</f>
        <v>4.4</v>
      </c>
      <c r="H1004" s="402" t="s">
        <v>357</v>
      </c>
      <c r="I1004" s="396">
        <f>SUM(H1003:H1003)</f>
        <v>0</v>
      </c>
    </row>
    <row r="1005" spans="1:13" ht="12.75" customHeight="1" x14ac:dyDescent="0.3">
      <c r="A1005" s="395" t="s">
        <v>1107</v>
      </c>
      <c r="B1005" s="386"/>
      <c r="C1005" s="352"/>
      <c r="D1005" s="417"/>
      <c r="E1005" s="352"/>
      <c r="F1005" s="352"/>
      <c r="G1005" s="352"/>
      <c r="H1005" s="352"/>
      <c r="I1005" s="403"/>
    </row>
    <row r="1006" spans="1:13" ht="12.75" customHeight="1" x14ac:dyDescent="0.3">
      <c r="A1006" s="722" t="s">
        <v>18</v>
      </c>
      <c r="B1006" s="723"/>
      <c r="C1006" s="723"/>
      <c r="D1006" s="355" t="s">
        <v>48</v>
      </c>
      <c r="E1006" s="355" t="s">
        <v>109</v>
      </c>
      <c r="F1006" s="380" t="s">
        <v>250</v>
      </c>
      <c r="G1006" s="380" t="s">
        <v>251</v>
      </c>
      <c r="H1006" s="355" t="s">
        <v>252</v>
      </c>
      <c r="I1006" s="407"/>
    </row>
    <row r="1007" spans="1:13" ht="9.75" customHeight="1" x14ac:dyDescent="0.3">
      <c r="A1007" s="405" t="s">
        <v>4</v>
      </c>
      <c r="B1007" s="408" t="s">
        <v>175</v>
      </c>
      <c r="C1007" s="409" t="str">
        <f>IF($A1007="EQUI",VLOOKUP($B1007,EQUI!B$16:G$37,2,FALSE),IF($A1007="TRAN",VLOOKUP($B1007,TRAN!$B$16:$G$26,2,FALSE),IF($A1007="MAT",VLOOKUP($B1007,'MAT1'!$B$16:$G$43,2,FALSE),IF($A1007="MDEO",VLOOKUP($B1007,MDEO!$B$16:$P$27,2,FALSE)))))</f>
        <v xml:space="preserve">oficial </v>
      </c>
      <c r="D1007" s="449">
        <f>IF($A1007="EQUI",VLOOKUP($B1007,EQUI!B$16:G$35,3,FALSE),IF($A1007="TRAN",VLOOKUP($B1007,TRAN!$B$16:$G$26,3,FALSE),IF($A1007="MAT",VLOOKUP($B1007,'MAT1'!$B$16:$G$43,3,FALSE),IF($A1007="MDEO",VLOOKUP($B1007,MDEO!$B$16:$P$33,10,FALSE)))))</f>
        <v>12336.644836388892</v>
      </c>
      <c r="E1007" s="410"/>
      <c r="F1007" s="438">
        <f>+D1007+D1007*E1007</f>
        <v>12336.644836388892</v>
      </c>
      <c r="G1007" s="412">
        <v>0.44</v>
      </c>
      <c r="H1007" s="411">
        <f>G1007*F1007</f>
        <v>5428.1237280111127</v>
      </c>
      <c r="I1007" s="403"/>
    </row>
    <row r="1008" spans="1:13" ht="9.75" customHeight="1" x14ac:dyDescent="0.3">
      <c r="A1008" s="405" t="s">
        <v>4</v>
      </c>
      <c r="B1008" s="408" t="s">
        <v>177</v>
      </c>
      <c r="C1008" s="409" t="str">
        <f>IF($A1008="EQUI",VLOOKUP($B1008,EQUI!B$16:G$37,2,FALSE),IF($A1008="TRAN",VLOOKUP($B1008,TRAN!$B$16:$G$26,2,FALSE),IF($A1008="MAT",VLOOKUP($B1008,'MAT1'!$B$16:$G$43,2,FALSE),IF($A1008="MDEO",VLOOKUP($B1008,MDEO!$B$16:$P$27,2,FALSE)))))</f>
        <v xml:space="preserve">ayudante </v>
      </c>
      <c r="D1008" s="449">
        <f>IF($A1008="EQUI",VLOOKUP($B1008,EQUI!B$16:G$35,3,FALSE),IF($A1008="TRAN",VLOOKUP($B1008,TRAN!$B$16:$G$26,3,FALSE),IF($A1008="MAT",VLOOKUP($B1008,'MAT1'!$B$16:$G$43,3,FALSE),IF($A1008="MDEO",VLOOKUP($B1008,MDEO!$B$16:$P$33,10,FALSE)))))</f>
        <v>10336.644836388892</v>
      </c>
      <c r="E1008" s="410"/>
      <c r="F1008" s="438">
        <f>+D1008+D1008*E1008</f>
        <v>10336.644836388892</v>
      </c>
      <c r="G1008" s="412">
        <v>0.44</v>
      </c>
      <c r="H1008" s="411">
        <f>G1008*F1008</f>
        <v>4548.1237280111127</v>
      </c>
      <c r="I1008" s="403"/>
    </row>
    <row r="1009" spans="1:9" ht="9.75" customHeight="1" x14ac:dyDescent="0.3">
      <c r="A1009" s="405" t="s">
        <v>4</v>
      </c>
      <c r="B1009" s="408" t="s">
        <v>178</v>
      </c>
      <c r="C1009" s="409" t="str">
        <f>IF($A1009="EQUI",VLOOKUP($B1009,EQUI!B$16:G$37,2,FALSE),IF($A1009="TRAN",VLOOKUP($B1009,TRAN!$B$16:$G$26,2,FALSE),IF($A1009="MAT",VLOOKUP($B1009,'MAT1'!$B$16:$G$43,2,FALSE),IF($A1009="MDEO",VLOOKUP($B1009,MDEO!$B$16:$P$33,2,FALSE)))))</f>
        <v>contra maestro</v>
      </c>
      <c r="D1009" s="449">
        <f>IF($A1009="EQUI",VLOOKUP($B1009,EQUI!B$16:G$35,3,FALSE),IF($A1009="TRAN",VLOOKUP($B1009,TRAN!$B$16:$G$26,3,FALSE),IF($A1009="MAT",VLOOKUP($B1009,'MAT1'!$B$16:$G$43,3,FALSE),IF($A1009="MDEO",VLOOKUP($B1009,MDEO!$B$16:$P$33,10,FALSE)))))</f>
        <v>12974.601086388891</v>
      </c>
      <c r="E1009" s="410"/>
      <c r="F1009" s="438">
        <f>+D1009+D1009*E1009</f>
        <v>12974.601086388891</v>
      </c>
      <c r="G1009" s="412">
        <f>+G1007*0.1</f>
        <v>4.4000000000000004E-2</v>
      </c>
      <c r="H1009" s="411">
        <f>G1009*F1009</f>
        <v>570.88244780111131</v>
      </c>
      <c r="I1009" s="403"/>
    </row>
    <row r="1010" spans="1:9" ht="12.75" customHeight="1" x14ac:dyDescent="0.3">
      <c r="A1010" s="401"/>
      <c r="C1010" s="352"/>
      <c r="D1010" s="417"/>
      <c r="E1010" s="352"/>
      <c r="F1010" s="413" t="s">
        <v>32</v>
      </c>
      <c r="G1010" s="402" t="str">
        <f>+B988</f>
        <v>4.4</v>
      </c>
      <c r="H1010" s="413" t="s">
        <v>358</v>
      </c>
      <c r="I1010" s="396">
        <f>SUM(H1007:H1009)</f>
        <v>10547.129903823337</v>
      </c>
    </row>
    <row r="1011" spans="1:9" ht="12.75" customHeight="1" x14ac:dyDescent="0.3">
      <c r="A1011" s="401" t="s">
        <v>54</v>
      </c>
      <c r="C1011" s="352"/>
      <c r="D1011" s="417"/>
      <c r="E1011" s="352"/>
      <c r="F1011" s="352"/>
      <c r="G1011" s="352"/>
      <c r="H1011" s="350"/>
      <c r="I1011" s="396">
        <f>I1010*0.05</f>
        <v>527.35649519116691</v>
      </c>
    </row>
    <row r="1012" spans="1:9" ht="12.75" customHeight="1" x14ac:dyDescent="0.3">
      <c r="A1012" s="401"/>
      <c r="C1012" s="352"/>
      <c r="D1012" s="417"/>
      <c r="E1012" s="352"/>
      <c r="F1012" s="413" t="s">
        <v>55</v>
      </c>
      <c r="G1012" s="350"/>
      <c r="H1012" s="350"/>
      <c r="I1012" s="396">
        <f>ROUND(I1010+I1011+I1000+I995+I1004,0)</f>
        <v>28333</v>
      </c>
    </row>
    <row r="1013" spans="1:9" ht="12.75" customHeight="1" x14ac:dyDescent="0.3">
      <c r="A1013" s="414"/>
      <c r="B1013" s="415"/>
      <c r="C1013" s="415"/>
      <c r="D1013" s="450"/>
      <c r="E1013" s="415"/>
      <c r="F1013" s="415"/>
      <c r="G1013" s="415"/>
      <c r="H1013" s="415"/>
      <c r="I1013" s="396"/>
    </row>
    <row r="1014" spans="1:9" ht="59.4" customHeight="1" x14ac:dyDescent="0.3">
      <c r="A1014" s="724" t="s">
        <v>114</v>
      </c>
      <c r="B1014" s="710"/>
      <c r="C1014" s="710"/>
      <c r="D1014" s="450"/>
      <c r="E1014" s="415"/>
      <c r="F1014" s="710" t="s">
        <v>396</v>
      </c>
      <c r="G1014" s="710"/>
      <c r="H1014" s="710"/>
      <c r="I1014" s="711"/>
    </row>
    <row r="1015" spans="1:9" ht="12.75" customHeight="1" x14ac:dyDescent="0.3">
      <c r="A1015" s="397" t="s">
        <v>111</v>
      </c>
      <c r="B1015" s="712"/>
      <c r="C1015" s="712"/>
      <c r="D1015" s="417"/>
      <c r="E1015" s="352"/>
      <c r="F1015" s="350" t="s">
        <v>111</v>
      </c>
      <c r="G1015" s="712"/>
      <c r="H1015" s="712"/>
      <c r="I1015" s="713"/>
    </row>
    <row r="1016" spans="1:9" ht="12.75" customHeight="1" x14ac:dyDescent="0.3">
      <c r="A1016" s="439" t="s">
        <v>115</v>
      </c>
      <c r="B1016" s="710" t="s">
        <v>1551</v>
      </c>
      <c r="C1016" s="710"/>
      <c r="F1016" s="432" t="s">
        <v>112</v>
      </c>
      <c r="G1016" s="712"/>
      <c r="H1016" s="712"/>
      <c r="I1016" s="713"/>
    </row>
    <row r="1017" spans="1:9" ht="12.75" customHeight="1" x14ac:dyDescent="0.3">
      <c r="A1017" s="439" t="s">
        <v>113</v>
      </c>
      <c r="B1017" s="710" t="s">
        <v>1554</v>
      </c>
      <c r="C1017" s="710"/>
      <c r="F1017" s="432" t="s">
        <v>113</v>
      </c>
      <c r="G1017" s="712"/>
      <c r="H1017" s="712"/>
      <c r="I1017" s="713"/>
    </row>
    <row r="1018" spans="1:9" ht="12.75" customHeight="1" x14ac:dyDescent="0.3">
      <c r="A1018" s="439"/>
      <c r="B1018" s="350"/>
      <c r="C1018" s="350"/>
      <c r="F1018" s="432"/>
      <c r="G1018" s="350"/>
      <c r="H1018" s="350"/>
      <c r="I1018" s="416"/>
    </row>
    <row r="1019" spans="1:9" ht="12.75" customHeight="1" x14ac:dyDescent="0.3">
      <c r="A1019" s="714" t="s">
        <v>110</v>
      </c>
      <c r="B1019" s="715"/>
      <c r="C1019" s="715"/>
      <c r="D1019" s="715"/>
      <c r="E1019" s="715"/>
      <c r="F1019" s="715"/>
      <c r="G1019" s="715"/>
      <c r="H1019" s="715"/>
      <c r="I1019" s="716"/>
    </row>
    <row r="1020" spans="1:9" ht="21.6" customHeight="1" x14ac:dyDescent="0.3">
      <c r="A1020" s="729"/>
      <c r="B1020" s="730"/>
      <c r="C1020" s="730"/>
      <c r="D1020" s="730"/>
      <c r="E1020" s="730"/>
      <c r="F1020" s="730"/>
      <c r="G1020" s="730"/>
      <c r="H1020" s="730"/>
      <c r="I1020" s="731"/>
    </row>
    <row r="1021" spans="1:9" ht="21.6" customHeight="1" x14ac:dyDescent="0.3">
      <c r="A1021" s="714"/>
      <c r="B1021" s="715"/>
      <c r="C1021" s="715"/>
      <c r="D1021" s="715"/>
      <c r="E1021" s="715"/>
      <c r="F1021" s="715"/>
      <c r="G1021" s="715"/>
      <c r="H1021" s="715"/>
      <c r="I1021" s="716"/>
    </row>
    <row r="1022" spans="1:9" ht="12.75" customHeight="1" x14ac:dyDescent="0.3">
      <c r="A1022" s="725" t="s">
        <v>68</v>
      </c>
      <c r="B1022" s="726"/>
      <c r="C1022" s="726"/>
      <c r="D1022" s="726"/>
      <c r="E1022" s="726"/>
      <c r="F1022" s="726"/>
      <c r="G1022" s="726"/>
      <c r="H1022" s="726"/>
      <c r="I1022" s="727"/>
    </row>
    <row r="1023" spans="1:9" ht="23.4" customHeight="1" x14ac:dyDescent="0.3">
      <c r="A1023" s="390" t="s">
        <v>69</v>
      </c>
      <c r="B1023" s="391" t="s">
        <v>270</v>
      </c>
      <c r="C1023" s="710" t="s">
        <v>70</v>
      </c>
      <c r="D1023" s="721" t="str">
        <f>VLOOKUP(B1023,'AJUSTE PRESUPUESTO'!$A$18:$I$68,3,FALSE)</f>
        <v>piso en loseta cuadrática prefabricada táctil alerta, 20*20 e=60 mm-se instalará sobre una capa de mortero 1:4 de 4cm.</v>
      </c>
      <c r="E1023" s="721"/>
      <c r="F1023" s="721"/>
      <c r="G1023" s="721"/>
      <c r="H1023" s="721"/>
      <c r="I1023" s="732"/>
    </row>
    <row r="1024" spans="1:9" ht="12.75" customHeight="1" x14ac:dyDescent="0.3">
      <c r="A1024" s="390" t="s">
        <v>71</v>
      </c>
      <c r="B1024" s="391" t="str">
        <f>VLOOKUP(B1023,PRESUPUESTO!$A$18:$I$69,2,FALSE)</f>
        <v>PAR-10</v>
      </c>
      <c r="C1024" s="710"/>
      <c r="D1024" s="355" t="s">
        <v>12</v>
      </c>
      <c r="E1024" s="392" t="s">
        <v>182</v>
      </c>
      <c r="F1024" s="392" t="s">
        <v>13</v>
      </c>
      <c r="G1024" s="392">
        <f>VLOOKUP(B1024,PRESUPUESTO!$B$15:$I$1201,5,FALSE)</f>
        <v>124</v>
      </c>
      <c r="H1024" s="393" t="s">
        <v>27</v>
      </c>
      <c r="I1024" s="394">
        <f>+I1045</f>
        <v>109657</v>
      </c>
    </row>
    <row r="1025" spans="1:13" ht="12.75" customHeight="1" x14ac:dyDescent="0.3">
      <c r="A1025" s="395" t="s">
        <v>14</v>
      </c>
      <c r="B1025" s="386"/>
      <c r="C1025" s="352"/>
      <c r="D1025" s="417"/>
      <c r="E1025" s="352"/>
      <c r="F1025" s="352"/>
      <c r="G1025" s="352"/>
      <c r="H1025" s="352"/>
      <c r="I1025" s="396"/>
    </row>
    <row r="1026" spans="1:13" ht="12.75" customHeight="1" x14ac:dyDescent="0.3">
      <c r="A1026" s="720" t="s">
        <v>19</v>
      </c>
      <c r="B1026" s="712"/>
      <c r="C1026" s="712"/>
      <c r="D1026" s="712"/>
      <c r="E1026" s="712"/>
      <c r="F1026" s="350" t="s">
        <v>28</v>
      </c>
      <c r="G1026" s="350" t="s">
        <v>29</v>
      </c>
      <c r="H1026" s="350" t="s">
        <v>30</v>
      </c>
      <c r="I1026" s="403"/>
    </row>
    <row r="1027" spans="1:13" ht="12.75" customHeight="1" x14ac:dyDescent="0.3">
      <c r="A1027" s="397" t="s">
        <v>1</v>
      </c>
      <c r="B1027" s="398" t="s">
        <v>80</v>
      </c>
      <c r="C1027" s="721"/>
      <c r="D1027" s="721"/>
      <c r="E1027" s="721"/>
      <c r="F1027" s="355"/>
      <c r="G1027" s="352"/>
      <c r="H1027" s="404">
        <f>+F1027*G1027</f>
        <v>0</v>
      </c>
      <c r="I1027" s="403"/>
    </row>
    <row r="1028" spans="1:13" ht="12.75" customHeight="1" x14ac:dyDescent="0.3">
      <c r="A1028" s="401"/>
      <c r="C1028" s="352"/>
      <c r="D1028" s="417"/>
      <c r="E1028" s="352"/>
      <c r="F1028" s="413" t="s">
        <v>32</v>
      </c>
      <c r="G1028" s="402" t="str">
        <f>+B1023</f>
        <v>4.5</v>
      </c>
      <c r="H1028" s="402" t="s">
        <v>359</v>
      </c>
      <c r="I1028" s="396">
        <f>SUM(H1027:H1027)</f>
        <v>0</v>
      </c>
    </row>
    <row r="1029" spans="1:13" ht="12.75" customHeight="1" x14ac:dyDescent="0.3">
      <c r="A1029" s="395" t="s">
        <v>34</v>
      </c>
      <c r="B1029" s="386"/>
      <c r="C1029" s="352"/>
      <c r="D1029" s="417"/>
      <c r="E1029" s="352"/>
      <c r="F1029" s="352"/>
      <c r="G1029" s="352"/>
      <c r="H1029" s="352"/>
      <c r="I1029" s="403"/>
    </row>
    <row r="1030" spans="1:13" ht="12.75" customHeight="1" x14ac:dyDescent="0.3">
      <c r="A1030" s="720" t="s">
        <v>35</v>
      </c>
      <c r="B1030" s="712"/>
      <c r="C1030" s="712"/>
      <c r="D1030" s="712"/>
      <c r="E1030" s="350" t="s">
        <v>12</v>
      </c>
      <c r="F1030" s="350" t="s">
        <v>36</v>
      </c>
      <c r="G1030" s="350" t="s">
        <v>37</v>
      </c>
      <c r="H1030" s="350" t="s">
        <v>38</v>
      </c>
      <c r="I1030" s="403"/>
    </row>
    <row r="1031" spans="1:13" ht="12.75" customHeight="1" x14ac:dyDescent="0.3">
      <c r="A1031" s="397" t="s">
        <v>522</v>
      </c>
      <c r="B1031" s="398" t="s">
        <v>161</v>
      </c>
      <c r="C1031" s="721" t="str">
        <f>IF($A1031="EQUI",VLOOKUP($B1031,EQUI!B$16:G$35,2,FALSE),IF($A1031="TRAN",VLOOKUP($B1031,TRAN!$B$16:$G$26,2,FALSE),IF($A1031="MAT1",VLOOKUP($B1031,'MAT1'!$B$16:$G$54,2,FALSE),IF($A1031="MAT2",VLOOKUP($B1031,'MAT2'!$B$16:$G$65,2,FALSE),IF($A1031="MDEO",VLOOKUP($B1031,MDEO!$B$16:$P$27,2,FALSE))))))</f>
        <v>tableta táctil alerta 20*20</v>
      </c>
      <c r="D1031" s="721"/>
      <c r="E1031" s="355" t="str">
        <f>IF($A1031="EQUI",VLOOKUP($B1031,EQUI!B$16:G$35,3,FALSE),IF($A1031="TRAN",VLOOKUP($B1031,TRAN!$B$16:$G$26,3,FALSE),IF($A1031="MAT1",VLOOKUP($B1031,'MAT1'!$B$16:$G$54,3,FALSE),IF($A1031="MAT2",VLOOKUP($B1031,'MAT2'!$B$16:$G$55,3,FALSE),IF($A1031="MDEO",VLOOKUP($B1031,MDEO!$B$16:$P$27,3,FALSE))))))</f>
        <v>UN</v>
      </c>
      <c r="F1031" s="355">
        <f>IF($A1031="EQUI",VLOOKUP($B1031,EQUI!B$16:G$35,4,FALSE),IF($A1031="TRAN",VLOOKUP($B1031,TRAN!$B$16:$G$26,4,FALSE),IF($A1031="MAT1",VLOOKUP($B1031,'MAT1'!$B$16:$G$54,4,FALSE),IF($A1031="MAT2",VLOOKUP($B1031,'MAT2'!$B$16:$G$53,4,FALSE),IF($A1031="MDEO",VLOOKUP($B1031,MDEO!$B$16:$P$27,4,FALSE))))))</f>
        <v>2100</v>
      </c>
      <c r="G1031" s="352">
        <v>25</v>
      </c>
      <c r="H1031" s="404">
        <f>+F1031*G1031</f>
        <v>52500</v>
      </c>
      <c r="I1031" s="403"/>
    </row>
    <row r="1032" spans="1:13" ht="12.75" customHeight="1" x14ac:dyDescent="0.3">
      <c r="A1032" s="397" t="s">
        <v>523</v>
      </c>
      <c r="B1032" s="398" t="s">
        <v>143</v>
      </c>
      <c r="C1032" s="721" t="str">
        <f>IF($A1032="EQUI",VLOOKUP($B1032,EQUI!B$16:G$35,2,FALSE),IF($A1032="TRAN",VLOOKUP($B1032,TRAN!$B$16:$G$26,2,FALSE),IF($A1032="MAT1",VLOOKUP($B1032,'MAT1'!$B$16:$G$54,2,FALSE),IF($A1032="MAT2",VLOOKUP($B1032,'MAT2'!$B$16:$G$65,2,FALSE),IF($A1032="MDEO",VLOOKUP($B1032,MDEO!$B$16:$P$27,2,FALSE))))))</f>
        <v>Mortero 1:6 para pega y rebitada</v>
      </c>
      <c r="D1032" s="721"/>
      <c r="E1032" s="355" t="str">
        <f>IF($A1032="EQUI",VLOOKUP($B1032,EQUI!B$16:G$35,3,FALSE),IF($A1032="TRAN",VLOOKUP($B1032,TRAN!$B$16:$G$26,3,FALSE),IF($A1032="MAT1",VLOOKUP($B1032,'MAT1'!$B$16:$G$54,3,FALSE),IF($A1032="MAT2",VLOOKUP($B1032,'MAT2'!$B$16:$G$55,3,FALSE),IF($A1032="MDEO",VLOOKUP($B1032,MDEO!$B$16:$P$27,3,FALSE))))))</f>
        <v>M3</v>
      </c>
      <c r="F1032" s="355">
        <f>IF($A1032="EQUI",VLOOKUP($B1032,EQUI!B$16:G$35,4,FALSE),IF($A1032="TRAN",VLOOKUP($B1032,TRAN!$B$16:$G$26,4,FALSE),IF($A1032="MAT1",VLOOKUP($B1032,'MAT1'!$B$16:$G$54,4,FALSE),IF($A1032="MAT2",VLOOKUP($B1032,'MAT2'!$B$16:$G$53,4,FALSE),IF($A1032="MDEO",VLOOKUP($B1032,MDEO!$B$16:$P$27,4,FALSE))))))</f>
        <v>403352</v>
      </c>
      <c r="G1032" s="352">
        <v>0.04</v>
      </c>
      <c r="H1032" s="404">
        <f>+F1032*G1032</f>
        <v>16134.08</v>
      </c>
      <c r="I1032" s="403"/>
      <c r="M1032" s="430">
        <f>+G1032*G1024*5</f>
        <v>24.8</v>
      </c>
    </row>
    <row r="1033" spans="1:13" ht="12.75" customHeight="1" x14ac:dyDescent="0.3">
      <c r="A1033" s="401"/>
      <c r="C1033" s="352"/>
      <c r="D1033" s="417"/>
      <c r="E1033" s="352"/>
      <c r="F1033" s="413" t="s">
        <v>32</v>
      </c>
      <c r="G1033" s="402" t="str">
        <f>+B1023</f>
        <v>4.5</v>
      </c>
      <c r="H1033" s="402" t="s">
        <v>360</v>
      </c>
      <c r="I1033" s="396">
        <f>SUM(H1031:H1032)</f>
        <v>68634.080000000002</v>
      </c>
    </row>
    <row r="1034" spans="1:13" ht="12.75" customHeight="1" x14ac:dyDescent="0.3">
      <c r="A1034" s="395" t="s">
        <v>15</v>
      </c>
      <c r="B1034" s="386"/>
      <c r="C1034" s="352"/>
      <c r="D1034" s="417"/>
      <c r="E1034" s="352"/>
      <c r="F1034" s="352"/>
      <c r="G1034" s="352"/>
      <c r="H1034" s="352"/>
      <c r="I1034" s="403"/>
    </row>
    <row r="1035" spans="1:13" ht="19.5" customHeight="1" x14ac:dyDescent="0.3">
      <c r="A1035" s="720" t="s">
        <v>19</v>
      </c>
      <c r="B1035" s="712"/>
      <c r="C1035" s="712"/>
      <c r="D1035" s="355" t="s">
        <v>43</v>
      </c>
      <c r="E1035" s="350" t="s">
        <v>44</v>
      </c>
      <c r="F1035" s="355" t="s">
        <v>45</v>
      </c>
      <c r="G1035" s="350" t="s">
        <v>17</v>
      </c>
      <c r="H1035" s="350" t="s">
        <v>30</v>
      </c>
      <c r="I1035" s="403"/>
    </row>
    <row r="1036" spans="1:13" ht="9.75" customHeight="1" x14ac:dyDescent="0.3">
      <c r="A1036" s="405" t="s">
        <v>3</v>
      </c>
      <c r="B1036" s="398" t="s">
        <v>170</v>
      </c>
      <c r="C1036" s="419" t="str">
        <f>IF($A1036="EQUI",VLOOKUP($B1036,EQUI!B$16:G$35,2,FALSE),IF($A1036="TRAN",VLOOKUP($B1036,TRAN!$B$16:$G$26,2,FALSE),IF($A1036="MAT1",VLOOKUP($B1036,'MAT1'!$B$16:$G$43,2,FALSE),IF($A1036="MAT2",VLOOKUP($B1036,'MAT2'!$B$16:$G$65,2,FALSE),IF($A1036="MDEO",VLOOKUP($B1036,MDEO!$B$16:$P$27,2,FALSE))))))</f>
        <v>trans int tableta-adoquin un</v>
      </c>
      <c r="D1036" s="355">
        <f>+G1031</f>
        <v>25</v>
      </c>
      <c r="E1036" s="355">
        <v>1</v>
      </c>
      <c r="F1036" s="355">
        <f>E1036*D1036</f>
        <v>25</v>
      </c>
      <c r="G1036" s="350">
        <f>IF($A1036="EQUI",VLOOKUP($B1036,EQUI!B$16:G$35,2,FALSE),IF($A1036="TRAN",VLOOKUP($B1036,TRAN!$B$16:$G$37,4,FALSE),IF($A1036="MAT1",VLOOKUP($B1036,'MAT1'!$B$16:$G$43,2,FALSE),IF($A1036="MAT2",VLOOKUP($B1036,'MAT2'!$B$16:$G$65,2,FALSE),IF($A1036="MDEO",VLOOKUP($B1036,MDEO!$B$16:$P$27,2,FALSE))))))</f>
        <v>200</v>
      </c>
      <c r="H1036" s="404">
        <f>+F1036*G1036</f>
        <v>5000</v>
      </c>
      <c r="I1036" s="403"/>
    </row>
    <row r="1037" spans="1:13" ht="12.75" customHeight="1" x14ac:dyDescent="0.3">
      <c r="A1037" s="401"/>
      <c r="C1037" s="352"/>
      <c r="D1037" s="417"/>
      <c r="E1037" s="352"/>
      <c r="F1037" s="413" t="s">
        <v>32</v>
      </c>
      <c r="G1037" s="402" t="str">
        <f>+B1023</f>
        <v>4.5</v>
      </c>
      <c r="H1037" s="402" t="s">
        <v>361</v>
      </c>
      <c r="I1037" s="396">
        <f>SUM(H1036:H1036)</f>
        <v>5000</v>
      </c>
    </row>
    <row r="1038" spans="1:13" ht="12.75" customHeight="1" x14ac:dyDescent="0.3">
      <c r="A1038" s="395" t="s">
        <v>1107</v>
      </c>
      <c r="B1038" s="386"/>
      <c r="C1038" s="352"/>
      <c r="D1038" s="417"/>
      <c r="E1038" s="352"/>
      <c r="F1038" s="352"/>
      <c r="G1038" s="352"/>
      <c r="H1038" s="352"/>
      <c r="I1038" s="403"/>
    </row>
    <row r="1039" spans="1:13" ht="12.75" customHeight="1" x14ac:dyDescent="0.3">
      <c r="A1039" s="722" t="s">
        <v>18</v>
      </c>
      <c r="B1039" s="723"/>
      <c r="C1039" s="723"/>
      <c r="D1039" s="355" t="s">
        <v>48</v>
      </c>
      <c r="E1039" s="355" t="s">
        <v>109</v>
      </c>
      <c r="F1039" s="380" t="s">
        <v>250</v>
      </c>
      <c r="G1039" s="380" t="s">
        <v>251</v>
      </c>
      <c r="H1039" s="355" t="s">
        <v>252</v>
      </c>
      <c r="I1039" s="407"/>
    </row>
    <row r="1040" spans="1:13" ht="9.75" customHeight="1" x14ac:dyDescent="0.3">
      <c r="A1040" s="405" t="s">
        <v>4</v>
      </c>
      <c r="B1040" s="408" t="s">
        <v>175</v>
      </c>
      <c r="C1040" s="409" t="str">
        <f>IF($A1040="EQUI",VLOOKUP($B1040,EQUI!B$16:G$37,2,FALSE),IF($A1040="TRAN",VLOOKUP($B1040,TRAN!$B$16:$G$26,2,FALSE),IF($A1040="MAT",VLOOKUP($B1040,'MAT1'!$B$16:$G$43,2,FALSE),IF($A1040="MDEO",VLOOKUP($B1040,MDEO!$B$16:$P$27,2,FALSE)))))</f>
        <v xml:space="preserve">oficial </v>
      </c>
      <c r="D1040" s="449">
        <f>IF($A1040="EQUI",VLOOKUP($B1040,EQUI!B$16:G$35,3,FALSE),IF($A1040="TRAN",VLOOKUP($B1040,TRAN!$B$16:$G$26,3,FALSE),IF($A1040="MAT",VLOOKUP($B1040,'MAT1'!$B$16:$G$43,3,FALSE),IF($A1040="MDEO",VLOOKUP($B1040,MDEO!$B$16:$P$33,10,FALSE)))))</f>
        <v>12336.644836388892</v>
      </c>
      <c r="E1040" s="410"/>
      <c r="F1040" s="438">
        <f>+D1040+D1040*E1040</f>
        <v>12336.644836388892</v>
      </c>
      <c r="G1040" s="412">
        <v>1</v>
      </c>
      <c r="H1040" s="411">
        <f>G1040*F1040</f>
        <v>12336.644836388892</v>
      </c>
      <c r="I1040" s="403"/>
    </row>
    <row r="1041" spans="1:9" ht="9.75" customHeight="1" x14ac:dyDescent="0.3">
      <c r="A1041" s="405" t="s">
        <v>4</v>
      </c>
      <c r="B1041" s="408" t="s">
        <v>177</v>
      </c>
      <c r="C1041" s="409" t="str">
        <f>IF($A1041="EQUI",VLOOKUP($B1041,EQUI!B$16:G$37,2,FALSE),IF($A1041="TRAN",VLOOKUP($B1041,TRAN!$B$16:$G$26,2,FALSE),IF($A1041="MAT",VLOOKUP($B1041,'MAT1'!$B$16:$G$43,2,FALSE),IF($A1041="MDEO",VLOOKUP($B1041,MDEO!$B$16:$P$27,2,FALSE)))))</f>
        <v xml:space="preserve">ayudante </v>
      </c>
      <c r="D1041" s="449">
        <f>IF($A1041="EQUI",VLOOKUP($B1041,EQUI!B$16:G$35,3,FALSE),IF($A1041="TRAN",VLOOKUP($B1041,TRAN!$B$16:$G$26,3,FALSE),IF($A1041="MAT",VLOOKUP($B1041,'MAT1'!$B$16:$G$43,3,FALSE),IF($A1041="MDEO",VLOOKUP($B1041,MDEO!$B$16:$P$33,10,FALSE)))))</f>
        <v>10336.644836388892</v>
      </c>
      <c r="E1041" s="410"/>
      <c r="F1041" s="438">
        <f>+D1041+D1041*E1041</f>
        <v>10336.644836388892</v>
      </c>
      <c r="G1041" s="412">
        <v>2</v>
      </c>
      <c r="H1041" s="411">
        <f>G1041*F1041</f>
        <v>20673.289672777784</v>
      </c>
      <c r="I1041" s="403"/>
    </row>
    <row r="1042" spans="1:9" ht="9.75" customHeight="1" x14ac:dyDescent="0.3">
      <c r="A1042" s="405" t="s">
        <v>4</v>
      </c>
      <c r="B1042" s="408" t="s">
        <v>178</v>
      </c>
      <c r="C1042" s="409" t="str">
        <f>IF($A1042="EQUI",VLOOKUP($B1042,EQUI!B$16:G$37,2,FALSE),IF($A1042="TRAN",VLOOKUP($B1042,TRAN!$B$16:$G$26,2,FALSE),IF($A1042="MAT",VLOOKUP($B1042,'MAT1'!$B$16:$G$43,2,FALSE),IF($A1042="MDEO",VLOOKUP($B1042,MDEO!$B$16:$P$33,2,FALSE)))))</f>
        <v>contra maestro</v>
      </c>
      <c r="D1042" s="449">
        <f>IF($A1042="EQUI",VLOOKUP($B1042,EQUI!B$16:G$35,3,FALSE),IF($A1042="TRAN",VLOOKUP($B1042,TRAN!$B$16:$G$26,3,FALSE),IF($A1042="MAT",VLOOKUP($B1042,'MAT1'!$B$16:$G$43,3,FALSE),IF($A1042="MDEO",VLOOKUP($B1042,MDEO!$B$16:$P$33,10,FALSE)))))</f>
        <v>12974.601086388891</v>
      </c>
      <c r="E1042" s="410"/>
      <c r="F1042" s="438">
        <f>+D1042+D1042*E1042</f>
        <v>12974.601086388891</v>
      </c>
      <c r="G1042" s="412">
        <f>+G1040*0.1</f>
        <v>0.1</v>
      </c>
      <c r="H1042" s="411">
        <f>G1042*F1042</f>
        <v>1297.4601086388893</v>
      </c>
      <c r="I1042" s="403"/>
    </row>
    <row r="1043" spans="1:9" ht="12.75" customHeight="1" x14ac:dyDescent="0.3">
      <c r="A1043" s="401"/>
      <c r="C1043" s="352"/>
      <c r="D1043" s="417"/>
      <c r="E1043" s="352"/>
      <c r="F1043" s="413" t="s">
        <v>32</v>
      </c>
      <c r="G1043" s="402" t="str">
        <f>+B1023</f>
        <v>4.5</v>
      </c>
      <c r="H1043" s="413" t="s">
        <v>362</v>
      </c>
      <c r="I1043" s="396">
        <f>SUM(H1040:H1042)</f>
        <v>34307.394617805563</v>
      </c>
    </row>
    <row r="1044" spans="1:9" ht="12.75" customHeight="1" x14ac:dyDescent="0.3">
      <c r="A1044" s="401" t="s">
        <v>54</v>
      </c>
      <c r="C1044" s="352"/>
      <c r="D1044" s="417"/>
      <c r="E1044" s="352"/>
      <c r="F1044" s="352"/>
      <c r="G1044" s="352"/>
      <c r="H1044" s="350"/>
      <c r="I1044" s="396">
        <f>I1043*0.05</f>
        <v>1715.3697308902783</v>
      </c>
    </row>
    <row r="1045" spans="1:9" ht="12.75" customHeight="1" x14ac:dyDescent="0.3">
      <c r="A1045" s="401"/>
      <c r="C1045" s="352"/>
      <c r="D1045" s="417"/>
      <c r="E1045" s="352"/>
      <c r="F1045" s="413" t="s">
        <v>55</v>
      </c>
      <c r="G1045" s="350"/>
      <c r="H1045" s="350"/>
      <c r="I1045" s="396">
        <f>ROUND(I1043+I1044+I1033+I1028+I1037,0)</f>
        <v>109657</v>
      </c>
    </row>
    <row r="1046" spans="1:9" ht="12.75" customHeight="1" x14ac:dyDescent="0.3">
      <c r="A1046" s="414"/>
      <c r="B1046" s="415"/>
      <c r="C1046" s="415"/>
      <c r="D1046" s="450"/>
      <c r="E1046" s="415"/>
      <c r="F1046" s="415"/>
      <c r="G1046" s="415"/>
      <c r="H1046" s="415"/>
      <c r="I1046" s="396"/>
    </row>
    <row r="1047" spans="1:9" ht="59.4" customHeight="1" x14ac:dyDescent="0.3">
      <c r="A1047" s="724" t="s">
        <v>114</v>
      </c>
      <c r="B1047" s="710"/>
      <c r="C1047" s="710"/>
      <c r="D1047" s="450"/>
      <c r="E1047" s="415"/>
      <c r="F1047" s="710" t="s">
        <v>396</v>
      </c>
      <c r="G1047" s="710"/>
      <c r="H1047" s="710"/>
      <c r="I1047" s="711"/>
    </row>
    <row r="1048" spans="1:9" ht="12.75" customHeight="1" x14ac:dyDescent="0.3">
      <c r="A1048" s="397" t="s">
        <v>111</v>
      </c>
      <c r="B1048" s="712"/>
      <c r="C1048" s="712"/>
      <c r="D1048" s="417"/>
      <c r="E1048" s="352"/>
      <c r="F1048" s="350" t="s">
        <v>111</v>
      </c>
      <c r="G1048" s="712"/>
      <c r="H1048" s="712"/>
      <c r="I1048" s="713"/>
    </row>
    <row r="1049" spans="1:9" ht="12.75" customHeight="1" x14ac:dyDescent="0.3">
      <c r="A1049" s="439" t="s">
        <v>115</v>
      </c>
      <c r="B1049" s="710" t="s">
        <v>1551</v>
      </c>
      <c r="C1049" s="710"/>
      <c r="F1049" s="432" t="s">
        <v>112</v>
      </c>
      <c r="G1049" s="712"/>
      <c r="H1049" s="712"/>
      <c r="I1049" s="713"/>
    </row>
    <row r="1050" spans="1:9" ht="12.75" customHeight="1" x14ac:dyDescent="0.3">
      <c r="A1050" s="439" t="s">
        <v>113</v>
      </c>
      <c r="B1050" s="710" t="s">
        <v>1554</v>
      </c>
      <c r="C1050" s="710"/>
      <c r="F1050" s="432" t="s">
        <v>113</v>
      </c>
      <c r="G1050" s="712"/>
      <c r="H1050" s="712"/>
      <c r="I1050" s="713"/>
    </row>
    <row r="1051" spans="1:9" ht="12.75" customHeight="1" x14ac:dyDescent="0.3">
      <c r="A1051" s="439"/>
      <c r="B1051" s="350"/>
      <c r="C1051" s="350"/>
      <c r="F1051" s="432"/>
      <c r="G1051" s="350"/>
      <c r="H1051" s="350"/>
      <c r="I1051" s="416"/>
    </row>
    <row r="1052" spans="1:9" ht="12.75" customHeight="1" x14ac:dyDescent="0.3">
      <c r="A1052" s="714" t="s">
        <v>110</v>
      </c>
      <c r="B1052" s="715"/>
      <c r="C1052" s="715"/>
      <c r="D1052" s="715"/>
      <c r="E1052" s="715"/>
      <c r="F1052" s="715"/>
      <c r="G1052" s="715"/>
      <c r="H1052" s="715"/>
      <c r="I1052" s="716"/>
    </row>
    <row r="1053" spans="1:9" ht="21" customHeight="1" x14ac:dyDescent="0.3">
      <c r="A1053" s="729"/>
      <c r="B1053" s="730"/>
      <c r="C1053" s="730"/>
      <c r="D1053" s="730"/>
      <c r="E1053" s="730"/>
      <c r="F1053" s="730"/>
      <c r="G1053" s="730"/>
      <c r="H1053" s="730"/>
      <c r="I1053" s="731"/>
    </row>
    <row r="1054" spans="1:9" ht="21" customHeight="1" x14ac:dyDescent="0.3">
      <c r="A1054" s="714"/>
      <c r="B1054" s="715"/>
      <c r="C1054" s="715"/>
      <c r="D1054" s="715"/>
      <c r="E1054" s="715"/>
      <c r="F1054" s="715"/>
      <c r="G1054" s="715"/>
      <c r="H1054" s="715"/>
      <c r="I1054" s="716"/>
    </row>
    <row r="1055" spans="1:9" ht="12.75" customHeight="1" x14ac:dyDescent="0.3">
      <c r="A1055" s="433"/>
      <c r="I1055" s="434"/>
    </row>
    <row r="1056" spans="1:9" ht="12.75" customHeight="1" x14ac:dyDescent="0.3">
      <c r="A1056" s="724" t="s">
        <v>68</v>
      </c>
      <c r="B1056" s="710"/>
      <c r="C1056" s="710"/>
      <c r="D1056" s="710"/>
      <c r="E1056" s="710"/>
      <c r="F1056" s="710"/>
      <c r="G1056" s="710"/>
      <c r="H1056" s="710"/>
      <c r="I1056" s="711"/>
    </row>
    <row r="1057" spans="1:15" ht="22.5" customHeight="1" x14ac:dyDescent="0.3">
      <c r="A1057" s="390" t="s">
        <v>69</v>
      </c>
      <c r="B1057" s="391" t="s">
        <v>271</v>
      </c>
      <c r="C1057" s="710" t="s">
        <v>70</v>
      </c>
      <c r="D1057" s="723" t="str">
        <f>VLOOKUP(B1057,'AJUSTE PRESUPUESTO'!$A$18:$I$68,3,FALSE)</f>
        <v>construcción de concreto reforzado 21mpa para viga de cierre andenes, zonas verdes</v>
      </c>
      <c r="E1057" s="723"/>
      <c r="F1057" s="723"/>
      <c r="G1057" s="723"/>
      <c r="H1057" s="723"/>
      <c r="I1057" s="728"/>
    </row>
    <row r="1058" spans="1:15" ht="12.75" customHeight="1" x14ac:dyDescent="0.3">
      <c r="A1058" s="390" t="s">
        <v>71</v>
      </c>
      <c r="B1058" s="391" t="str">
        <f>VLOOKUP(B1057,PRESUPUESTO!$A$18:$I$69,2,FALSE)</f>
        <v>630-13A</v>
      </c>
      <c r="C1058" s="710"/>
      <c r="D1058" s="355" t="s">
        <v>12</v>
      </c>
      <c r="E1058" s="392" t="s">
        <v>124</v>
      </c>
      <c r="F1058" s="392" t="s">
        <v>13</v>
      </c>
      <c r="G1058" s="392">
        <f>VLOOKUP(B1058,PRESUPUESTO!$B$15:$I$1201,5,FALSE)</f>
        <v>454</v>
      </c>
      <c r="H1058" s="393" t="s">
        <v>27</v>
      </c>
      <c r="I1058" s="394">
        <f>+I1082</f>
        <v>603900</v>
      </c>
    </row>
    <row r="1059" spans="1:15" ht="12.75" customHeight="1" x14ac:dyDescent="0.3">
      <c r="A1059" s="395" t="s">
        <v>14</v>
      </c>
      <c r="B1059" s="386"/>
      <c r="C1059" s="352"/>
      <c r="D1059" s="417"/>
      <c r="E1059" s="352"/>
      <c r="F1059" s="352"/>
      <c r="G1059" s="352"/>
      <c r="H1059" s="352"/>
      <c r="I1059" s="396"/>
    </row>
    <row r="1060" spans="1:15" ht="12.75" customHeight="1" x14ac:dyDescent="0.3">
      <c r="A1060" s="720" t="s">
        <v>19</v>
      </c>
      <c r="B1060" s="712"/>
      <c r="C1060" s="712"/>
      <c r="D1060" s="712"/>
      <c r="E1060" s="712"/>
      <c r="F1060" s="350" t="s">
        <v>28</v>
      </c>
      <c r="G1060" s="350" t="s">
        <v>29</v>
      </c>
      <c r="H1060" s="350" t="s">
        <v>30</v>
      </c>
      <c r="I1060" s="403"/>
    </row>
    <row r="1061" spans="1:15" ht="10.5" customHeight="1" x14ac:dyDescent="0.3">
      <c r="A1061" s="397" t="s">
        <v>1</v>
      </c>
      <c r="B1061" s="398" t="s">
        <v>98</v>
      </c>
      <c r="C1061" s="721" t="str">
        <f>IF($A1061="EQUI",VLOOKUP($B1061,EQUI!B$16:G$54,2,FALSE),IF($A1061="TRAN",VLOOKUP($B1061,TRAN!$B$16:$G$26,3,FALSE),IF($A1061="MAT",VLOOKUP($B1061,'MAT1'!$B$16:$G$43,3,FALSE),IF($A1061="MDEO",VLOOKUP($B1061,MDEO!$B$16:$P$33,2,FALSE)))))</f>
        <v>vibrador de aguja</v>
      </c>
      <c r="D1061" s="721"/>
      <c r="E1061" s="721"/>
      <c r="F1061" s="355">
        <f>IF($A1061="EQUI",VLOOKUP($B1061,EQUI!B$16:G$54,4,FALSE),IF($A1061="TRAN",VLOOKUP($B1061,TRAN!$B$16:$G$26,3,FALSE),IF($A1061="MAT",VLOOKUP($B1061,'MAT1'!$B$16:$G$43,3,FALSE),IF($A1061="MDEO",VLOOKUP($B1061,MDEO!$B$16:$P$33,2,FALSE)))))</f>
        <v>4375</v>
      </c>
      <c r="G1061" s="352">
        <v>1</v>
      </c>
      <c r="H1061" s="404">
        <f>+F1061*G1061</f>
        <v>4375</v>
      </c>
      <c r="I1061" s="403"/>
    </row>
    <row r="1062" spans="1:15" ht="10.5" customHeight="1" x14ac:dyDescent="0.3">
      <c r="A1062" s="397" t="s">
        <v>1</v>
      </c>
      <c r="B1062" s="398" t="s">
        <v>85</v>
      </c>
      <c r="C1062" s="721" t="str">
        <f>IF($A1062="EQUI",VLOOKUP($B1062,EQUI!B$16:G$54,2,FALSE),IF($A1062="TRAN",VLOOKUP($B1062,TRAN!$B$16:$G$26,3,FALSE),IF($A1062="MAT",VLOOKUP($B1062,'MAT1'!$B$16:$G$43,3,FALSE),IF($A1062="MDEO",VLOOKUP($B1062,MDEO!$B$16:$P$33,2,FALSE)))))</f>
        <v>formaleta para bordillo/cuneta</v>
      </c>
      <c r="D1062" s="721"/>
      <c r="E1062" s="721"/>
      <c r="F1062" s="355">
        <f>IF($A1062="EQUI",VLOOKUP($B1062,EQUI!B$16:G$54,4,FALSE),IF($A1062="TRAN",VLOOKUP($B1062,TRAN!$B$16:$G$26,3,FALSE),IF($A1062="MAT",VLOOKUP($B1062,'MAT1'!$B$16:$G$43,3,FALSE),IF($A1062="MDEO",VLOOKUP($B1062,MDEO!$B$16:$P$33,2,FALSE)))))</f>
        <v>2150</v>
      </c>
      <c r="G1062" s="352">
        <v>1</v>
      </c>
      <c r="H1062" s="404">
        <f>+F1062*G1062</f>
        <v>2150</v>
      </c>
      <c r="I1062" s="403"/>
    </row>
    <row r="1063" spans="1:15" ht="10.5" customHeight="1" x14ac:dyDescent="0.3">
      <c r="A1063" s="401"/>
      <c r="C1063" s="352"/>
      <c r="D1063" s="417"/>
      <c r="E1063" s="352"/>
      <c r="F1063" s="413" t="s">
        <v>32</v>
      </c>
      <c r="G1063" s="402" t="str">
        <f>+B1057</f>
        <v>4.6</v>
      </c>
      <c r="H1063" s="402" t="s">
        <v>363</v>
      </c>
      <c r="I1063" s="396">
        <f>SUM(H1061:H1062)</f>
        <v>6525</v>
      </c>
    </row>
    <row r="1064" spans="1:15" ht="10.5" customHeight="1" x14ac:dyDescent="0.3">
      <c r="A1064" s="395" t="s">
        <v>34</v>
      </c>
      <c r="B1064" s="386"/>
      <c r="C1064" s="352"/>
      <c r="D1064" s="417"/>
      <c r="E1064" s="352"/>
      <c r="F1064" s="352"/>
      <c r="G1064" s="352"/>
      <c r="H1064" s="352"/>
      <c r="I1064" s="403"/>
    </row>
    <row r="1065" spans="1:15" ht="10.5" customHeight="1" x14ac:dyDescent="0.3">
      <c r="A1065" s="720" t="s">
        <v>35</v>
      </c>
      <c r="B1065" s="712"/>
      <c r="C1065" s="712"/>
      <c r="D1065" s="712"/>
      <c r="E1065" s="350" t="s">
        <v>12</v>
      </c>
      <c r="F1065" s="350" t="s">
        <v>36</v>
      </c>
      <c r="G1065" s="350" t="s">
        <v>37</v>
      </c>
      <c r="H1065" s="350" t="s">
        <v>38</v>
      </c>
      <c r="I1065" s="403"/>
    </row>
    <row r="1066" spans="1:15" ht="10.5" customHeight="1" x14ac:dyDescent="0.3">
      <c r="A1066" s="397" t="s">
        <v>523</v>
      </c>
      <c r="B1066" s="398" t="s">
        <v>139</v>
      </c>
      <c r="C1066" s="721" t="str">
        <f>IF($A1066="EQUI",VLOOKUP($B1066,EQUI!B$16:G$35,2,FALSE),IF($A1066="TRAN",VLOOKUP($B1066,TRAN!$B$16:$G$26,2,FALSE),IF($A1066="MAT1",VLOOKUP($B1066,'MAT1'!$B$16:$G$54,2,FALSE),IF($A1066="MAT2",VLOOKUP($B1066,'MAT2'!$B$16:$G$65,2,FALSE),IF($A1066="MDEO",VLOOKUP($B1066,MDEO!$B$16:$P$27,2,FALSE))))))</f>
        <v>Concreto 3000psi en obra</v>
      </c>
      <c r="D1066" s="721"/>
      <c r="E1066" s="355" t="str">
        <f>IF($A1066="EQUI",VLOOKUP($B1066,EQUI!B$16:G$35,3,FALSE),IF($A1066="TRAN",VLOOKUP($B1066,TRAN!$B$16:$G$26,3,FALSE),IF($A1066="MAT1",VLOOKUP($B1066,'MAT1'!$B$16:$G$54,3,FALSE),IF($A1066="MAT2",VLOOKUP($B1066,'MAT2'!$B$16:$G$55,3,FALSE),IF($A1066="MDEO",VLOOKUP($B1066,MDEO!$B$16:$P$27,3,FALSE))))))</f>
        <v>M3</v>
      </c>
      <c r="F1066" s="355">
        <f>IF($A1066="EQUI",VLOOKUP($B1066,EQUI!B$16:G$35,4,FALSE),IF($A1066="TRAN",VLOOKUP($B1066,TRAN!$B$16:$G$26,4,FALSE),IF($A1066="MAT1",VLOOKUP($B1066,'MAT1'!$B$16:$G$54,4,FALSE),IF($A1066="MAT2",VLOOKUP($B1066,'MAT2'!$B$16:$G$53,4,FALSE),IF($A1066="MDEO",VLOOKUP($B1066,MDEO!$B$16:$P$27,4,FALSE))))))</f>
        <v>498450</v>
      </c>
      <c r="G1066" s="352">
        <v>1</v>
      </c>
      <c r="H1066" s="404">
        <f>+G1066*F1066</f>
        <v>498450</v>
      </c>
      <c r="I1066" s="403"/>
      <c r="K1066" s="441">
        <f>+G1066*G1058</f>
        <v>454</v>
      </c>
      <c r="M1066" s="430">
        <f>+G1066*G1058*7</f>
        <v>3178</v>
      </c>
      <c r="N1066" s="430">
        <f>+G1066*G1058*0.5</f>
        <v>227</v>
      </c>
      <c r="O1066" s="430">
        <f>+G1066*G1058*0.8</f>
        <v>363.20000000000005</v>
      </c>
    </row>
    <row r="1067" spans="1:15" ht="10.5" customHeight="1" x14ac:dyDescent="0.3">
      <c r="A1067" s="397" t="s">
        <v>523</v>
      </c>
      <c r="B1067" s="398" t="s">
        <v>134</v>
      </c>
      <c r="C1067" s="721" t="str">
        <f>IF($A1067="EQUI",VLOOKUP($B1067,EQUI!B$16:G$35,2,FALSE),IF($A1067="TRAN",VLOOKUP($B1067,TRAN!$B$16:$G$26,2,FALSE),IF($A1067="MAT1",VLOOKUP($B1067,'MAT1'!$B$16:$G$54,2,FALSE),IF($A1067="MAT2",VLOOKUP($B1067,'MAT2'!$B$16:$G$65,2,FALSE),IF($A1067="MDEO",VLOOKUP($B1067,MDEO!$B$16:$P$27,2,FALSE))))))</f>
        <v>Acero  60000 psi</v>
      </c>
      <c r="D1067" s="721"/>
      <c r="E1067" s="355" t="str">
        <f>IF($A1067="EQUI",VLOOKUP($B1067,EQUI!B$16:G$35,3,FALSE),IF($A1067="TRAN",VLOOKUP($B1067,TRAN!$B$16:$G$26,3,FALSE),IF($A1067="MAT1",VLOOKUP($B1067,'MAT1'!$B$16:$G$54,3,FALSE),IF($A1067="MAT2",VLOOKUP($B1067,'MAT2'!$B$16:$G$55,3,FALSE),IF($A1067="MDEO",VLOOKUP($B1067,MDEO!$B$16:$P$27,3,FALSE))))))</f>
        <v>KG</v>
      </c>
      <c r="F1067" s="355">
        <f>IF($A1067="EQUI",VLOOKUP($B1067,EQUI!B$16:G$35,4,FALSE),IF($A1067="TRAN",VLOOKUP($B1067,TRAN!$B$16:$G$26,4,FALSE),IF($A1067="MAT1",VLOOKUP($B1067,'MAT1'!$B$16:$G$54,4,FALSE),IF($A1067="MAT2",VLOOKUP($B1067,'MAT2'!$B$16:$G$53,4,FALSE),IF($A1067="MDEO",VLOOKUP($B1067,MDEO!$B$16:$P$27,4,FALSE))))))</f>
        <v>6913</v>
      </c>
      <c r="G1067" s="352">
        <v>45</v>
      </c>
      <c r="H1067" s="404"/>
      <c r="I1067" s="403"/>
      <c r="K1067" s="441">
        <f>+G1067*G1058</f>
        <v>20430</v>
      </c>
    </row>
    <row r="1068" spans="1:15" ht="10.5" customHeight="1" x14ac:dyDescent="0.3">
      <c r="A1068" s="397" t="s">
        <v>523</v>
      </c>
      <c r="B1068" s="398" t="s">
        <v>41</v>
      </c>
      <c r="C1068" s="721" t="str">
        <f>IF($A1068="EQUI",VLOOKUP($B1068,EQUI!B$16:G$35,2,FALSE),IF($A1068="TRAN",VLOOKUP($B1068,TRAN!$B$16:$G$26,2,FALSE),IF($A1068="MAT1",VLOOKUP($B1068,'MAT1'!$B$16:$G$54,2,FALSE),IF($A1068="MAT2",VLOOKUP($B1068,'MAT2'!$B$16:$G$65,2,FALSE),IF($A1068="MDEO",VLOOKUP($B1068,MDEO!$B$16:$P$27,2,FALSE))))))</f>
        <v>Alambre quemado</v>
      </c>
      <c r="D1068" s="721"/>
      <c r="E1068" s="355" t="str">
        <f>IF($A1068="EQUI",VLOOKUP($B1068,EQUI!B$16:G$35,3,FALSE),IF($A1068="TRAN",VLOOKUP($B1068,TRAN!$B$16:$G$26,3,FALSE),IF($A1068="MAT1",VLOOKUP($B1068,'MAT1'!$B$16:$G$54,3,FALSE),IF($A1068="MAT2",VLOOKUP($B1068,'MAT2'!$B$16:$G$55,3,FALSE),IF($A1068="MDEO",VLOOKUP($B1068,MDEO!$B$16:$P$27,3,FALSE))))))</f>
        <v>KG</v>
      </c>
      <c r="F1068" s="355">
        <f>IF($A1068="EQUI",VLOOKUP($B1068,EQUI!B$16:G$35,4,FALSE),IF($A1068="TRAN",VLOOKUP($B1068,TRAN!$B$16:$G$26,4,FALSE),IF($A1068="MAT1",VLOOKUP($B1068,'MAT1'!$B$16:$G$54,4,FALSE),IF($A1068="MAT2",VLOOKUP($B1068,'MAT2'!$B$16:$G$53,4,FALSE),IF($A1068="MDEO",VLOOKUP($B1068,MDEO!$B$16:$P$27,4,FALSE))))))</f>
        <v>8321</v>
      </c>
      <c r="G1068" s="352">
        <v>0.04</v>
      </c>
      <c r="H1068" s="404">
        <f>+F1068*G1068</f>
        <v>332.84000000000003</v>
      </c>
      <c r="I1068" s="403"/>
    </row>
    <row r="1069" spans="1:15" ht="10.5" customHeight="1" x14ac:dyDescent="0.3">
      <c r="A1069" s="401"/>
      <c r="C1069" s="352"/>
      <c r="D1069" s="417"/>
      <c r="E1069" s="352"/>
      <c r="F1069" s="413" t="s">
        <v>32</v>
      </c>
      <c r="G1069" s="402" t="str">
        <f>+B1057</f>
        <v>4.6</v>
      </c>
      <c r="H1069" s="402" t="s">
        <v>364</v>
      </c>
      <c r="I1069" s="396">
        <f>SUM(H1066:H1068)</f>
        <v>498782.84</v>
      </c>
    </row>
    <row r="1070" spans="1:15" ht="10.5" customHeight="1" x14ac:dyDescent="0.3">
      <c r="A1070" s="395" t="s">
        <v>15</v>
      </c>
      <c r="B1070" s="386"/>
      <c r="C1070" s="352"/>
      <c r="D1070" s="417"/>
      <c r="E1070" s="352"/>
      <c r="F1070" s="352"/>
      <c r="G1070" s="352"/>
      <c r="H1070" s="352"/>
      <c r="I1070" s="403"/>
    </row>
    <row r="1071" spans="1:15" ht="10.5" customHeight="1" x14ac:dyDescent="0.3">
      <c r="A1071" s="720" t="s">
        <v>19</v>
      </c>
      <c r="B1071" s="712"/>
      <c r="C1071" s="712"/>
      <c r="D1071" s="355" t="s">
        <v>43</v>
      </c>
      <c r="E1071" s="428" t="s">
        <v>44</v>
      </c>
      <c r="F1071" s="355" t="s">
        <v>45</v>
      </c>
      <c r="G1071" s="350" t="s">
        <v>17</v>
      </c>
      <c r="H1071" s="350" t="s">
        <v>30</v>
      </c>
      <c r="I1071" s="403"/>
    </row>
    <row r="1072" spans="1:15" ht="10.5" customHeight="1" x14ac:dyDescent="0.3">
      <c r="A1072" s="405" t="s">
        <v>3</v>
      </c>
      <c r="B1072" s="398" t="s">
        <v>164</v>
      </c>
      <c r="C1072" s="419" t="str">
        <f>IF($A1072="EQUI",VLOOKUP($B1072,EQUI!B$16:G$35,2,FALSE),IF($A1072="TRAN",VLOOKUP($B1072,TRAN!$B$16:$G$26,2,FALSE),IF($A1072="MAT1",VLOOKUP($B1072,'MAT1'!$B$16:$G$43,2,FALSE),IF($A1072="MAT2",VLOOKUP($B1072,'MAT2'!$B$16:$G$65,2,FALSE),IF($A1072="MDEO",VLOOKUP($B1072,MDEO!$B$16:$P$27,2,FALSE))))))</f>
        <v>trans. Int. concreto m3</v>
      </c>
      <c r="D1072" s="355">
        <f>+G1066</f>
        <v>1</v>
      </c>
      <c r="E1072" s="355">
        <v>1</v>
      </c>
      <c r="F1072" s="355">
        <f>+E1072*D1072</f>
        <v>1</v>
      </c>
      <c r="G1072" s="350">
        <f>IF($A1072="EQUI",VLOOKUP($B1072,EQUI!B$16:G$35,2,FALSE),IF($A1072="TRAN",VLOOKUP($B1072,TRAN!$B$16:$G$37,4,FALSE),IF($A1072="MAT1",VLOOKUP($B1072,'MAT1'!$B$16:$G$43,2,FALSE),IF($A1072="MAT2",VLOOKUP($B1072,'MAT2'!$B$16:$G$65,2,FALSE),IF($A1072="MDEO",VLOOKUP($B1072,MDEO!$B$16:$P$27,2,FALSE))))))</f>
        <v>4000</v>
      </c>
      <c r="H1072" s="404">
        <f>+F1072*G1072</f>
        <v>4000</v>
      </c>
      <c r="I1072" s="403"/>
    </row>
    <row r="1073" spans="1:9" ht="10.5" customHeight="1" x14ac:dyDescent="0.3">
      <c r="A1073" s="401"/>
      <c r="C1073" s="352"/>
      <c r="D1073" s="417"/>
      <c r="E1073" s="352"/>
      <c r="F1073" s="413" t="s">
        <v>32</v>
      </c>
      <c r="G1073" s="402" t="str">
        <f>+B1057</f>
        <v>4.6</v>
      </c>
      <c r="H1073" s="402" t="s">
        <v>365</v>
      </c>
      <c r="I1073" s="396">
        <f>SUM(H1072:H1072)</f>
        <v>4000</v>
      </c>
    </row>
    <row r="1074" spans="1:9" ht="12.75" customHeight="1" x14ac:dyDescent="0.3">
      <c r="A1074" s="395" t="s">
        <v>1107</v>
      </c>
      <c r="B1074" s="386"/>
      <c r="C1074" s="352"/>
      <c r="D1074" s="417"/>
      <c r="E1074" s="352"/>
      <c r="F1074" s="352"/>
      <c r="G1074" s="352"/>
      <c r="H1074" s="352"/>
      <c r="I1074" s="403"/>
    </row>
    <row r="1075" spans="1:9" ht="10.5" customHeight="1" x14ac:dyDescent="0.3">
      <c r="A1075" s="722" t="s">
        <v>18</v>
      </c>
      <c r="B1075" s="723"/>
      <c r="C1075" s="723"/>
      <c r="D1075" s="355" t="s">
        <v>48</v>
      </c>
      <c r="E1075" s="355" t="s">
        <v>109</v>
      </c>
      <c r="F1075" s="380" t="s">
        <v>250</v>
      </c>
      <c r="G1075" s="380" t="s">
        <v>251</v>
      </c>
      <c r="H1075" s="355" t="s">
        <v>252</v>
      </c>
      <c r="I1075" s="407"/>
    </row>
    <row r="1076" spans="1:9" ht="9.75" customHeight="1" x14ac:dyDescent="0.3">
      <c r="A1076" s="405" t="s">
        <v>4</v>
      </c>
      <c r="B1076" s="408" t="s">
        <v>175</v>
      </c>
      <c r="C1076" s="409" t="str">
        <f>IF($A1076="EQUI",VLOOKUP($B1076,EQUI!B$16:G$37,2,FALSE),IF($A1076="TRAN",VLOOKUP($B1076,TRAN!$B$16:$G$26,2,FALSE),IF($A1076="MAT",VLOOKUP($B1076,'MAT1'!$B$16:$G$43,2,FALSE),IF($A1076="MDEO",VLOOKUP($B1076,MDEO!$B$16:$P$27,2,FALSE)))))</f>
        <v xml:space="preserve">oficial </v>
      </c>
      <c r="D1076" s="449">
        <f>IF($A1076="EQUI",VLOOKUP($B1076,EQUI!B$16:G$35,3,FALSE),IF($A1076="TRAN",VLOOKUP($B1076,TRAN!$B$16:$G$26,3,FALSE),IF($A1076="MAT",VLOOKUP($B1076,'MAT1'!$B$16:$G$43,3,FALSE),IF($A1076="MDEO",VLOOKUP($B1076,MDEO!$B$16:$P$33,10,FALSE)))))</f>
        <v>12336.644836388892</v>
      </c>
      <c r="E1076" s="410"/>
      <c r="F1076" s="438">
        <f>+D1076+D1076*E1076</f>
        <v>12336.644836388892</v>
      </c>
      <c r="G1076" s="412">
        <v>2</v>
      </c>
      <c r="H1076" s="411">
        <f>G1076*F1076</f>
        <v>24673.289672777784</v>
      </c>
      <c r="I1076" s="403"/>
    </row>
    <row r="1077" spans="1:9" ht="9.75" customHeight="1" x14ac:dyDescent="0.3">
      <c r="A1077" s="405" t="s">
        <v>4</v>
      </c>
      <c r="B1077" s="408" t="s">
        <v>176</v>
      </c>
      <c r="C1077" s="409" t="str">
        <f>IF($A1077="EQUI",VLOOKUP($B1077,EQUI!B$16:G$37,2,FALSE),IF($A1077="TRAN",VLOOKUP($B1077,TRAN!$B$16:$G$26,2,FALSE),IF($A1077="MAT",VLOOKUP($B1077,'MAT1'!$B$16:$G$43,2,FALSE),IF($A1077="MDEO",VLOOKUP($B1077,MDEO!$B$16:$P$27,2,FALSE)))))</f>
        <v xml:space="preserve">ayudante entendido </v>
      </c>
      <c r="D1077" s="449">
        <f>IF($A1077="EQUI",VLOOKUP($B1077,EQUI!B$16:G$35,3,FALSE),IF($A1077="TRAN",VLOOKUP($B1077,TRAN!$B$16:$G$26,3,FALSE),IF($A1077="MAT",VLOOKUP($B1077,'MAT1'!$B$16:$G$43,3,FALSE),IF($A1077="MDEO",VLOOKUP($B1077,MDEO!$B$16:$P$33,10,FALSE)))))</f>
        <v>11136.644836388892</v>
      </c>
      <c r="E1077" s="410"/>
      <c r="F1077" s="438">
        <f>+D1077+D1077*E1077</f>
        <v>11136.644836388892</v>
      </c>
      <c r="G1077" s="412">
        <v>1</v>
      </c>
      <c r="H1077" s="411">
        <f>G1077*F1077</f>
        <v>11136.644836388892</v>
      </c>
      <c r="I1077" s="403"/>
    </row>
    <row r="1078" spans="1:9" ht="9.75" customHeight="1" x14ac:dyDescent="0.3">
      <c r="A1078" s="405" t="s">
        <v>4</v>
      </c>
      <c r="B1078" s="408" t="s">
        <v>177</v>
      </c>
      <c r="C1078" s="409" t="str">
        <f>IF($A1078="EQUI",VLOOKUP($B1078,EQUI!B$16:G$37,2,FALSE),IF($A1078="TRAN",VLOOKUP($B1078,TRAN!$B$16:$G$26,2,FALSE),IF($A1078="MAT",VLOOKUP($B1078,'MAT1'!$B$16:$G$43,2,FALSE),IF($A1078="MDEO",VLOOKUP($B1078,MDEO!$B$16:$P$27,2,FALSE)))))</f>
        <v xml:space="preserve">ayudante </v>
      </c>
      <c r="D1078" s="449">
        <f>IF($A1078="EQUI",VLOOKUP($B1078,EQUI!B$16:G$35,3,FALSE),IF($A1078="TRAN",VLOOKUP($B1078,TRAN!$B$16:$G$26,3,FALSE),IF($A1078="MAT",VLOOKUP($B1078,'MAT1'!$B$16:$G$43,3,FALSE),IF($A1078="MDEO",VLOOKUP($B1078,MDEO!$B$16:$P$33,10,FALSE)))))</f>
        <v>10336.644836388892</v>
      </c>
      <c r="E1078" s="410"/>
      <c r="F1078" s="438">
        <f>+D1078+D1078*E1078</f>
        <v>10336.644836388892</v>
      </c>
      <c r="G1078" s="412">
        <v>5</v>
      </c>
      <c r="H1078" s="411">
        <f>G1078*F1078</f>
        <v>51683.224181944461</v>
      </c>
      <c r="I1078" s="403"/>
    </row>
    <row r="1079" spans="1:9" ht="9.75" customHeight="1" x14ac:dyDescent="0.3">
      <c r="A1079" s="405" t="s">
        <v>4</v>
      </c>
      <c r="B1079" s="408" t="s">
        <v>178</v>
      </c>
      <c r="C1079" s="409" t="str">
        <f>IF($A1079="EQUI",VLOOKUP($B1079,EQUI!B$16:G$37,2,FALSE),IF($A1079="TRAN",VLOOKUP($B1079,TRAN!$B$16:$G$26,2,FALSE),IF($A1079="MAT",VLOOKUP($B1079,'MAT1'!$B$16:$G$43,2,FALSE),IF($A1079="MDEO",VLOOKUP($B1079,MDEO!$B$16:$P$33,2,FALSE)))))</f>
        <v>contra maestro</v>
      </c>
      <c r="D1079" s="449">
        <f>IF($A1079="EQUI",VLOOKUP($B1079,EQUI!B$16:G$35,3,FALSE),IF($A1079="TRAN",VLOOKUP($B1079,TRAN!$B$16:$G$26,3,FALSE),IF($A1079="MAT",VLOOKUP($B1079,'MAT1'!$B$16:$G$43,3,FALSE),IF($A1079="MDEO",VLOOKUP($B1079,MDEO!$B$16:$P$33,10,FALSE)))))</f>
        <v>12974.601086388891</v>
      </c>
      <c r="E1079" s="410"/>
      <c r="F1079" s="438">
        <f>+D1079+D1079*E1079</f>
        <v>12974.601086388891</v>
      </c>
      <c r="G1079" s="412">
        <f>+G1076*0.1</f>
        <v>0.2</v>
      </c>
      <c r="H1079" s="411">
        <f>G1079*F1079</f>
        <v>2594.9202172777786</v>
      </c>
      <c r="I1079" s="403"/>
    </row>
    <row r="1080" spans="1:9" ht="12.75" customHeight="1" x14ac:dyDescent="0.3">
      <c r="A1080" s="401"/>
      <c r="C1080" s="352"/>
      <c r="D1080" s="417"/>
      <c r="E1080" s="352"/>
      <c r="F1080" s="413" t="s">
        <v>32</v>
      </c>
      <c r="G1080" s="402" t="str">
        <f>+B1057</f>
        <v>4.6</v>
      </c>
      <c r="H1080" s="413" t="s">
        <v>366</v>
      </c>
      <c r="I1080" s="396">
        <f>SUM(H1076:H1079)</f>
        <v>90088.07890838891</v>
      </c>
    </row>
    <row r="1081" spans="1:9" ht="12.75" customHeight="1" x14ac:dyDescent="0.3">
      <c r="A1081" s="401" t="s">
        <v>54</v>
      </c>
      <c r="C1081" s="352"/>
      <c r="D1081" s="417"/>
      <c r="E1081" s="352"/>
      <c r="F1081" s="352"/>
      <c r="G1081" s="352"/>
      <c r="H1081" s="350"/>
      <c r="I1081" s="396">
        <f>I1080*0.05</f>
        <v>4504.4039454194453</v>
      </c>
    </row>
    <row r="1082" spans="1:9" ht="12.75" customHeight="1" x14ac:dyDescent="0.3">
      <c r="A1082" s="401"/>
      <c r="C1082" s="352"/>
      <c r="D1082" s="417"/>
      <c r="E1082" s="352"/>
      <c r="F1082" s="413" t="s">
        <v>55</v>
      </c>
      <c r="G1082" s="350"/>
      <c r="H1082" s="350"/>
      <c r="I1082" s="396">
        <f>ROUND(I1080+I1081+I1069+I1063+I1073,0)</f>
        <v>603900</v>
      </c>
    </row>
    <row r="1083" spans="1:9" ht="12.75" customHeight="1" x14ac:dyDescent="0.3">
      <c r="A1083" s="414"/>
      <c r="B1083" s="415"/>
      <c r="C1083" s="415"/>
      <c r="D1083" s="450"/>
      <c r="E1083" s="415"/>
      <c r="F1083" s="415"/>
      <c r="G1083" s="415"/>
      <c r="H1083" s="415"/>
      <c r="I1083" s="396"/>
    </row>
    <row r="1084" spans="1:9" ht="59.4" customHeight="1" x14ac:dyDescent="0.3">
      <c r="A1084" s="724" t="s">
        <v>114</v>
      </c>
      <c r="B1084" s="710"/>
      <c r="C1084" s="710"/>
      <c r="D1084" s="450"/>
      <c r="E1084" s="415"/>
      <c r="F1084" s="710" t="s">
        <v>396</v>
      </c>
      <c r="G1084" s="710"/>
      <c r="H1084" s="710"/>
      <c r="I1084" s="711"/>
    </row>
    <row r="1085" spans="1:9" ht="12.75" customHeight="1" x14ac:dyDescent="0.3">
      <c r="A1085" s="397" t="s">
        <v>111</v>
      </c>
      <c r="B1085" s="712"/>
      <c r="C1085" s="712"/>
      <c r="D1085" s="417"/>
      <c r="E1085" s="352"/>
      <c r="F1085" s="350" t="s">
        <v>111</v>
      </c>
      <c r="G1085" s="712"/>
      <c r="H1085" s="712"/>
      <c r="I1085" s="713"/>
    </row>
    <row r="1086" spans="1:9" ht="12.75" customHeight="1" x14ac:dyDescent="0.3">
      <c r="A1086" s="439" t="s">
        <v>115</v>
      </c>
      <c r="B1086" s="710" t="s">
        <v>1551</v>
      </c>
      <c r="C1086" s="710"/>
      <c r="F1086" s="432" t="s">
        <v>112</v>
      </c>
      <c r="G1086" s="712"/>
      <c r="H1086" s="712"/>
      <c r="I1086" s="713"/>
    </row>
    <row r="1087" spans="1:9" ht="12.75" customHeight="1" x14ac:dyDescent="0.3">
      <c r="A1087" s="439" t="s">
        <v>113</v>
      </c>
      <c r="B1087" s="710" t="s">
        <v>1554</v>
      </c>
      <c r="C1087" s="710"/>
      <c r="F1087" s="432" t="s">
        <v>113</v>
      </c>
      <c r="G1087" s="712"/>
      <c r="H1087" s="712"/>
      <c r="I1087" s="713"/>
    </row>
    <row r="1088" spans="1:9" ht="12.75" customHeight="1" x14ac:dyDescent="0.3">
      <c r="A1088" s="439"/>
      <c r="B1088" s="350"/>
      <c r="C1088" s="350"/>
      <c r="F1088" s="432"/>
      <c r="G1088" s="350"/>
      <c r="H1088" s="350"/>
      <c r="I1088" s="416"/>
    </row>
    <row r="1089" spans="1:15" ht="12.75" customHeight="1" x14ac:dyDescent="0.3">
      <c r="A1089" s="714" t="s">
        <v>110</v>
      </c>
      <c r="B1089" s="715"/>
      <c r="C1089" s="715"/>
      <c r="D1089" s="715"/>
      <c r="E1089" s="715"/>
      <c r="F1089" s="715"/>
      <c r="G1089" s="715"/>
      <c r="H1089" s="715"/>
      <c r="I1089" s="716"/>
    </row>
    <row r="1090" spans="1:15" ht="20.399999999999999" customHeight="1" x14ac:dyDescent="0.3">
      <c r="A1090" s="729"/>
      <c r="B1090" s="730"/>
      <c r="C1090" s="730"/>
      <c r="D1090" s="730"/>
      <c r="E1090" s="730"/>
      <c r="F1090" s="730"/>
      <c r="G1090" s="730"/>
      <c r="H1090" s="730"/>
      <c r="I1090" s="731"/>
    </row>
    <row r="1091" spans="1:15" ht="20.399999999999999" customHeight="1" x14ac:dyDescent="0.3">
      <c r="A1091" s="714"/>
      <c r="B1091" s="715"/>
      <c r="C1091" s="715"/>
      <c r="D1091" s="715"/>
      <c r="E1091" s="715"/>
      <c r="F1091" s="715"/>
      <c r="G1091" s="715"/>
      <c r="H1091" s="715"/>
      <c r="I1091" s="716"/>
    </row>
    <row r="1092" spans="1:15" ht="12.75" customHeight="1" x14ac:dyDescent="0.3">
      <c r="A1092" s="725" t="s">
        <v>68</v>
      </c>
      <c r="B1092" s="726"/>
      <c r="C1092" s="726"/>
      <c r="D1092" s="726"/>
      <c r="E1092" s="726"/>
      <c r="F1092" s="726"/>
      <c r="G1092" s="726"/>
      <c r="H1092" s="726"/>
      <c r="I1092" s="727"/>
    </row>
    <row r="1093" spans="1:15" ht="21.6" customHeight="1" x14ac:dyDescent="0.3">
      <c r="A1093" s="390" t="s">
        <v>69</v>
      </c>
      <c r="B1093" s="391" t="s">
        <v>272</v>
      </c>
      <c r="C1093" s="710" t="s">
        <v>70</v>
      </c>
      <c r="D1093" s="723" t="str">
        <f>VLOOKUP(B1093,'AJUSTE PRESUPUESTO'!$A$18:$I$69,3,FALSE)</f>
        <v>suministro e instalación y transporte de señal vertical lamina galvanizada en Angulo, reflectivo norma invias</v>
      </c>
      <c r="E1093" s="723"/>
      <c r="F1093" s="723"/>
      <c r="G1093" s="723"/>
      <c r="H1093" s="723"/>
      <c r="I1093" s="728"/>
    </row>
    <row r="1094" spans="1:15" ht="12.75" customHeight="1" x14ac:dyDescent="0.3">
      <c r="A1094" s="390" t="s">
        <v>71</v>
      </c>
      <c r="B1094" s="391" t="str">
        <f>VLOOKUP(B1093,PRESUPUESTO!$A$18:$I$69,2,FALSE)</f>
        <v>PAR-22</v>
      </c>
      <c r="C1094" s="710"/>
      <c r="D1094" s="355" t="s">
        <v>12</v>
      </c>
      <c r="E1094" s="392" t="s">
        <v>12</v>
      </c>
      <c r="F1094" s="392" t="s">
        <v>13</v>
      </c>
      <c r="G1094" s="392">
        <f>VLOOKUP(B1094,PRESUPUESTO!$B$15:$I$1201,5,FALSE)</f>
        <v>422</v>
      </c>
      <c r="H1094" s="393" t="s">
        <v>27</v>
      </c>
      <c r="I1094" s="394">
        <f>+I1119</f>
        <v>508860</v>
      </c>
    </row>
    <row r="1095" spans="1:15" ht="12.75" customHeight="1" x14ac:dyDescent="0.3">
      <c r="A1095" s="395" t="s">
        <v>14</v>
      </c>
      <c r="B1095" s="386"/>
      <c r="C1095" s="352"/>
      <c r="D1095" s="417"/>
      <c r="E1095" s="352"/>
      <c r="F1095" s="352"/>
      <c r="G1095" s="352"/>
      <c r="H1095" s="352"/>
      <c r="I1095" s="396"/>
    </row>
    <row r="1096" spans="1:15" ht="12.75" customHeight="1" x14ac:dyDescent="0.3">
      <c r="A1096" s="720" t="s">
        <v>19</v>
      </c>
      <c r="B1096" s="712"/>
      <c r="C1096" s="712"/>
      <c r="D1096" s="712"/>
      <c r="E1096" s="712"/>
      <c r="F1096" s="350" t="s">
        <v>28</v>
      </c>
      <c r="G1096" s="350" t="s">
        <v>29</v>
      </c>
      <c r="H1096" s="350" t="s">
        <v>30</v>
      </c>
      <c r="I1096" s="403"/>
    </row>
    <row r="1097" spans="1:15" ht="12.75" customHeight="1" x14ac:dyDescent="0.3">
      <c r="A1097" s="397" t="s">
        <v>1</v>
      </c>
      <c r="B1097" s="398" t="s">
        <v>90</v>
      </c>
      <c r="C1097" s="721"/>
      <c r="D1097" s="721"/>
      <c r="E1097" s="721"/>
      <c r="F1097" s="355"/>
      <c r="G1097" s="352"/>
      <c r="H1097" s="404"/>
      <c r="I1097" s="403"/>
    </row>
    <row r="1098" spans="1:15" ht="12.75" customHeight="1" x14ac:dyDescent="0.3">
      <c r="A1098" s="401"/>
      <c r="C1098" s="352"/>
      <c r="D1098" s="417"/>
      <c r="E1098" s="352"/>
      <c r="F1098" s="413" t="s">
        <v>32</v>
      </c>
      <c r="G1098" s="402" t="str">
        <f>+B1093</f>
        <v>4.7</v>
      </c>
      <c r="H1098" s="402" t="s">
        <v>367</v>
      </c>
      <c r="I1098" s="396">
        <f>SUM(H1097:H1097)</f>
        <v>0</v>
      </c>
    </row>
    <row r="1099" spans="1:15" ht="12.75" customHeight="1" x14ac:dyDescent="0.3">
      <c r="A1099" s="395" t="s">
        <v>34</v>
      </c>
      <c r="B1099" s="386"/>
      <c r="C1099" s="352"/>
      <c r="D1099" s="417"/>
      <c r="E1099" s="352"/>
      <c r="F1099" s="352"/>
      <c r="G1099" s="352"/>
      <c r="H1099" s="352"/>
      <c r="I1099" s="403"/>
    </row>
    <row r="1100" spans="1:15" ht="12.75" customHeight="1" x14ac:dyDescent="0.3">
      <c r="A1100" s="720" t="s">
        <v>35</v>
      </c>
      <c r="B1100" s="712"/>
      <c r="C1100" s="712"/>
      <c r="D1100" s="712"/>
      <c r="E1100" s="350" t="s">
        <v>12</v>
      </c>
      <c r="F1100" s="350" t="s">
        <v>36</v>
      </c>
      <c r="G1100" s="350" t="s">
        <v>37</v>
      </c>
      <c r="H1100" s="350" t="s">
        <v>38</v>
      </c>
      <c r="I1100" s="403"/>
    </row>
    <row r="1101" spans="1:15" ht="12.75" customHeight="1" x14ac:dyDescent="0.3">
      <c r="A1101" s="397" t="s">
        <v>523</v>
      </c>
      <c r="B1101" s="398" t="s">
        <v>139</v>
      </c>
      <c r="C1101" s="721" t="str">
        <f>IF($A1101="EQUI",VLOOKUP($B1101,EQUI!B$16:G$35,2,FALSE),IF($A1101="TRAN",VLOOKUP($B1101,TRAN!$B$16:$G$26,2,FALSE),IF($A1101="MAT1",VLOOKUP($B1101,'MAT1'!$B$16:$G$54,2,FALSE),IF($A1101="MAT2",VLOOKUP($B1101,'MAT2'!$B$16:$G$65,2,FALSE),IF($A1101="MDEO",VLOOKUP($B1101,MDEO!$B$16:$P$27,2,FALSE))))))</f>
        <v>Concreto 3000psi en obra</v>
      </c>
      <c r="D1101" s="721"/>
      <c r="E1101" s="355" t="str">
        <f>IF($A1101="EQUI",VLOOKUP($B1101,EQUI!B$16:G$35,3,FALSE),IF($A1101="TRAN",VLOOKUP($B1101,TRAN!$B$16:$G$26,3,FALSE),IF($A1101="MAT1",VLOOKUP($B1101,'MAT1'!$B$16:$G$54,3,FALSE),IF($A1101="MAT2",VLOOKUP($B1101,'MAT2'!$B$16:$G$55,3,FALSE),IF($A1101="MDEO",VLOOKUP($B1101,MDEO!$B$16:$P$27,3,FALSE))))))</f>
        <v>M3</v>
      </c>
      <c r="F1101" s="355">
        <f>IF($A1101="EQUI",VLOOKUP($B1101,EQUI!B$16:G$35,4,FALSE),IF($A1101="TRAN",VLOOKUP($B1101,TRAN!$B$16:$G$26,4,FALSE),IF($A1101="MAT1",VLOOKUP($B1101,'MAT1'!$B$16:$G$54,4,FALSE),IF($A1101="MAT2",VLOOKUP($B1101,'MAT2'!$B$16:$G$53,4,FALSE),IF($A1101="MDEO",VLOOKUP($B1101,MDEO!$B$16:$P$27,4,FALSE))))))</f>
        <v>498450</v>
      </c>
      <c r="G1101" s="352">
        <v>5.3999999999999999E-2</v>
      </c>
      <c r="H1101" s="404">
        <f>+F1101*G1101</f>
        <v>26916.3</v>
      </c>
      <c r="I1101" s="403"/>
      <c r="K1101" s="441">
        <f>+G1101*G1094</f>
        <v>22.788</v>
      </c>
      <c r="M1101" s="430">
        <f>+G1101*G1094*7</f>
        <v>159.51599999999999</v>
      </c>
      <c r="N1101" s="430">
        <f>+G1101*G1094*0.5</f>
        <v>11.394</v>
      </c>
      <c r="O1101" s="430">
        <f>+G1101*G1094*0.8</f>
        <v>18.230399999999999</v>
      </c>
    </row>
    <row r="1102" spans="1:15" ht="12.75" customHeight="1" x14ac:dyDescent="0.3">
      <c r="A1102" s="397" t="s">
        <v>522</v>
      </c>
      <c r="B1102" s="398" t="s">
        <v>154</v>
      </c>
      <c r="C1102" s="721" t="str">
        <f>IF($A1102="EQUI",VLOOKUP($B1102,EQUI!B$16:G$35,2,FALSE),IF($A1102="TRAN",VLOOKUP($B1102,TRAN!$B$16:$G$26,2,FALSE),IF($A1102="MAT1",VLOOKUP($B1102,'MAT1'!$B$16:$G$54,2,FALSE),IF($A1102="MAT2",VLOOKUP($B1102,'MAT2'!$B$16:$G$65,2,FALSE),IF($A1102="MDEO",VLOOKUP($B1102,MDEO!$B$16:$P$27,2,FALSE))))))</f>
        <v>señal vertical</v>
      </c>
      <c r="D1102" s="721"/>
      <c r="E1102" s="355" t="str">
        <f>IF($A1102="EQUI",VLOOKUP($B1102,EQUI!B$16:G$35,3,FALSE),IF($A1102="TRAN",VLOOKUP($B1102,TRAN!$B$16:$G$26,3,FALSE),IF($A1102="MAT1",VLOOKUP($B1102,'MAT1'!$B$16:$G$54,3,FALSE),IF($A1102="MAT2",VLOOKUP($B1102,'MAT2'!$B$16:$G$55,3,FALSE),IF($A1102="MDEO",VLOOKUP($B1102,MDEO!$B$16:$P$27,3,FALSE))))))</f>
        <v>un</v>
      </c>
      <c r="F1102" s="355">
        <f>IF($A1102="EQUI",VLOOKUP($B1102,EQUI!B$16:G$35,4,FALSE),IF($A1102="TRAN",VLOOKUP($B1102,TRAN!$B$16:$G$26,4,FALSE),IF($A1102="MAT1",VLOOKUP($B1102,'MAT1'!$B$16:$G$54,4,FALSE),IF($A1102="MAT2",VLOOKUP($B1102,'MAT2'!$B$16:$G$53,4,FALSE),IF($A1102="MDEO",VLOOKUP($B1102,MDEO!$B$16:$P$27,4,FALSE))))))</f>
        <v>410000</v>
      </c>
      <c r="G1102" s="352">
        <v>1</v>
      </c>
      <c r="H1102" s="404">
        <f>+F1102*G1102</f>
        <v>410000</v>
      </c>
      <c r="I1102" s="403"/>
      <c r="M1102" s="430" t="e">
        <f>SUM(M15:M1101)</f>
        <v>#REF!</v>
      </c>
      <c r="N1102" s="430">
        <f>SUM(N15:N1101)</f>
        <v>1810.7849874999999</v>
      </c>
      <c r="O1102" s="430">
        <f>SUM(O15:O1101)</f>
        <v>3166.0847374999998</v>
      </c>
    </row>
    <row r="1103" spans="1:15" ht="12.75" customHeight="1" x14ac:dyDescent="0.3">
      <c r="A1103" s="401"/>
      <c r="C1103" s="352"/>
      <c r="D1103" s="417"/>
      <c r="E1103" s="352"/>
      <c r="F1103" s="413" t="s">
        <v>32</v>
      </c>
      <c r="G1103" s="402" t="str">
        <f>+B1093</f>
        <v>4.7</v>
      </c>
      <c r="H1103" s="402" t="s">
        <v>370</v>
      </c>
      <c r="I1103" s="396">
        <f>SUM(H1101:H1102)</f>
        <v>436916.3</v>
      </c>
    </row>
    <row r="1104" spans="1:15" ht="12.75" customHeight="1" x14ac:dyDescent="0.3">
      <c r="A1104" s="395" t="s">
        <v>15</v>
      </c>
      <c r="B1104" s="386"/>
      <c r="C1104" s="352"/>
      <c r="D1104" s="417"/>
      <c r="E1104" s="352"/>
      <c r="F1104" s="352"/>
      <c r="G1104" s="352"/>
      <c r="H1104" s="352"/>
      <c r="I1104" s="403"/>
    </row>
    <row r="1105" spans="1:9" ht="12.75" customHeight="1" x14ac:dyDescent="0.3">
      <c r="A1105" s="720" t="s">
        <v>19</v>
      </c>
      <c r="B1105" s="712"/>
      <c r="C1105" s="712"/>
      <c r="D1105" s="355" t="s">
        <v>43</v>
      </c>
      <c r="E1105" s="428" t="s">
        <v>44</v>
      </c>
      <c r="F1105" s="355" t="s">
        <v>45</v>
      </c>
      <c r="G1105" s="350" t="s">
        <v>17</v>
      </c>
      <c r="H1105" s="350" t="s">
        <v>30</v>
      </c>
      <c r="I1105" s="403"/>
    </row>
    <row r="1106" spans="1:9" ht="12.75" customHeight="1" x14ac:dyDescent="0.3">
      <c r="A1106" s="405" t="s">
        <v>3</v>
      </c>
      <c r="B1106" s="398" t="s">
        <v>164</v>
      </c>
      <c r="C1106" s="419" t="str">
        <f>IF($A1106="EQUI",VLOOKUP($B1106,EQUI!B$16:G$35,2,FALSE),IF($A1106="TRAN",VLOOKUP($B1106,TRAN!$B$16:$G$26,2,FALSE),IF($A1106="MAT1",VLOOKUP($B1106,'MAT1'!$B$16:$G$43,2,FALSE),IF($A1106="MAT2",VLOOKUP($B1106,'MAT2'!$B$16:$G$65,2,FALSE),IF($A1106="MDEO",VLOOKUP($B1106,MDEO!$B$16:$P$27,2,FALSE))))))</f>
        <v>trans. Int. concreto m3</v>
      </c>
      <c r="D1106" s="355">
        <f>+G1101</f>
        <v>5.3999999999999999E-2</v>
      </c>
      <c r="E1106" s="355">
        <v>1</v>
      </c>
      <c r="F1106" s="355">
        <f>+E1106*D1106</f>
        <v>5.3999999999999999E-2</v>
      </c>
      <c r="G1106" s="350">
        <f>IF($A1106="EQUI",VLOOKUP($B1106,[6]EQUI!B$16:G$46,4,FALSE),IF($A1106="TRAN",VLOOKUP($B1106,[6]TRAN!$B$16:$G$26,4,FALSE),IF($A1106="MAT",VLOOKUP($B1106,[6]MAT!$B$16:$G$83,4,FALSE),IF($A1106="MDEO",VLOOKUP($B1106,[6]MDEO!$B$16:$I$21,4,FALSE)))))</f>
        <v>4000</v>
      </c>
      <c r="H1106" s="404">
        <f>+F1106*G1106</f>
        <v>216</v>
      </c>
      <c r="I1106" s="403"/>
    </row>
    <row r="1107" spans="1:9" ht="12.75" customHeight="1" x14ac:dyDescent="0.3">
      <c r="A1107" s="405"/>
      <c r="B1107" s="398"/>
      <c r="C1107" s="417"/>
      <c r="D1107" s="355"/>
      <c r="E1107" s="355"/>
      <c r="F1107" s="355"/>
      <c r="G1107" s="350"/>
      <c r="H1107" s="404"/>
      <c r="I1107" s="403"/>
    </row>
    <row r="1108" spans="1:9" ht="12.75" customHeight="1" x14ac:dyDescent="0.3">
      <c r="A1108" s="401"/>
      <c r="C1108" s="352"/>
      <c r="D1108" s="417"/>
      <c r="E1108" s="352"/>
      <c r="F1108" s="413" t="s">
        <v>32</v>
      </c>
      <c r="G1108" s="402" t="str">
        <f>+B1093</f>
        <v>4.7</v>
      </c>
      <c r="H1108" s="402" t="s">
        <v>373</v>
      </c>
      <c r="I1108" s="396">
        <f>SUM(H1106:H1107)</f>
        <v>216</v>
      </c>
    </row>
    <row r="1109" spans="1:9" ht="12.75" customHeight="1" x14ac:dyDescent="0.3">
      <c r="A1109" s="395" t="s">
        <v>1107</v>
      </c>
      <c r="B1109" s="386"/>
      <c r="C1109" s="352"/>
      <c r="D1109" s="417"/>
      <c r="E1109" s="352"/>
      <c r="F1109" s="352"/>
      <c r="G1109" s="352"/>
      <c r="H1109" s="352"/>
      <c r="I1109" s="403"/>
    </row>
    <row r="1110" spans="1:9" ht="12.75" customHeight="1" x14ac:dyDescent="0.3">
      <c r="A1110" s="722" t="s">
        <v>18</v>
      </c>
      <c r="B1110" s="723"/>
      <c r="C1110" s="723"/>
      <c r="D1110" s="355" t="s">
        <v>48</v>
      </c>
      <c r="E1110" s="355" t="s">
        <v>109</v>
      </c>
      <c r="F1110" s="380" t="s">
        <v>250</v>
      </c>
      <c r="G1110" s="380" t="s">
        <v>251</v>
      </c>
      <c r="H1110" s="355" t="s">
        <v>252</v>
      </c>
      <c r="I1110" s="407"/>
    </row>
    <row r="1111" spans="1:9" ht="12.75" customHeight="1" x14ac:dyDescent="0.3">
      <c r="A1111" s="405" t="s">
        <v>4</v>
      </c>
      <c r="B1111" s="408" t="s">
        <v>176</v>
      </c>
      <c r="C1111" s="409" t="str">
        <f>IF($A1111="EQUI",VLOOKUP($B1111,EQUI!B$16:G$37,2,FALSE),IF($A1111="TRAN",VLOOKUP($B1111,TRAN!$B$16:$G$26,2,FALSE),IF($A1111="MAT",VLOOKUP($B1111,'MAT1'!$B$16:$G$43,2,FALSE),IF($A1111="MDEO",VLOOKUP($B1111,MDEO!$B$16:$P$27,2,FALSE)))))</f>
        <v xml:space="preserve">ayudante entendido </v>
      </c>
      <c r="D1111" s="449">
        <f>IF($A1111="EQUI",VLOOKUP($B1111,EQUI!B$16:G$35,3,FALSE),IF($A1111="TRAN",VLOOKUP($B1111,TRAN!$B$16:$G$26,3,FALSE),IF($A1111="MAT",VLOOKUP($B1111,'MAT1'!$B$16:$G$43,3,FALSE),IF($A1111="MDEO",VLOOKUP($B1111,MDEO!$B$16:$P$33,10,FALSE)))))</f>
        <v>11136.644836388892</v>
      </c>
      <c r="E1111" s="410"/>
      <c r="F1111" s="438">
        <f>+D1111+D1111*E1111</f>
        <v>11136.644836388892</v>
      </c>
      <c r="G1111" s="412">
        <v>3</v>
      </c>
      <c r="H1111" s="411">
        <f>G1111*F1111</f>
        <v>33409.934509166676</v>
      </c>
      <c r="I1111" s="403"/>
    </row>
    <row r="1112" spans="1:9" ht="12.75" customHeight="1" x14ac:dyDescent="0.3">
      <c r="A1112" s="405" t="s">
        <v>4</v>
      </c>
      <c r="B1112" s="408" t="s">
        <v>177</v>
      </c>
      <c r="C1112" s="409" t="str">
        <f>IF($A1112="EQUI",VLOOKUP($B1112,EQUI!B$16:G$37,2,FALSE),IF($A1112="TRAN",VLOOKUP($B1112,TRAN!$B$16:$G$26,2,FALSE),IF($A1112="MAT",VLOOKUP($B1112,'MAT1'!$B$16:$G$43,2,FALSE),IF($A1112="MDEO",VLOOKUP($B1112,MDEO!$B$16:$P$34,2,FALSE)))))</f>
        <v xml:space="preserve">ayudante </v>
      </c>
      <c r="D1112" s="449">
        <f>IF($A1112="EQUI",VLOOKUP($B1112,EQUI!B$16:G$35,3,FALSE),IF($A1112="TRAN",VLOOKUP($B1112,TRAN!$B$16:$G$26,3,FALSE),IF($A1112="MAT",VLOOKUP($B1112,'MAT1'!$B$16:$G$43,3,FALSE),IF($A1112="MDEO",VLOOKUP($B1112,MDEO!$B$16:$P$33,10,FALSE)))))</f>
        <v>10336.644836388892</v>
      </c>
      <c r="E1112" s="410"/>
      <c r="F1112" s="438">
        <f>+D1112+D1112*E1112</f>
        <v>10336.644836388892</v>
      </c>
      <c r="G1112" s="412">
        <v>3</v>
      </c>
      <c r="H1112" s="411">
        <f>G1112*F1112</f>
        <v>31009.934509166676</v>
      </c>
      <c r="I1112" s="403"/>
    </row>
    <row r="1113" spans="1:9" ht="12.75" customHeight="1" x14ac:dyDescent="0.3">
      <c r="A1113" s="405" t="s">
        <v>4</v>
      </c>
      <c r="B1113" s="408" t="s">
        <v>178</v>
      </c>
      <c r="C1113" s="409" t="str">
        <f>IF($A1113="EQUI",VLOOKUP($B1113,EQUI!B$16:G$37,2,FALSE),IF($A1113="TRAN",VLOOKUP($B1113,TRAN!$B$16:$G$26,2,FALSE),IF($A1113="MAT",VLOOKUP($B1113,'MAT1'!$B$16:$G$43,2,FALSE),IF($A1113="MDEO",VLOOKUP($B1113,MDEO!$B$16:$P$34,2,FALSE)))))</f>
        <v>contra maestro</v>
      </c>
      <c r="D1113" s="449">
        <f>IF($A1113="EQUI",VLOOKUP($B1113,EQUI!B$16:G$35,3,FALSE),IF($A1113="TRAN",VLOOKUP($B1113,TRAN!$B$16:$G$26,3,FALSE),IF($A1113="MAT",VLOOKUP($B1113,'MAT1'!$B$16:$G$43,3,FALSE),IF($A1113="MDEO",VLOOKUP($B1113,MDEO!$B$16:$P$33,10,FALSE)))))</f>
        <v>12974.601086388891</v>
      </c>
      <c r="E1113" s="410"/>
      <c r="F1113" s="438">
        <f>+D1113+D1113*E1113</f>
        <v>12974.601086388891</v>
      </c>
      <c r="G1113" s="412">
        <f>G1111*0.1</f>
        <v>0.30000000000000004</v>
      </c>
      <c r="H1113" s="411">
        <f>G1113*F1113</f>
        <v>3892.380325916668</v>
      </c>
      <c r="I1113" s="403"/>
    </row>
    <row r="1114" spans="1:9" ht="12.75" customHeight="1" x14ac:dyDescent="0.3">
      <c r="A1114" s="405"/>
      <c r="B1114" s="408"/>
      <c r="C1114" s="409"/>
      <c r="D1114" s="449"/>
      <c r="E1114" s="410"/>
      <c r="F1114" s="438"/>
      <c r="G1114" s="412"/>
      <c r="H1114" s="411"/>
      <c r="I1114" s="403"/>
    </row>
    <row r="1115" spans="1:9" ht="12.75" customHeight="1" x14ac:dyDescent="0.3">
      <c r="A1115" s="405"/>
      <c r="B1115" s="408"/>
      <c r="C1115" s="409"/>
      <c r="D1115" s="449"/>
      <c r="E1115" s="410"/>
      <c r="F1115" s="438"/>
      <c r="G1115" s="412"/>
      <c r="H1115" s="411"/>
      <c r="I1115" s="403"/>
    </row>
    <row r="1116" spans="1:9" ht="12.75" customHeight="1" x14ac:dyDescent="0.3">
      <c r="A1116" s="720"/>
      <c r="B1116" s="712"/>
      <c r="C1116" s="352"/>
      <c r="D1116" s="417"/>
      <c r="E1116" s="352"/>
      <c r="F1116" s="352"/>
      <c r="G1116" s="352"/>
      <c r="H1116" s="352"/>
      <c r="I1116" s="403"/>
    </row>
    <row r="1117" spans="1:9" ht="12.75" customHeight="1" x14ac:dyDescent="0.3">
      <c r="A1117" s="401"/>
      <c r="C1117" s="352"/>
      <c r="D1117" s="417"/>
      <c r="E1117" s="352"/>
      <c r="F1117" s="413" t="s">
        <v>32</v>
      </c>
      <c r="G1117" s="402" t="str">
        <f>+B1093</f>
        <v>4.7</v>
      </c>
      <c r="H1117" s="413" t="s">
        <v>376</v>
      </c>
      <c r="I1117" s="396">
        <f>SUM(H1111:H1116)</f>
        <v>68312.249344250027</v>
      </c>
    </row>
    <row r="1118" spans="1:9" ht="12.75" customHeight="1" x14ac:dyDescent="0.3">
      <c r="A1118" s="401" t="s">
        <v>54</v>
      </c>
      <c r="C1118" s="352"/>
      <c r="D1118" s="417"/>
      <c r="E1118" s="352"/>
      <c r="F1118" s="352"/>
      <c r="G1118" s="352"/>
      <c r="H1118" s="350"/>
      <c r="I1118" s="396">
        <f>I1117*0.05</f>
        <v>3415.6124672125015</v>
      </c>
    </row>
    <row r="1119" spans="1:9" ht="12.75" customHeight="1" x14ac:dyDescent="0.3">
      <c r="A1119" s="401"/>
      <c r="C1119" s="352"/>
      <c r="D1119" s="417"/>
      <c r="E1119" s="352"/>
      <c r="F1119" s="413" t="s">
        <v>55</v>
      </c>
      <c r="G1119" s="350"/>
      <c r="H1119" s="350"/>
      <c r="I1119" s="396">
        <f>ROUND(I1117+I1118+I1103+I1098+I1108,0)</f>
        <v>508860</v>
      </c>
    </row>
    <row r="1120" spans="1:9" ht="12.75" customHeight="1" x14ac:dyDescent="0.3">
      <c r="A1120" s="414"/>
      <c r="B1120" s="415"/>
      <c r="C1120" s="415"/>
      <c r="D1120" s="450"/>
      <c r="E1120" s="415"/>
      <c r="F1120" s="415"/>
      <c r="G1120" s="415"/>
      <c r="H1120" s="415"/>
      <c r="I1120" s="396"/>
    </row>
    <row r="1121" spans="1:16" ht="59.4" customHeight="1" x14ac:dyDescent="0.3">
      <c r="A1121" s="724" t="s">
        <v>114</v>
      </c>
      <c r="B1121" s="710"/>
      <c r="C1121" s="710"/>
      <c r="D1121" s="450"/>
      <c r="E1121" s="415"/>
      <c r="F1121" s="710" t="s">
        <v>396</v>
      </c>
      <c r="G1121" s="710"/>
      <c r="H1121" s="710"/>
      <c r="I1121" s="711"/>
    </row>
    <row r="1122" spans="1:16" ht="12.75" customHeight="1" x14ac:dyDescent="0.3">
      <c r="A1122" s="397" t="s">
        <v>111</v>
      </c>
      <c r="B1122" s="712"/>
      <c r="C1122" s="712"/>
      <c r="D1122" s="417"/>
      <c r="E1122" s="352"/>
      <c r="F1122" s="350" t="s">
        <v>111</v>
      </c>
      <c r="G1122" s="712"/>
      <c r="H1122" s="712"/>
      <c r="I1122" s="713"/>
    </row>
    <row r="1123" spans="1:16" ht="12.75" customHeight="1" x14ac:dyDescent="0.3">
      <c r="A1123" s="439" t="s">
        <v>115</v>
      </c>
      <c r="B1123" s="710" t="s">
        <v>1551</v>
      </c>
      <c r="C1123" s="710"/>
      <c r="F1123" s="432" t="s">
        <v>112</v>
      </c>
      <c r="G1123" s="712"/>
      <c r="H1123" s="712"/>
      <c r="I1123" s="713"/>
    </row>
    <row r="1124" spans="1:16" ht="12.75" customHeight="1" x14ac:dyDescent="0.3">
      <c r="A1124" s="439" t="s">
        <v>113</v>
      </c>
      <c r="B1124" s="710" t="s">
        <v>1554</v>
      </c>
      <c r="C1124" s="710"/>
      <c r="F1124" s="432" t="s">
        <v>113</v>
      </c>
      <c r="G1124" s="712"/>
      <c r="H1124" s="712"/>
      <c r="I1124" s="713"/>
    </row>
    <row r="1125" spans="1:16" ht="12.75" customHeight="1" x14ac:dyDescent="0.3">
      <c r="A1125" s="439"/>
      <c r="B1125" s="350"/>
      <c r="C1125" s="350"/>
      <c r="F1125" s="432"/>
      <c r="G1125" s="350"/>
      <c r="H1125" s="350"/>
      <c r="I1125" s="416"/>
    </row>
    <row r="1126" spans="1:16" ht="12.75" customHeight="1" x14ac:dyDescent="0.3">
      <c r="A1126" s="714" t="s">
        <v>110</v>
      </c>
      <c r="B1126" s="715"/>
      <c r="C1126" s="715"/>
      <c r="D1126" s="715"/>
      <c r="E1126" s="715"/>
      <c r="F1126" s="715"/>
      <c r="G1126" s="715"/>
      <c r="H1126" s="715"/>
      <c r="I1126" s="716"/>
    </row>
    <row r="1127" spans="1:16" ht="51.6" customHeight="1" x14ac:dyDescent="0.3">
      <c r="A1127" s="717"/>
      <c r="B1127" s="718"/>
      <c r="C1127" s="718"/>
      <c r="D1127" s="718"/>
      <c r="E1127" s="718"/>
      <c r="F1127" s="718"/>
      <c r="G1127" s="718"/>
      <c r="H1127" s="718"/>
      <c r="I1127" s="719"/>
    </row>
    <row r="1128" spans="1:16" x14ac:dyDescent="0.3">
      <c r="A1128" s="725" t="s">
        <v>68</v>
      </c>
      <c r="B1128" s="726"/>
      <c r="C1128" s="726"/>
      <c r="D1128" s="726"/>
      <c r="E1128" s="726"/>
      <c r="F1128" s="726"/>
      <c r="G1128" s="726"/>
      <c r="H1128" s="726"/>
      <c r="I1128" s="727"/>
    </row>
    <row r="1129" spans="1:16" x14ac:dyDescent="0.3">
      <c r="A1129" s="390" t="s">
        <v>69</v>
      </c>
      <c r="B1129" s="391" t="s">
        <v>1441</v>
      </c>
      <c r="C1129" s="710" t="s">
        <v>70</v>
      </c>
      <c r="D1129" s="723" t="s">
        <v>1442</v>
      </c>
      <c r="E1129" s="723"/>
      <c r="F1129" s="723"/>
      <c r="G1129" s="723"/>
      <c r="H1129" s="723"/>
      <c r="I1129" s="728"/>
    </row>
    <row r="1130" spans="1:16" x14ac:dyDescent="0.3">
      <c r="A1130" s="390" t="s">
        <v>71</v>
      </c>
      <c r="B1130" s="391" t="e">
        <f>VLOOKUP(B1129,PRESUPUESTO!$A$18:$I$69,2,FALSE)</f>
        <v>#N/A</v>
      </c>
      <c r="C1130" s="710"/>
      <c r="D1130" s="355" t="s">
        <v>12</v>
      </c>
      <c r="E1130" s="392" t="s">
        <v>181</v>
      </c>
      <c r="F1130" s="392" t="s">
        <v>13</v>
      </c>
      <c r="G1130" s="392">
        <v>1</v>
      </c>
      <c r="H1130" s="393" t="s">
        <v>27</v>
      </c>
      <c r="I1130" s="394">
        <f>+I1157</f>
        <v>498450</v>
      </c>
    </row>
    <row r="1131" spans="1:16" x14ac:dyDescent="0.3">
      <c r="A1131" s="395" t="s">
        <v>14</v>
      </c>
      <c r="B1131" s="386"/>
      <c r="C1131" s="352"/>
      <c r="D1131" s="417"/>
      <c r="E1131" s="352"/>
      <c r="F1131" s="352"/>
      <c r="G1131" s="352"/>
      <c r="H1131" s="352"/>
      <c r="I1131" s="396"/>
    </row>
    <row r="1132" spans="1:16" x14ac:dyDescent="0.3">
      <c r="A1132" s="720" t="s">
        <v>19</v>
      </c>
      <c r="B1132" s="712"/>
      <c r="C1132" s="712"/>
      <c r="D1132" s="712"/>
      <c r="E1132" s="712"/>
      <c r="F1132" s="350" t="s">
        <v>28</v>
      </c>
      <c r="G1132" s="350" t="s">
        <v>29</v>
      </c>
      <c r="H1132" s="350" t="s">
        <v>30</v>
      </c>
      <c r="I1132" s="403"/>
    </row>
    <row r="1133" spans="1:16" x14ac:dyDescent="0.3">
      <c r="A1133" s="397" t="s">
        <v>1</v>
      </c>
      <c r="B1133" s="398" t="s">
        <v>1443</v>
      </c>
      <c r="C1133" s="721" t="str">
        <f>IF($A1133="EQUI",VLOOKUP($B1133,EQUI!B$16:G$54,2,FALSE),IF($A1133="TRAN",VLOOKUP($B1133,TRAN!$B$16:$G$26,3,FALSE),IF($A1133="MAT",VLOOKUP($B1133,'MAT1'!$B$16:$G$43,3,FALSE),IF($A1133="MDEO",VLOOKUP($B1133,MDEO!$B$16:$P$33,2,FALSE)))))</f>
        <v>Concretadora 2 sacos ACPM</v>
      </c>
      <c r="D1133" s="721"/>
      <c r="E1133" s="721"/>
      <c r="F1133" s="355">
        <f>IF($A1133="EQUI",VLOOKUP($B1133,EQUI!B$16:G$54,4,FALSE),IF($A1133="TRAN",VLOOKUP($B1133,TRAN!$B$16:$G$26,3,FALSE),IF($A1133="MAT",VLOOKUP($B1133,'MAT1'!$B$16:$G$43,3,FALSE),IF($A1133="MDEO",VLOOKUP($B1133,MDEO!$B$16:$P$33,2,FALSE)))))</f>
        <v>6875</v>
      </c>
      <c r="G1133" s="352">
        <v>1.33</v>
      </c>
      <c r="H1133" s="404">
        <f>+G1133*F1133</f>
        <v>9143.75</v>
      </c>
      <c r="I1133" s="403"/>
    </row>
    <row r="1134" spans="1:16" x14ac:dyDescent="0.3">
      <c r="A1134" s="401"/>
      <c r="C1134" s="352"/>
      <c r="D1134" s="417"/>
      <c r="E1134" s="352"/>
      <c r="F1134" s="413" t="s">
        <v>32</v>
      </c>
      <c r="G1134" s="402" t="str">
        <f>+B1129</f>
        <v>aux-1</v>
      </c>
      <c r="H1134" s="402" t="s">
        <v>367</v>
      </c>
      <c r="I1134" s="396">
        <f>SUM(H1133:H1133)</f>
        <v>9143.75</v>
      </c>
      <c r="P1134" s="430">
        <v>420000</v>
      </c>
    </row>
    <row r="1135" spans="1:16" x14ac:dyDescent="0.3">
      <c r="A1135" s="395" t="s">
        <v>34</v>
      </c>
      <c r="B1135" s="386"/>
      <c r="C1135" s="352"/>
      <c r="D1135" s="417"/>
      <c r="E1135" s="352"/>
      <c r="F1135" s="352"/>
      <c r="G1135" s="352"/>
      <c r="H1135" s="352"/>
      <c r="I1135" s="403"/>
    </row>
    <row r="1136" spans="1:16" x14ac:dyDescent="0.3">
      <c r="A1136" s="720" t="s">
        <v>35</v>
      </c>
      <c r="B1136" s="712"/>
      <c r="C1136" s="712"/>
      <c r="D1136" s="712"/>
      <c r="E1136" s="350" t="s">
        <v>12</v>
      </c>
      <c r="F1136" s="350" t="s">
        <v>36</v>
      </c>
      <c r="G1136" s="350" t="s">
        <v>37</v>
      </c>
      <c r="H1136" s="350" t="s">
        <v>38</v>
      </c>
      <c r="I1136" s="403"/>
    </row>
    <row r="1137" spans="1:9" x14ac:dyDescent="0.3">
      <c r="A1137" s="397" t="s">
        <v>523</v>
      </c>
      <c r="B1137" s="398" t="s">
        <v>137</v>
      </c>
      <c r="C1137" s="721" t="str">
        <f>IF($A1137="EQUI",VLOOKUP($B1137,EQUI!B$16:G$35,2,FALSE),IF($A1137="TRAN",VLOOKUP($B1137,TRAN!$B$16:$G$26,2,FALSE),IF($A1137="MAT1",VLOOKUP($B1137,'MAT1'!$B$16:$G$54,2,FALSE),IF($A1137="MAT2",VLOOKUP($B1137,'MAT2'!$B$16:$G$65,2,FALSE),IF($A1137="MDEO",VLOOKUP($B1137,MDEO!$B$16:$P$27,2,FALSE))))))</f>
        <v>Cemento gris</v>
      </c>
      <c r="D1137" s="721"/>
      <c r="E1137" s="355" t="str">
        <f>IF($A1137="EQUI",VLOOKUP($B1137,EQUI!B$16:G$35,3,FALSE),IF($A1137="TRAN",VLOOKUP($B1137,TRAN!$B$16:$G$26,3,FALSE),IF($A1137="MAT1",VLOOKUP($B1137,'MAT1'!$B$16:$G$54,3,FALSE),IF($A1137="MAT2",VLOOKUP($B1137,'MAT2'!$B$16:$G$55,3,FALSE),IF($A1137="MDEO",VLOOKUP($B1137,MDEO!$B$16:$P$27,3,FALSE))))))</f>
        <v>SACO</v>
      </c>
      <c r="F1137" s="392">
        <f>IF($A1137="EQUI",VLOOKUP($B1137,EQUI!B$16:G$35,4,FALSE),IF($A1137="TRAN",VLOOKUP($B1137,TRAN!$B$16:$G$26,4,FALSE),IF($A1137="MAT1",VLOOKUP($B1137,'MAT1'!$B$16:$G$54,4,FALSE),IF($A1137="MAT2",VLOOKUP($B1137,'MAT2'!$B$16:$G$53,4,FALSE),IF($A1137="MDEO",VLOOKUP($B1137,MDEO!$B$16:$P$27,4,FALSE))))))</f>
        <v>32700</v>
      </c>
      <c r="G1137" s="352">
        <f>7*1.1</f>
        <v>7.7000000000000011</v>
      </c>
      <c r="H1137" s="404">
        <f>+F1137*G1137</f>
        <v>251790.00000000003</v>
      </c>
      <c r="I1137" s="403"/>
    </row>
    <row r="1138" spans="1:9" x14ac:dyDescent="0.3">
      <c r="A1138" s="397" t="s">
        <v>523</v>
      </c>
      <c r="B1138" s="398" t="s">
        <v>136</v>
      </c>
      <c r="C1138" s="721" t="str">
        <f>IF($A1138="EQUI",VLOOKUP($B1138,EQUI!B$16:G$35,2,FALSE),IF($A1138="TRAN",VLOOKUP($B1138,TRAN!$B$16:$G$26,2,FALSE),IF($A1138="MAT1",VLOOKUP($B1138,'MAT1'!$B$16:$G$54,2,FALSE),IF($A1138="MAT2",VLOOKUP($B1138,'MAT2'!$B$16:$G$65,2,FALSE),IF($A1138="MDEO",VLOOKUP($B1138,MDEO!$B$16:$P$27,2,FALSE))))))</f>
        <v>Arena para concreto</v>
      </c>
      <c r="D1138" s="721"/>
      <c r="E1138" s="355" t="str">
        <f>IF($A1138="EQUI",VLOOKUP($B1138,EQUI!B$16:G$35,3,FALSE),IF($A1138="TRAN",VLOOKUP($B1138,TRAN!$B$16:$G$26,3,FALSE),IF($A1138="MAT1",VLOOKUP($B1138,'MAT1'!$B$16:$G$54,3,FALSE),IF($A1138="MAT2",VLOOKUP($B1138,'MAT2'!$B$16:$G$55,3,FALSE),IF($A1138="MDEO",VLOOKUP($B1138,MDEO!$B$16:$P$27,3,FALSE))))))</f>
        <v>M3</v>
      </c>
      <c r="F1138" s="355">
        <f>IF($A1138="EQUI",VLOOKUP($B1138,EQUI!B$16:G$35,4,FALSE),IF($A1138="TRAN",VLOOKUP($B1138,TRAN!$B$16:$G$26,4,FALSE),IF($A1138="MAT1",VLOOKUP($B1138,'MAT1'!$B$16:$G$54,4,FALSE),IF($A1138="MAT2",VLOOKUP($B1138,'MAT2'!$B$16:$G$53,4,FALSE),IF($A1138="MDEO",VLOOKUP($B1138,MDEO!$B$16:$P$27,4,FALSE))))))</f>
        <v>40460</v>
      </c>
      <c r="G1138" s="352">
        <f>0.55*1.1</f>
        <v>0.60500000000000009</v>
      </c>
      <c r="H1138" s="404">
        <f t="shared" ref="H1138:H1139" si="8">+F1138*G1138</f>
        <v>24478.300000000003</v>
      </c>
      <c r="I1138" s="403"/>
    </row>
    <row r="1139" spans="1:9" x14ac:dyDescent="0.3">
      <c r="A1139" s="397" t="s">
        <v>523</v>
      </c>
      <c r="B1139" s="398" t="s">
        <v>144</v>
      </c>
      <c r="C1139" s="721" t="str">
        <f>IF($A1139="EQUI",VLOOKUP($B1139,EQUI!B$16:G$35,2,FALSE),IF($A1139="TRAN",VLOOKUP($B1139,TRAN!$B$16:$G$26,2,FALSE),IF($A1139="MAT1",VLOOKUP($B1139,'MAT1'!$B$16:$G$54,2,FALSE),IF($A1139="MAT2",VLOOKUP($B1139,'MAT2'!$B$16:$G$65,2,FALSE),IF($A1139="MDEO",VLOOKUP($B1139,MDEO!$B$16:$P$27,2,FALSE))))))</f>
        <v>Triturado 3/4"</v>
      </c>
      <c r="D1139" s="721"/>
      <c r="E1139" s="355" t="str">
        <f>IF($A1139="EQUI",VLOOKUP($B1139,EQUI!B$16:G$35,3,FALSE),IF($A1139="TRAN",VLOOKUP($B1139,TRAN!$B$16:$G$26,3,FALSE),IF($A1139="MAT1",VLOOKUP($B1139,'MAT1'!$B$16:$G$54,3,FALSE),IF($A1139="MAT2",VLOOKUP($B1139,'MAT2'!$B$16:$G$55,3,FALSE),IF($A1139="MDEO",VLOOKUP($B1139,MDEO!$B$16:$P$27,3,FALSE))))))</f>
        <v>M3</v>
      </c>
      <c r="F1139" s="355">
        <f>IF($A1139="EQUI",VLOOKUP($B1139,EQUI!B$16:G$35,4,FALSE),IF($A1139="TRAN",VLOOKUP($B1139,TRAN!$B$16:$G$26,4,FALSE),IF($A1139="MAT1",VLOOKUP($B1139,'MAT1'!$B$16:$G$54,4,FALSE),IF($A1139="MAT2",VLOOKUP($B1139,'MAT2'!$B$16:$G$53,4,FALSE),IF($A1139="MDEO",VLOOKUP($B1139,MDEO!$B$16:$P$27,4,FALSE))))))</f>
        <v>42800</v>
      </c>
      <c r="G1139" s="352">
        <f>1.1*0.84</f>
        <v>0.92400000000000004</v>
      </c>
      <c r="H1139" s="404">
        <f t="shared" si="8"/>
        <v>39547.200000000004</v>
      </c>
      <c r="I1139" s="403"/>
    </row>
    <row r="1140" spans="1:9" x14ac:dyDescent="0.3">
      <c r="A1140" s="397" t="s">
        <v>522</v>
      </c>
      <c r="B1140" s="398" t="s">
        <v>134</v>
      </c>
      <c r="C1140" s="721" t="str">
        <f>IF($A1140="EQUI",VLOOKUP($B1140,EQUI!B$16:G$35,2,FALSE),IF($A1140="TRAN",VLOOKUP($B1140,TRAN!$B$16:$G$26,2,FALSE),IF($A1140="MAT1",VLOOKUP($B1140,'MAT1'!$B$16:$G$54,2,FALSE),IF($A1140="MAT2",VLOOKUP($B1140,'MAT2'!$B$16:$G$65,2,FALSE),IF($A1140="MDEO",VLOOKUP($B1140,MDEO!$B$16:$P$27,2,FALSE))))))</f>
        <v>agua</v>
      </c>
      <c r="D1140" s="721"/>
      <c r="E1140" s="355" t="str">
        <f>IF($A1140="EQUI",VLOOKUP($B1140,EQUI!B$16:G$35,3,FALSE),IF($A1140="TRAN",VLOOKUP($B1140,TRAN!$B$16:$G$26,3,FALSE),IF($A1140="MAT1",VLOOKUP($B1140,'MAT1'!$B$16:$G$54,3,FALSE),IF($A1140="MAT2",VLOOKUP($B1140,'MAT2'!$B$16:$G$55,3,FALSE),IF($A1140="MDEO",VLOOKUP($B1140,MDEO!$B$16:$P$27,3,FALSE))))))</f>
        <v>M3</v>
      </c>
      <c r="F1140" s="355">
        <f>IF($A1140="EQUI",VLOOKUP($B1140,EQUI!B$16:G$35,4,FALSE),IF($A1140="TRAN",VLOOKUP($B1140,TRAN!$B$16:$G$26,4,FALSE),IF($A1140="MAT1",VLOOKUP($B1140,'MAT1'!$B$16:$G$54,4,FALSE),IF($A1140="MAT2",VLOOKUP($B1140,'MAT2'!$B$16:$G$53,4,FALSE),IF($A1140="MDEO",VLOOKUP($B1140,MDEO!$B$16:$P$27,4,FALSE))))))</f>
        <v>2750</v>
      </c>
      <c r="G1140" s="352">
        <f>0.17*1.1</f>
        <v>0.18700000000000003</v>
      </c>
      <c r="H1140" s="404">
        <f>+F1140*G1140</f>
        <v>514.25000000000011</v>
      </c>
      <c r="I1140" s="403"/>
    </row>
    <row r="1141" spans="1:9" x14ac:dyDescent="0.3">
      <c r="A1141" s="401"/>
      <c r="C1141" s="352"/>
      <c r="D1141" s="417"/>
      <c r="E1141" s="352"/>
      <c r="F1141" s="413" t="s">
        <v>32</v>
      </c>
      <c r="G1141" s="402" t="str">
        <f>+B1129</f>
        <v>aux-1</v>
      </c>
      <c r="H1141" s="402" t="s">
        <v>370</v>
      </c>
      <c r="I1141" s="396">
        <f>SUM(H1137:H1140)</f>
        <v>316329.75000000006</v>
      </c>
    </row>
    <row r="1142" spans="1:9" x14ac:dyDescent="0.3">
      <c r="A1142" s="395" t="s">
        <v>15</v>
      </c>
      <c r="B1142" s="386"/>
      <c r="C1142" s="352"/>
      <c r="D1142" s="417"/>
      <c r="E1142" s="352"/>
      <c r="F1142" s="352"/>
      <c r="G1142" s="352"/>
      <c r="H1142" s="352"/>
      <c r="I1142" s="403"/>
    </row>
    <row r="1143" spans="1:9" ht="11.4" x14ac:dyDescent="0.3">
      <c r="A1143" s="720" t="s">
        <v>19</v>
      </c>
      <c r="B1143" s="712"/>
      <c r="C1143" s="712"/>
      <c r="D1143" s="355" t="s">
        <v>43</v>
      </c>
      <c r="E1143" s="428" t="s">
        <v>44</v>
      </c>
      <c r="F1143" s="355" t="s">
        <v>45</v>
      </c>
      <c r="G1143" s="350" t="s">
        <v>17</v>
      </c>
      <c r="H1143" s="350" t="s">
        <v>30</v>
      </c>
      <c r="I1143" s="403"/>
    </row>
    <row r="1144" spans="1:9" x14ac:dyDescent="0.3">
      <c r="A1144" s="405" t="s">
        <v>3</v>
      </c>
      <c r="B1144" s="398" t="s">
        <v>171</v>
      </c>
      <c r="C1144" s="417" t="str">
        <f>IF($A1144="EQUI",VLOOKUP($B1144,EQUI!B$16:G$40,2,FALSE),IF($A1144="TRAN",VLOOKUP($B1144,TRAN!$B$16:$G$37,2,FALSE),IF(A1144="MAT",VLOOKUP($B1144,'MAT1'!$B$16:$G$43,2,FALSE),IF(A1144="MDEO",VLOOKUP($B1144,MDEO!$B$16:$P$27,2,FALSE)))))</f>
        <v>trans material &gt; 10 km</v>
      </c>
      <c r="D1144" s="355">
        <f>+G1138+G1139</f>
        <v>1.5290000000000001</v>
      </c>
      <c r="E1144" s="355">
        <v>55</v>
      </c>
      <c r="F1144" s="355">
        <f>+E1144*D1144</f>
        <v>84.095000000000013</v>
      </c>
      <c r="G1144" s="350">
        <f>IF($A1144="EQUI",VLOOKUP($B1144,[6]EQUI!B$16:G$46,4,FALSE),IF($A1144="TRAN",VLOOKUP($B1144,[6]TRAN!$B$16:$G$26,4,FALSE),IF($A1144="MAT",VLOOKUP($B1144,[6]MAT!$B$16:$G$83,4,FALSE),IF($A1144="MDEO",VLOOKUP($B1144,[6]MDEO!$B$16:$I$21,4,FALSE)))))</f>
        <v>980</v>
      </c>
      <c r="H1144" s="404">
        <f>+F1144*G1144</f>
        <v>82413.100000000006</v>
      </c>
      <c r="I1144" s="403"/>
    </row>
    <row r="1145" spans="1:9" x14ac:dyDescent="0.3">
      <c r="A1145" s="405" t="s">
        <v>3</v>
      </c>
      <c r="B1145" s="398" t="s">
        <v>166</v>
      </c>
      <c r="C1145" s="417" t="str">
        <f>IF($A1145="EQUI",VLOOKUP($B1145,EQUI!B$16:G$40,2,FALSE),IF($A1145="TRAN",VLOOKUP($B1145,TRAN!$B$16:$G$37,2,FALSE),IF(A1145="MAT",VLOOKUP($B1145,'MAT1'!$B$16:$G$43,2,FALSE),IF(A1145="MDEO",VLOOKUP($B1145,MDEO!$B$16:$P$27,2,FALSE)))))</f>
        <v>trans agua 0-5km</v>
      </c>
      <c r="D1145" s="355">
        <f>+G1140</f>
        <v>0.18700000000000003</v>
      </c>
      <c r="E1145" s="355">
        <v>5</v>
      </c>
      <c r="F1145" s="355">
        <f>+E1145*D1145</f>
        <v>0.93500000000000016</v>
      </c>
      <c r="G1145" s="350">
        <f>IF($A1145="EQUI",VLOOKUP($B1145,[6]EQUI!B$16:G$46,4,FALSE),IF($A1145="TRAN",VLOOKUP($B1145,[6]TRAN!$B$16:$G$26,4,FALSE),IF($A1145="MAT",VLOOKUP($B1145,[6]MAT!$B$16:$G$83,4,FALSE),IF($A1145="MDEO",VLOOKUP($B1145,[6]MDEO!$B$16:$I$21,4,FALSE)))))</f>
        <v>1095</v>
      </c>
      <c r="H1145" s="404">
        <f>+F1145*G1145</f>
        <v>1023.8250000000002</v>
      </c>
      <c r="I1145" s="403"/>
    </row>
    <row r="1146" spans="1:9" x14ac:dyDescent="0.3">
      <c r="A1146" s="401"/>
      <c r="C1146" s="352"/>
      <c r="D1146" s="417"/>
      <c r="E1146" s="352"/>
      <c r="F1146" s="413" t="s">
        <v>32</v>
      </c>
      <c r="G1146" s="402" t="str">
        <f>+B1129</f>
        <v>aux-1</v>
      </c>
      <c r="H1146" s="402" t="s">
        <v>373</v>
      </c>
      <c r="I1146" s="396">
        <f>SUM(H1144:H1145)</f>
        <v>83436.925000000003</v>
      </c>
    </row>
    <row r="1147" spans="1:9" x14ac:dyDescent="0.3">
      <c r="A1147" s="395" t="s">
        <v>1107</v>
      </c>
      <c r="B1147" s="386"/>
      <c r="C1147" s="352"/>
      <c r="D1147" s="417"/>
      <c r="E1147" s="352"/>
      <c r="F1147" s="352"/>
      <c r="G1147" s="352"/>
      <c r="H1147" s="352"/>
      <c r="I1147" s="403"/>
    </row>
    <row r="1148" spans="1:9" x14ac:dyDescent="0.3">
      <c r="A1148" s="722" t="s">
        <v>18</v>
      </c>
      <c r="B1148" s="723"/>
      <c r="C1148" s="723"/>
      <c r="D1148" s="355" t="s">
        <v>48</v>
      </c>
      <c r="E1148" s="355" t="s">
        <v>109</v>
      </c>
      <c r="F1148" s="380" t="s">
        <v>250</v>
      </c>
      <c r="G1148" s="380" t="s">
        <v>251</v>
      </c>
      <c r="H1148" s="355" t="s">
        <v>252</v>
      </c>
      <c r="I1148" s="407"/>
    </row>
    <row r="1149" spans="1:9" x14ac:dyDescent="0.3">
      <c r="A1149" s="405" t="s">
        <v>4</v>
      </c>
      <c r="B1149" s="408" t="s">
        <v>176</v>
      </c>
      <c r="C1149" s="409" t="str">
        <f>IF($A1149="EQUI",VLOOKUP($B1149,EQUI!B$16:G$37,2,FALSE),IF($A1149="TRAN",VLOOKUP($B1149,TRAN!$B$16:$G$26,2,FALSE),IF($A1149="MAT",VLOOKUP($B1149,'MAT1'!$B$16:$G$43,2,FALSE),IF($A1149="MDEO",VLOOKUP($B1149,MDEO!$B$16:$P$27,2,FALSE)))))</f>
        <v xml:space="preserve">ayudante entendido </v>
      </c>
      <c r="D1149" s="449">
        <f>IF($A1149="EQUI",VLOOKUP($B1149,EQUI!B$16:G$35,3,FALSE),IF($A1149="TRAN",VLOOKUP($B1149,TRAN!$B$16:$G$26,3,FALSE),IF($A1149="MAT",VLOOKUP($B1149,'MAT1'!$B$16:$G$43,3,FALSE),IF($A1149="MDEO",VLOOKUP($B1149,MDEO!$B$16:$P$33,10,FALSE)))))</f>
        <v>11136.644836388892</v>
      </c>
      <c r="E1149" s="410"/>
      <c r="F1149" s="438">
        <f>+D1149+D1149*E1149</f>
        <v>11136.644836388892</v>
      </c>
      <c r="G1149" s="412">
        <v>1.33</v>
      </c>
      <c r="H1149" s="411">
        <f>G1149*F1149</f>
        <v>14811.737632397228</v>
      </c>
      <c r="I1149" s="403"/>
    </row>
    <row r="1150" spans="1:9" x14ac:dyDescent="0.3">
      <c r="A1150" s="405" t="s">
        <v>4</v>
      </c>
      <c r="B1150" s="408" t="s">
        <v>177</v>
      </c>
      <c r="C1150" s="409" t="str">
        <f>IF($A1150="EQUI",VLOOKUP($B1150,EQUI!B$16:G$37,2,FALSE),IF($A1150="TRAN",VLOOKUP($B1150,TRAN!$B$16:$G$26,2,FALSE),IF($A1150="MAT",VLOOKUP($B1150,'MAT1'!$B$16:$G$43,2,FALSE),IF($A1150="MDEO",VLOOKUP($B1150,MDEO!$B$16:$P$34,2,FALSE)))))</f>
        <v xml:space="preserve">ayudante </v>
      </c>
      <c r="D1150" s="449">
        <f>IF($A1150="EQUI",VLOOKUP($B1150,EQUI!B$16:G$35,3,FALSE),IF($A1150="TRAN",VLOOKUP($B1150,TRAN!$B$16:$G$26,3,FALSE),IF($A1150="MAT",VLOOKUP($B1150,'MAT1'!$B$16:$G$43,3,FALSE),IF($A1150="MDEO",VLOOKUP($B1150,MDEO!$B$16:$P$33,10,FALSE)))))</f>
        <v>10336.644836388892</v>
      </c>
      <c r="E1150" s="410"/>
      <c r="F1150" s="438">
        <f>+D1150+D1150*E1150</f>
        <v>10336.644836388892</v>
      </c>
      <c r="G1150" s="412">
        <f>5*G1149</f>
        <v>6.65</v>
      </c>
      <c r="H1150" s="411">
        <f>G1150*F1150</f>
        <v>68738.688161986138</v>
      </c>
      <c r="I1150" s="403"/>
    </row>
    <row r="1151" spans="1:9" x14ac:dyDescent="0.3">
      <c r="A1151" s="405" t="s">
        <v>4</v>
      </c>
      <c r="B1151" s="408" t="s">
        <v>178</v>
      </c>
      <c r="C1151" s="409" t="str">
        <f>IF($A1151="EQUI",VLOOKUP($B1151,EQUI!B$16:G$37,2,FALSE),IF($A1151="TRAN",VLOOKUP($B1151,TRAN!$B$16:$G$26,2,FALSE),IF($A1151="MAT",VLOOKUP($B1151,'MAT1'!$B$16:$G$43,2,FALSE),IF($A1151="MDEO",VLOOKUP($B1151,MDEO!$B$16:$P$34,2,FALSE)))))</f>
        <v>contra maestro</v>
      </c>
      <c r="D1151" s="449">
        <f>IF($A1151="EQUI",VLOOKUP($B1151,EQUI!B$16:G$35,3,FALSE),IF($A1151="TRAN",VLOOKUP($B1151,TRAN!$B$16:$G$26,3,FALSE),IF($A1151="MAT",VLOOKUP($B1151,'MAT1'!$B$16:$G$43,3,FALSE),IF($A1151="MDEO",VLOOKUP($B1151,MDEO!$B$16:$P$33,10,FALSE)))))</f>
        <v>12974.601086388891</v>
      </c>
      <c r="E1151" s="410"/>
      <c r="F1151" s="438">
        <f>+D1151+D1151*E1151</f>
        <v>12974.601086388891</v>
      </c>
      <c r="G1151" s="412">
        <f>G1149*0.1</f>
        <v>0.13300000000000001</v>
      </c>
      <c r="H1151" s="411">
        <f>G1151*F1151</f>
        <v>1725.6219444897226</v>
      </c>
      <c r="I1151" s="403"/>
    </row>
    <row r="1152" spans="1:9" x14ac:dyDescent="0.3">
      <c r="A1152" s="405"/>
      <c r="B1152" s="408"/>
      <c r="C1152" s="409"/>
      <c r="D1152" s="449"/>
      <c r="E1152" s="410"/>
      <c r="F1152" s="438"/>
      <c r="G1152" s="412"/>
      <c r="H1152" s="411"/>
      <c r="I1152" s="403"/>
    </row>
    <row r="1153" spans="1:9" x14ac:dyDescent="0.3">
      <c r="A1153" s="405"/>
      <c r="B1153" s="408"/>
      <c r="C1153" s="409"/>
      <c r="D1153" s="449"/>
      <c r="E1153" s="410"/>
      <c r="F1153" s="438"/>
      <c r="G1153" s="412"/>
      <c r="H1153" s="411"/>
      <c r="I1153" s="403"/>
    </row>
    <row r="1154" spans="1:9" x14ac:dyDescent="0.3">
      <c r="A1154" s="720"/>
      <c r="B1154" s="712"/>
      <c r="C1154" s="352"/>
      <c r="D1154" s="417"/>
      <c r="E1154" s="352"/>
      <c r="F1154" s="352"/>
      <c r="G1154" s="352"/>
      <c r="H1154" s="352"/>
      <c r="I1154" s="403"/>
    </row>
    <row r="1155" spans="1:9" x14ac:dyDescent="0.3">
      <c r="A1155" s="401"/>
      <c r="C1155" s="352"/>
      <c r="D1155" s="417"/>
      <c r="E1155" s="352"/>
      <c r="F1155" s="413" t="s">
        <v>32</v>
      </c>
      <c r="G1155" s="402" t="str">
        <f>+B1129</f>
        <v>aux-1</v>
      </c>
      <c r="H1155" s="413" t="s">
        <v>376</v>
      </c>
      <c r="I1155" s="396">
        <f>SUM(H1149:H1154)</f>
        <v>85276.047738873094</v>
      </c>
    </row>
    <row r="1156" spans="1:9" x14ac:dyDescent="0.3">
      <c r="A1156" s="401" t="s">
        <v>54</v>
      </c>
      <c r="C1156" s="352"/>
      <c r="D1156" s="417"/>
      <c r="E1156" s="352"/>
      <c r="F1156" s="352"/>
      <c r="G1156" s="352"/>
      <c r="H1156" s="350"/>
      <c r="I1156" s="396">
        <f>I1155*0.05</f>
        <v>4263.8023869436547</v>
      </c>
    </row>
    <row r="1157" spans="1:9" x14ac:dyDescent="0.3">
      <c r="A1157" s="401"/>
      <c r="C1157" s="352"/>
      <c r="D1157" s="417"/>
      <c r="E1157" s="352"/>
      <c r="F1157" s="413" t="s">
        <v>55</v>
      </c>
      <c r="G1157" s="350"/>
      <c r="H1157" s="350"/>
      <c r="I1157" s="396">
        <f>ROUND(I1155+I1156+I1141+I1134+I1146,0)</f>
        <v>498450</v>
      </c>
    </row>
    <row r="1158" spans="1:9" x14ac:dyDescent="0.3">
      <c r="A1158" s="414"/>
      <c r="B1158" s="415"/>
      <c r="C1158" s="415"/>
      <c r="D1158" s="450"/>
      <c r="E1158" s="415"/>
      <c r="F1158" s="415"/>
      <c r="G1158" s="415"/>
      <c r="H1158" s="415"/>
      <c r="I1158" s="396"/>
    </row>
    <row r="1159" spans="1:9" ht="39.6" customHeight="1" x14ac:dyDescent="0.3">
      <c r="A1159" s="724" t="s">
        <v>114</v>
      </c>
      <c r="B1159" s="710"/>
      <c r="C1159" s="710"/>
      <c r="D1159" s="450"/>
      <c r="E1159" s="415"/>
      <c r="F1159" s="710" t="s">
        <v>396</v>
      </c>
      <c r="G1159" s="710"/>
      <c r="H1159" s="710"/>
      <c r="I1159" s="711"/>
    </row>
    <row r="1160" spans="1:9" x14ac:dyDescent="0.3">
      <c r="A1160" s="397" t="s">
        <v>111</v>
      </c>
      <c r="B1160" s="712"/>
      <c r="C1160" s="712"/>
      <c r="D1160" s="417"/>
      <c r="E1160" s="352"/>
      <c r="F1160" s="350" t="s">
        <v>111</v>
      </c>
      <c r="G1160" s="712"/>
      <c r="H1160" s="712"/>
      <c r="I1160" s="713"/>
    </row>
    <row r="1161" spans="1:9" x14ac:dyDescent="0.3">
      <c r="A1161" s="439" t="s">
        <v>115</v>
      </c>
      <c r="B1161" s="710" t="s">
        <v>1551</v>
      </c>
      <c r="C1161" s="710"/>
      <c r="F1161" s="432" t="s">
        <v>112</v>
      </c>
      <c r="G1161" s="712"/>
      <c r="H1161" s="712"/>
      <c r="I1161" s="713"/>
    </row>
    <row r="1162" spans="1:9" x14ac:dyDescent="0.3">
      <c r="A1162" s="439" t="s">
        <v>113</v>
      </c>
      <c r="B1162" s="710" t="s">
        <v>1554</v>
      </c>
      <c r="C1162" s="710"/>
      <c r="F1162" s="432" t="s">
        <v>113</v>
      </c>
      <c r="G1162" s="712"/>
      <c r="H1162" s="712"/>
      <c r="I1162" s="713"/>
    </row>
    <row r="1163" spans="1:9" x14ac:dyDescent="0.3">
      <c r="A1163" s="439"/>
      <c r="B1163" s="350"/>
      <c r="C1163" s="350"/>
      <c r="F1163" s="432"/>
      <c r="G1163" s="350"/>
      <c r="H1163" s="350"/>
      <c r="I1163" s="416"/>
    </row>
    <row r="1164" spans="1:9" x14ac:dyDescent="0.3">
      <c r="A1164" s="714" t="s">
        <v>110</v>
      </c>
      <c r="B1164" s="715"/>
      <c r="C1164" s="715"/>
      <c r="D1164" s="715"/>
      <c r="E1164" s="715"/>
      <c r="F1164" s="715"/>
      <c r="G1164" s="715"/>
      <c r="H1164" s="715"/>
      <c r="I1164" s="716"/>
    </row>
    <row r="1165" spans="1:9" ht="46.2" customHeight="1" x14ac:dyDescent="0.3">
      <c r="A1165" s="717"/>
      <c r="B1165" s="718"/>
      <c r="C1165" s="718"/>
      <c r="D1165" s="718"/>
      <c r="E1165" s="718"/>
      <c r="F1165" s="718"/>
      <c r="G1165" s="718"/>
      <c r="H1165" s="718"/>
      <c r="I1165" s="719"/>
    </row>
    <row r="1166" spans="1:9" x14ac:dyDescent="0.3">
      <c r="A1166" s="725" t="s">
        <v>68</v>
      </c>
      <c r="B1166" s="726"/>
      <c r="C1166" s="726"/>
      <c r="D1166" s="726"/>
      <c r="E1166" s="726"/>
      <c r="F1166" s="726"/>
      <c r="G1166" s="726"/>
      <c r="H1166" s="726"/>
      <c r="I1166" s="727"/>
    </row>
    <row r="1167" spans="1:9" x14ac:dyDescent="0.3">
      <c r="A1167" s="390" t="s">
        <v>69</v>
      </c>
      <c r="B1167" s="391" t="s">
        <v>1444</v>
      </c>
      <c r="C1167" s="710" t="s">
        <v>70</v>
      </c>
      <c r="D1167" s="723" t="s">
        <v>1445</v>
      </c>
      <c r="E1167" s="723"/>
      <c r="F1167" s="723"/>
      <c r="G1167" s="723"/>
      <c r="H1167" s="723"/>
      <c r="I1167" s="728"/>
    </row>
    <row r="1168" spans="1:9" x14ac:dyDescent="0.3">
      <c r="A1168" s="390" t="s">
        <v>71</v>
      </c>
      <c r="B1168" s="391"/>
      <c r="C1168" s="710"/>
      <c r="D1168" s="355" t="s">
        <v>12</v>
      </c>
      <c r="E1168" s="392" t="s">
        <v>181</v>
      </c>
      <c r="F1168" s="392" t="s">
        <v>13</v>
      </c>
      <c r="G1168" s="392">
        <v>1</v>
      </c>
      <c r="H1168" s="393" t="s">
        <v>27</v>
      </c>
      <c r="I1168" s="394">
        <f>+I1195</f>
        <v>439313</v>
      </c>
    </row>
    <row r="1169" spans="1:9" x14ac:dyDescent="0.3">
      <c r="A1169" s="395" t="s">
        <v>14</v>
      </c>
      <c r="B1169" s="386"/>
      <c r="C1169" s="352"/>
      <c r="D1169" s="417"/>
      <c r="E1169" s="352"/>
      <c r="F1169" s="352"/>
      <c r="G1169" s="352"/>
      <c r="H1169" s="352"/>
      <c r="I1169" s="396"/>
    </row>
    <row r="1170" spans="1:9" x14ac:dyDescent="0.3">
      <c r="A1170" s="720" t="s">
        <v>19</v>
      </c>
      <c r="B1170" s="712"/>
      <c r="C1170" s="712"/>
      <c r="D1170" s="712"/>
      <c r="E1170" s="712"/>
      <c r="F1170" s="350" t="s">
        <v>28</v>
      </c>
      <c r="G1170" s="350" t="s">
        <v>29</v>
      </c>
      <c r="H1170" s="350" t="s">
        <v>30</v>
      </c>
      <c r="I1170" s="403"/>
    </row>
    <row r="1171" spans="1:9" x14ac:dyDescent="0.3">
      <c r="A1171" s="397" t="s">
        <v>1</v>
      </c>
      <c r="B1171" s="398" t="s">
        <v>1443</v>
      </c>
      <c r="C1171" s="721" t="str">
        <f>IF($A1171="EQUI",VLOOKUP($B1171,EQUI!B$16:G$54,2,FALSE),IF($A1171="TRAN",VLOOKUP($B1171,TRAN!$B$16:$G$26,3,FALSE),IF($A1171="MAT",VLOOKUP($B1171,'MAT1'!$B$16:$G$43,3,FALSE),IF($A1171="MDEO",VLOOKUP($B1171,MDEO!$B$16:$P$33,2,FALSE)))))</f>
        <v>Concretadora 2 sacos ACPM</v>
      </c>
      <c r="D1171" s="721"/>
      <c r="E1171" s="721"/>
      <c r="F1171" s="355">
        <f>IF($A1171="EQUI",VLOOKUP($B1171,EQUI!B$16:G$54,4,FALSE),IF($A1171="TRAN",VLOOKUP($B1171,TRAN!$B$16:$G$26,3,FALSE),IF($A1171="MAT",VLOOKUP($B1171,'MAT1'!$B$16:$G$43,3,FALSE),IF($A1171="MDEO",VLOOKUP($B1171,MDEO!$B$16:$P$33,2,FALSE)))))</f>
        <v>6875</v>
      </c>
      <c r="G1171" s="352">
        <v>1.1399999999999999</v>
      </c>
      <c r="H1171" s="404">
        <f>+G1171*F1171</f>
        <v>7837.4999999999991</v>
      </c>
      <c r="I1171" s="403"/>
    </row>
    <row r="1172" spans="1:9" x14ac:dyDescent="0.3">
      <c r="A1172" s="401"/>
      <c r="C1172" s="352"/>
      <c r="D1172" s="417"/>
      <c r="E1172" s="352"/>
      <c r="F1172" s="413" t="s">
        <v>32</v>
      </c>
      <c r="G1172" s="402" t="str">
        <f>+B1167</f>
        <v>aux-2</v>
      </c>
      <c r="H1172" s="402" t="s">
        <v>367</v>
      </c>
      <c r="I1172" s="396">
        <f>SUM(H1171:H1171)</f>
        <v>7837.4999999999991</v>
      </c>
    </row>
    <row r="1173" spans="1:9" x14ac:dyDescent="0.3">
      <c r="A1173" s="395" t="s">
        <v>34</v>
      </c>
      <c r="B1173" s="386"/>
      <c r="C1173" s="352"/>
      <c r="D1173" s="417"/>
      <c r="E1173" s="352"/>
      <c r="F1173" s="352"/>
      <c r="G1173" s="352"/>
      <c r="H1173" s="352"/>
      <c r="I1173" s="403"/>
    </row>
    <row r="1174" spans="1:9" x14ac:dyDescent="0.3">
      <c r="A1174" s="720" t="s">
        <v>35</v>
      </c>
      <c r="B1174" s="712"/>
      <c r="C1174" s="712"/>
      <c r="D1174" s="712"/>
      <c r="E1174" s="350" t="s">
        <v>12</v>
      </c>
      <c r="F1174" s="350" t="s">
        <v>36</v>
      </c>
      <c r="G1174" s="350" t="s">
        <v>37</v>
      </c>
      <c r="H1174" s="350" t="s">
        <v>38</v>
      </c>
      <c r="I1174" s="403"/>
    </row>
    <row r="1175" spans="1:9" x14ac:dyDescent="0.3">
      <c r="A1175" s="397" t="s">
        <v>523</v>
      </c>
      <c r="B1175" s="398" t="s">
        <v>137</v>
      </c>
      <c r="C1175" s="721" t="str">
        <f>IF($A1175="EQUI",VLOOKUP($B1175,EQUI!B$16:G$35,2,FALSE),IF($A1175="TRAN",VLOOKUP($B1175,TRAN!$B$16:$G$26,2,FALSE),IF($A1175="MAT1",VLOOKUP($B1175,'MAT1'!$B$16:$G$54,2,FALSE),IF($A1175="MAT2",VLOOKUP($B1175,'MAT2'!$B$16:$G$65,2,FALSE),IF($A1175="MDEO",VLOOKUP($B1175,MDEO!$B$16:$P$27,2,FALSE))))))</f>
        <v>Cemento gris</v>
      </c>
      <c r="D1175" s="721"/>
      <c r="E1175" s="355" t="str">
        <f>IF($A1175="EQUI",VLOOKUP($B1175,EQUI!B$16:G$35,3,FALSE),IF($A1175="TRAN",VLOOKUP($B1175,TRAN!$B$16:$G$26,3,FALSE),IF($A1175="MAT1",VLOOKUP($B1175,'MAT1'!$B$16:$G$54,3,FALSE),IF($A1175="MAT2",VLOOKUP($B1175,'MAT2'!$B$16:$G$55,3,FALSE),IF($A1175="MDEO",VLOOKUP($B1175,MDEO!$B$16:$P$27,3,FALSE))))))</f>
        <v>SACO</v>
      </c>
      <c r="F1175" s="392">
        <f>IF($A1175="EQUI",VLOOKUP($B1175,EQUI!B$16:G$35,4,FALSE),IF($A1175="TRAN",VLOOKUP($B1175,TRAN!$B$16:$G$26,4,FALSE),IF($A1175="MAT1",VLOOKUP($B1175,'MAT1'!$B$16:$G$54,4,FALSE),IF($A1175="MAT2",VLOOKUP($B1175,'MAT2'!$B$16:$G$53,4,FALSE),IF($A1175="MDEO",VLOOKUP($B1175,MDEO!$B$16:$P$27,4,FALSE))))))</f>
        <v>32700</v>
      </c>
      <c r="G1175" s="352">
        <f>5.6*1.1</f>
        <v>6.16</v>
      </c>
      <c r="H1175" s="404">
        <f>+F1175*G1175</f>
        <v>201432</v>
      </c>
      <c r="I1175" s="403"/>
    </row>
    <row r="1176" spans="1:9" x14ac:dyDescent="0.3">
      <c r="A1176" s="397" t="s">
        <v>523</v>
      </c>
      <c r="B1176" s="398" t="s">
        <v>136</v>
      </c>
      <c r="C1176" s="721" t="str">
        <f>IF($A1176="EQUI",VLOOKUP($B1176,EQUI!B$16:G$35,2,FALSE),IF($A1176="TRAN",VLOOKUP($B1176,TRAN!$B$16:$G$26,2,FALSE),IF($A1176="MAT1",VLOOKUP($B1176,'MAT1'!$B$16:$G$54,2,FALSE),IF($A1176="MAT2",VLOOKUP($B1176,'MAT2'!$B$16:$G$65,2,FALSE),IF($A1176="MDEO",VLOOKUP($B1176,MDEO!$B$16:$P$27,2,FALSE))))))</f>
        <v>Arena para concreto</v>
      </c>
      <c r="D1176" s="721"/>
      <c r="E1176" s="355" t="str">
        <f>IF($A1176="EQUI",VLOOKUP($B1176,EQUI!B$16:G$35,3,FALSE),IF($A1176="TRAN",VLOOKUP($B1176,TRAN!$B$16:$G$26,3,FALSE),IF($A1176="MAT1",VLOOKUP($B1176,'MAT1'!$B$16:$G$54,3,FALSE),IF($A1176="MAT2",VLOOKUP($B1176,'MAT2'!$B$16:$G$55,3,FALSE),IF($A1176="MDEO",VLOOKUP($B1176,MDEO!$B$16:$P$27,3,FALSE))))))</f>
        <v>M3</v>
      </c>
      <c r="F1176" s="355">
        <f>IF($A1176="EQUI",VLOOKUP($B1176,EQUI!B$16:G$35,4,FALSE),IF($A1176="TRAN",VLOOKUP($B1176,TRAN!$B$16:$G$26,4,FALSE),IF($A1176="MAT1",VLOOKUP($B1176,'MAT1'!$B$16:$G$54,4,FALSE),IF($A1176="MAT2",VLOOKUP($B1176,'MAT2'!$B$16:$G$53,4,FALSE),IF($A1176="MDEO",VLOOKUP($B1176,MDEO!$B$16:$P$27,4,FALSE))))))</f>
        <v>40460</v>
      </c>
      <c r="G1176" s="352">
        <f>0.55*1.1</f>
        <v>0.60500000000000009</v>
      </c>
      <c r="H1176" s="404">
        <f t="shared" ref="H1176:H1177" si="9">+F1176*G1176</f>
        <v>24478.300000000003</v>
      </c>
      <c r="I1176" s="403"/>
    </row>
    <row r="1177" spans="1:9" x14ac:dyDescent="0.3">
      <c r="A1177" s="397" t="s">
        <v>523</v>
      </c>
      <c r="B1177" s="398" t="s">
        <v>144</v>
      </c>
      <c r="C1177" s="721" t="str">
        <f>IF($A1177="EQUI",VLOOKUP($B1177,EQUI!B$16:G$35,2,FALSE),IF($A1177="TRAN",VLOOKUP($B1177,TRAN!$B$16:$G$26,2,FALSE),IF($A1177="MAT1",VLOOKUP($B1177,'MAT1'!$B$16:$G$54,2,FALSE),IF($A1177="MAT2",VLOOKUP($B1177,'MAT2'!$B$16:$G$65,2,FALSE),IF($A1177="MDEO",VLOOKUP($B1177,MDEO!$B$16:$P$27,2,FALSE))))))</f>
        <v>Triturado 3/4"</v>
      </c>
      <c r="D1177" s="721"/>
      <c r="E1177" s="355" t="str">
        <f>IF($A1177="EQUI",VLOOKUP($B1177,EQUI!B$16:G$35,3,FALSE),IF($A1177="TRAN",VLOOKUP($B1177,TRAN!$B$16:$G$26,3,FALSE),IF($A1177="MAT1",VLOOKUP($B1177,'MAT1'!$B$16:$G$54,3,FALSE),IF($A1177="MAT2",VLOOKUP($B1177,'MAT2'!$B$16:$G$55,3,FALSE),IF($A1177="MDEO",VLOOKUP($B1177,MDEO!$B$16:$P$27,3,FALSE))))))</f>
        <v>M3</v>
      </c>
      <c r="F1177" s="355">
        <f>IF($A1177="EQUI",VLOOKUP($B1177,EQUI!B$16:G$35,4,FALSE),IF($A1177="TRAN",VLOOKUP($B1177,TRAN!$B$16:$G$26,4,FALSE),IF($A1177="MAT1",VLOOKUP($B1177,'MAT1'!$B$16:$G$54,4,FALSE),IF($A1177="MAT2",VLOOKUP($B1177,'MAT2'!$B$16:$G$53,4,FALSE),IF($A1177="MDEO",VLOOKUP($B1177,MDEO!$B$16:$P$27,4,FALSE))))))</f>
        <v>42800</v>
      </c>
      <c r="G1177" s="352">
        <f>1.1*0.89</f>
        <v>0.97900000000000009</v>
      </c>
      <c r="H1177" s="404">
        <f t="shared" si="9"/>
        <v>41901.200000000004</v>
      </c>
      <c r="I1177" s="403"/>
    </row>
    <row r="1178" spans="1:9" x14ac:dyDescent="0.3">
      <c r="A1178" s="397" t="s">
        <v>522</v>
      </c>
      <c r="B1178" s="398" t="s">
        <v>134</v>
      </c>
      <c r="C1178" s="721" t="str">
        <f>IF($A1178="EQUI",VLOOKUP($B1178,EQUI!B$16:G$35,2,FALSE),IF($A1178="TRAN",VLOOKUP($B1178,TRAN!$B$16:$G$26,2,FALSE),IF($A1178="MAT1",VLOOKUP($B1178,'MAT1'!$B$16:$G$54,2,FALSE),IF($A1178="MAT2",VLOOKUP($B1178,'MAT2'!$B$16:$G$65,2,FALSE),IF($A1178="MDEO",VLOOKUP($B1178,MDEO!$B$16:$P$27,2,FALSE))))))</f>
        <v>agua</v>
      </c>
      <c r="D1178" s="721"/>
      <c r="E1178" s="355" t="str">
        <f>IF($A1178="EQUI",VLOOKUP($B1178,EQUI!B$16:G$35,3,FALSE),IF($A1178="TRAN",VLOOKUP($B1178,TRAN!$B$16:$G$26,3,FALSE),IF($A1178="MAT1",VLOOKUP($B1178,'MAT1'!$B$16:$G$54,3,FALSE),IF($A1178="MAT2",VLOOKUP($B1178,'MAT2'!$B$16:$G$55,3,FALSE),IF($A1178="MDEO",VLOOKUP($B1178,MDEO!$B$16:$P$27,3,FALSE))))))</f>
        <v>M3</v>
      </c>
      <c r="F1178" s="355">
        <f>IF($A1178="EQUI",VLOOKUP($B1178,EQUI!B$16:G$35,4,FALSE),IF($A1178="TRAN",VLOOKUP($B1178,TRAN!$B$16:$G$26,4,FALSE),IF($A1178="MAT1",VLOOKUP($B1178,'MAT1'!$B$16:$G$54,4,FALSE),IF($A1178="MAT2",VLOOKUP($B1178,'MAT2'!$B$16:$G$53,4,FALSE),IF($A1178="MDEO",VLOOKUP($B1178,MDEO!$B$16:$P$27,4,FALSE))))))</f>
        <v>2750</v>
      </c>
      <c r="G1178" s="352">
        <f>0.17*1.1</f>
        <v>0.18700000000000003</v>
      </c>
      <c r="H1178" s="404">
        <f>+F1178*G1178</f>
        <v>514.25000000000011</v>
      </c>
      <c r="I1178" s="403"/>
    </row>
    <row r="1179" spans="1:9" x14ac:dyDescent="0.3">
      <c r="A1179" s="401"/>
      <c r="C1179" s="352"/>
      <c r="D1179" s="417"/>
      <c r="E1179" s="352"/>
      <c r="F1179" s="413" t="s">
        <v>32</v>
      </c>
      <c r="G1179" s="402" t="str">
        <f>+B1167</f>
        <v>aux-2</v>
      </c>
      <c r="H1179" s="402" t="s">
        <v>370</v>
      </c>
      <c r="I1179" s="396">
        <f>SUM(H1175:H1178)</f>
        <v>268325.75</v>
      </c>
    </row>
    <row r="1180" spans="1:9" x14ac:dyDescent="0.3">
      <c r="A1180" s="395" t="s">
        <v>15</v>
      </c>
      <c r="B1180" s="386"/>
      <c r="C1180" s="352"/>
      <c r="D1180" s="417"/>
      <c r="E1180" s="352"/>
      <c r="F1180" s="352"/>
      <c r="G1180" s="352"/>
      <c r="H1180" s="352"/>
      <c r="I1180" s="403"/>
    </row>
    <row r="1181" spans="1:9" ht="11.4" x14ac:dyDescent="0.3">
      <c r="A1181" s="720" t="s">
        <v>19</v>
      </c>
      <c r="B1181" s="712"/>
      <c r="C1181" s="712"/>
      <c r="D1181" s="355" t="s">
        <v>43</v>
      </c>
      <c r="E1181" s="428" t="s">
        <v>44</v>
      </c>
      <c r="F1181" s="355" t="s">
        <v>45</v>
      </c>
      <c r="G1181" s="350" t="s">
        <v>17</v>
      </c>
      <c r="H1181" s="350" t="s">
        <v>30</v>
      </c>
      <c r="I1181" s="403"/>
    </row>
    <row r="1182" spans="1:9" x14ac:dyDescent="0.3">
      <c r="A1182" s="405" t="s">
        <v>3</v>
      </c>
      <c r="B1182" s="398" t="s">
        <v>171</v>
      </c>
      <c r="C1182" s="417" t="str">
        <f>IF($A1182="EQUI",VLOOKUP($B1182,EQUI!B$16:G$40,2,FALSE),IF($A1182="TRAN",VLOOKUP($B1182,TRAN!$B$16:$G$37,2,FALSE),IF(A1182="MAT",VLOOKUP($B1182,'MAT1'!$B$16:$G$43,2,FALSE),IF(A1182="MDEO",VLOOKUP($B1182,MDEO!$B$16:$P$27,2,FALSE)))))</f>
        <v>trans material &gt; 10 km</v>
      </c>
      <c r="D1182" s="355">
        <f>+G1176+G1177</f>
        <v>1.5840000000000001</v>
      </c>
      <c r="E1182" s="355">
        <v>55</v>
      </c>
      <c r="F1182" s="355">
        <f>+E1182*D1182</f>
        <v>87.12</v>
      </c>
      <c r="G1182" s="350">
        <f>IF($A1182="EQUI",VLOOKUP($B1182,[6]EQUI!B$16:G$46,4,FALSE),IF($A1182="TRAN",VLOOKUP($B1182,[6]TRAN!$B$16:$G$26,4,FALSE),IF($A1182="MAT",VLOOKUP($B1182,[6]MAT!$B$16:$G$83,4,FALSE),IF($A1182="MDEO",VLOOKUP($B1182,[6]MDEO!$B$16:$I$21,4,FALSE)))))</f>
        <v>980</v>
      </c>
      <c r="H1182" s="404">
        <f>+F1182*G1182</f>
        <v>85377.600000000006</v>
      </c>
      <c r="I1182" s="403"/>
    </row>
    <row r="1183" spans="1:9" x14ac:dyDescent="0.3">
      <c r="A1183" s="405" t="s">
        <v>3</v>
      </c>
      <c r="B1183" s="398" t="s">
        <v>166</v>
      </c>
      <c r="C1183" s="417" t="str">
        <f>IF($A1183="EQUI",VLOOKUP($B1183,EQUI!B$16:G$40,2,FALSE),IF($A1183="TRAN",VLOOKUP($B1183,TRAN!$B$16:$G$37,2,FALSE),IF(A1183="MAT",VLOOKUP($B1183,'MAT1'!$B$16:$G$43,2,FALSE),IF(A1183="MDEO",VLOOKUP($B1183,MDEO!$B$16:$P$27,2,FALSE)))))</f>
        <v>trans agua 0-5km</v>
      </c>
      <c r="D1183" s="355">
        <f>+G1178</f>
        <v>0.18700000000000003</v>
      </c>
      <c r="E1183" s="355">
        <v>5</v>
      </c>
      <c r="F1183" s="355">
        <f>+E1183*D1183</f>
        <v>0.93500000000000016</v>
      </c>
      <c r="G1183" s="350">
        <f>IF($A1183="EQUI",VLOOKUP($B1183,[6]EQUI!B$16:G$46,4,FALSE),IF($A1183="TRAN",VLOOKUP($B1183,[6]TRAN!$B$16:$G$26,4,FALSE),IF($A1183="MAT",VLOOKUP($B1183,[6]MAT!$B$16:$G$83,4,FALSE),IF($A1183="MDEO",VLOOKUP($B1183,[6]MDEO!$B$16:$I$21,4,FALSE)))))</f>
        <v>1095</v>
      </c>
      <c r="H1183" s="404">
        <f>+F1183*G1183</f>
        <v>1023.8250000000002</v>
      </c>
      <c r="I1183" s="403"/>
    </row>
    <row r="1184" spans="1:9" x14ac:dyDescent="0.3">
      <c r="A1184" s="401"/>
      <c r="C1184" s="352"/>
      <c r="D1184" s="417"/>
      <c r="E1184" s="352"/>
      <c r="F1184" s="413" t="s">
        <v>32</v>
      </c>
      <c r="G1184" s="402" t="str">
        <f>+B1167</f>
        <v>aux-2</v>
      </c>
      <c r="H1184" s="402" t="s">
        <v>373</v>
      </c>
      <c r="I1184" s="396">
        <f>SUM(H1182:H1183)</f>
        <v>86401.425000000003</v>
      </c>
    </row>
    <row r="1185" spans="1:9" x14ac:dyDescent="0.3">
      <c r="A1185" s="395" t="s">
        <v>1107</v>
      </c>
      <c r="B1185" s="386"/>
      <c r="C1185" s="352"/>
      <c r="D1185" s="417"/>
      <c r="E1185" s="352"/>
      <c r="F1185" s="352"/>
      <c r="G1185" s="352"/>
      <c r="H1185" s="352"/>
      <c r="I1185" s="403"/>
    </row>
    <row r="1186" spans="1:9" x14ac:dyDescent="0.3">
      <c r="A1186" s="722" t="s">
        <v>18</v>
      </c>
      <c r="B1186" s="723"/>
      <c r="C1186" s="723"/>
      <c r="D1186" s="355" t="s">
        <v>48</v>
      </c>
      <c r="E1186" s="355" t="s">
        <v>109</v>
      </c>
      <c r="F1186" s="380" t="s">
        <v>250</v>
      </c>
      <c r="G1186" s="380" t="s">
        <v>251</v>
      </c>
      <c r="H1186" s="355" t="s">
        <v>252</v>
      </c>
      <c r="I1186" s="407"/>
    </row>
    <row r="1187" spans="1:9" x14ac:dyDescent="0.3">
      <c r="A1187" s="405" t="s">
        <v>4</v>
      </c>
      <c r="B1187" s="408" t="s">
        <v>176</v>
      </c>
      <c r="C1187" s="409" t="str">
        <f>IF($A1187="EQUI",VLOOKUP($B1187,EQUI!B$16:G$37,2,FALSE),IF($A1187="TRAN",VLOOKUP($B1187,TRAN!$B$16:$G$26,2,FALSE),IF($A1187="MAT",VLOOKUP($B1187,'MAT1'!$B$16:$G$43,2,FALSE),IF($A1187="MDEO",VLOOKUP($B1187,MDEO!$B$16:$P$27,2,FALSE)))))</f>
        <v xml:space="preserve">ayudante entendido </v>
      </c>
      <c r="D1187" s="449">
        <f>IF($A1187="EQUI",VLOOKUP($B1187,EQUI!B$16:G$35,3,FALSE),IF($A1187="TRAN",VLOOKUP($B1187,TRAN!$B$16:$G$26,3,FALSE),IF($A1187="MAT",VLOOKUP($B1187,'MAT1'!$B$16:$G$43,3,FALSE),IF($A1187="MDEO",VLOOKUP($B1187,MDEO!$B$16:$P$33,10,FALSE)))))</f>
        <v>11136.644836388892</v>
      </c>
      <c r="E1187" s="410"/>
      <c r="F1187" s="438">
        <f>+D1187+D1187*E1187</f>
        <v>11136.644836388892</v>
      </c>
      <c r="G1187" s="412">
        <v>1.1399999999999999</v>
      </c>
      <c r="H1187" s="411">
        <f>G1187*F1187</f>
        <v>12695.775113483336</v>
      </c>
      <c r="I1187" s="403"/>
    </row>
    <row r="1188" spans="1:9" x14ac:dyDescent="0.3">
      <c r="A1188" s="405" t="s">
        <v>4</v>
      </c>
      <c r="B1188" s="408" t="s">
        <v>177</v>
      </c>
      <c r="C1188" s="409" t="str">
        <f>IF($A1188="EQUI",VLOOKUP($B1188,EQUI!B$16:G$37,2,FALSE),IF($A1188="TRAN",VLOOKUP($B1188,TRAN!$B$16:$G$26,2,FALSE),IF($A1188="MAT",VLOOKUP($B1188,'MAT1'!$B$16:$G$43,2,FALSE),IF($A1188="MDEO",VLOOKUP($B1188,MDEO!$B$16:$P$34,2,FALSE)))))</f>
        <v xml:space="preserve">ayudante </v>
      </c>
      <c r="D1188" s="449">
        <f>IF($A1188="EQUI",VLOOKUP($B1188,EQUI!B$16:G$35,3,FALSE),IF($A1188="TRAN",VLOOKUP($B1188,TRAN!$B$16:$G$26,3,FALSE),IF($A1188="MAT",VLOOKUP($B1188,'MAT1'!$B$16:$G$43,3,FALSE),IF($A1188="MDEO",VLOOKUP($B1188,MDEO!$B$16:$P$33,10,FALSE)))))</f>
        <v>10336.644836388892</v>
      </c>
      <c r="E1188" s="410"/>
      <c r="F1188" s="438">
        <f>+D1188+D1188*E1188</f>
        <v>10336.644836388892</v>
      </c>
      <c r="G1188" s="412">
        <f>5*G1187</f>
        <v>5.6999999999999993</v>
      </c>
      <c r="H1188" s="411">
        <f>G1188*F1188</f>
        <v>58918.875567416675</v>
      </c>
      <c r="I1188" s="403"/>
    </row>
    <row r="1189" spans="1:9" x14ac:dyDescent="0.3">
      <c r="A1189" s="405" t="s">
        <v>4</v>
      </c>
      <c r="B1189" s="408" t="s">
        <v>178</v>
      </c>
      <c r="C1189" s="409" t="str">
        <f>IF($A1189="EQUI",VLOOKUP($B1189,EQUI!B$16:G$37,2,FALSE),IF($A1189="TRAN",VLOOKUP($B1189,TRAN!$B$16:$G$26,2,FALSE),IF($A1189="MAT",VLOOKUP($B1189,'MAT1'!$B$16:$G$43,2,FALSE),IF($A1189="MDEO",VLOOKUP($B1189,MDEO!$B$16:$P$34,2,FALSE)))))</f>
        <v>contra maestro</v>
      </c>
      <c r="D1189" s="449">
        <f>IF($A1189="EQUI",VLOOKUP($B1189,EQUI!B$16:G$35,3,FALSE),IF($A1189="TRAN",VLOOKUP($B1189,TRAN!$B$16:$G$26,3,FALSE),IF($A1189="MAT",VLOOKUP($B1189,'MAT1'!$B$16:$G$43,3,FALSE),IF($A1189="MDEO",VLOOKUP($B1189,MDEO!$B$16:$P$33,10,FALSE)))))</f>
        <v>12974.601086388891</v>
      </c>
      <c r="E1189" s="410"/>
      <c r="F1189" s="438">
        <f>+D1189+D1189*E1189</f>
        <v>12974.601086388891</v>
      </c>
      <c r="G1189" s="412">
        <f>G1187*0.1</f>
        <v>0.11399999999999999</v>
      </c>
      <c r="H1189" s="411">
        <f>G1189*F1189</f>
        <v>1479.1045238483334</v>
      </c>
      <c r="I1189" s="403"/>
    </row>
    <row r="1190" spans="1:9" x14ac:dyDescent="0.3">
      <c r="A1190" s="405"/>
      <c r="B1190" s="408"/>
      <c r="C1190" s="409"/>
      <c r="D1190" s="449"/>
      <c r="E1190" s="410"/>
      <c r="F1190" s="438"/>
      <c r="G1190" s="412"/>
      <c r="H1190" s="411"/>
      <c r="I1190" s="403"/>
    </row>
    <row r="1191" spans="1:9" x14ac:dyDescent="0.3">
      <c r="A1191" s="405"/>
      <c r="B1191" s="408"/>
      <c r="C1191" s="409"/>
      <c r="D1191" s="449"/>
      <c r="E1191" s="410"/>
      <c r="F1191" s="438"/>
      <c r="G1191" s="412"/>
      <c r="H1191" s="411"/>
      <c r="I1191" s="403"/>
    </row>
    <row r="1192" spans="1:9" x14ac:dyDescent="0.3">
      <c r="A1192" s="720"/>
      <c r="B1192" s="712"/>
      <c r="C1192" s="352"/>
      <c r="D1192" s="417"/>
      <c r="E1192" s="352"/>
      <c r="F1192" s="352"/>
      <c r="G1192" s="352"/>
      <c r="H1192" s="352"/>
      <c r="I1192" s="403"/>
    </row>
    <row r="1193" spans="1:9" x14ac:dyDescent="0.3">
      <c r="A1193" s="401"/>
      <c r="C1193" s="352"/>
      <c r="D1193" s="417"/>
      <c r="E1193" s="352"/>
      <c r="F1193" s="413" t="s">
        <v>32</v>
      </c>
      <c r="G1193" s="402" t="str">
        <f>+B1167</f>
        <v>aux-2</v>
      </c>
      <c r="H1193" s="413" t="s">
        <v>376</v>
      </c>
      <c r="I1193" s="396">
        <f>SUM(H1187:H1192)</f>
        <v>73093.755204748348</v>
      </c>
    </row>
    <row r="1194" spans="1:9" x14ac:dyDescent="0.3">
      <c r="A1194" s="401" t="s">
        <v>54</v>
      </c>
      <c r="C1194" s="352"/>
      <c r="D1194" s="417"/>
      <c r="E1194" s="352"/>
      <c r="F1194" s="352"/>
      <c r="G1194" s="352"/>
      <c r="H1194" s="350"/>
      <c r="I1194" s="396">
        <f>I1193*0.05</f>
        <v>3654.6877602374175</v>
      </c>
    </row>
    <row r="1195" spans="1:9" x14ac:dyDescent="0.3">
      <c r="A1195" s="401"/>
      <c r="C1195" s="352"/>
      <c r="D1195" s="417"/>
      <c r="E1195" s="352"/>
      <c r="F1195" s="413" t="s">
        <v>55</v>
      </c>
      <c r="G1195" s="350"/>
      <c r="H1195" s="350"/>
      <c r="I1195" s="396">
        <f>ROUND(I1193+I1194+I1179+I1172+I1184,0)</f>
        <v>439313</v>
      </c>
    </row>
    <row r="1196" spans="1:9" x14ac:dyDescent="0.3">
      <c r="A1196" s="414"/>
      <c r="B1196" s="415"/>
      <c r="C1196" s="415"/>
      <c r="D1196" s="450"/>
      <c r="E1196" s="415"/>
      <c r="F1196" s="415"/>
      <c r="G1196" s="415"/>
      <c r="H1196" s="415"/>
      <c r="I1196" s="396"/>
    </row>
    <row r="1197" spans="1:9" x14ac:dyDescent="0.3">
      <c r="A1197" s="724" t="s">
        <v>114</v>
      </c>
      <c r="B1197" s="710"/>
      <c r="C1197" s="710"/>
      <c r="D1197" s="450"/>
      <c r="E1197" s="415"/>
      <c r="F1197" s="710" t="s">
        <v>396</v>
      </c>
      <c r="G1197" s="710"/>
      <c r="H1197" s="710"/>
      <c r="I1197" s="711"/>
    </row>
    <row r="1198" spans="1:9" ht="34.950000000000003" customHeight="1" x14ac:dyDescent="0.3">
      <c r="A1198" s="397" t="s">
        <v>111</v>
      </c>
      <c r="B1198" s="712"/>
      <c r="C1198" s="712"/>
      <c r="D1198" s="417"/>
      <c r="E1198" s="352"/>
      <c r="F1198" s="350" t="s">
        <v>111</v>
      </c>
      <c r="G1198" s="712"/>
      <c r="H1198" s="712"/>
      <c r="I1198" s="713"/>
    </row>
    <row r="1199" spans="1:9" x14ac:dyDescent="0.3">
      <c r="A1199" s="439" t="s">
        <v>115</v>
      </c>
      <c r="B1199" s="710" t="s">
        <v>1551</v>
      </c>
      <c r="C1199" s="710"/>
      <c r="F1199" s="432" t="s">
        <v>112</v>
      </c>
      <c r="G1199" s="712"/>
      <c r="H1199" s="712"/>
      <c r="I1199" s="713"/>
    </row>
    <row r="1200" spans="1:9" x14ac:dyDescent="0.3">
      <c r="A1200" s="439" t="s">
        <v>113</v>
      </c>
      <c r="B1200" s="710" t="s">
        <v>1554</v>
      </c>
      <c r="C1200" s="710"/>
      <c r="F1200" s="432" t="s">
        <v>113</v>
      </c>
      <c r="G1200" s="712"/>
      <c r="H1200" s="712"/>
      <c r="I1200" s="713"/>
    </row>
    <row r="1201" spans="1:9" x14ac:dyDescent="0.3">
      <c r="A1201" s="439"/>
      <c r="B1201" s="350"/>
      <c r="C1201" s="350"/>
      <c r="F1201" s="432"/>
      <c r="G1201" s="350"/>
      <c r="H1201" s="350"/>
      <c r="I1201" s="416"/>
    </row>
    <row r="1202" spans="1:9" x14ac:dyDescent="0.3">
      <c r="A1202" s="714" t="s">
        <v>110</v>
      </c>
      <c r="B1202" s="715"/>
      <c r="C1202" s="715"/>
      <c r="D1202" s="715"/>
      <c r="E1202" s="715"/>
      <c r="F1202" s="715"/>
      <c r="G1202" s="715"/>
      <c r="H1202" s="715"/>
      <c r="I1202" s="716"/>
    </row>
    <row r="1203" spans="1:9" ht="48" customHeight="1" x14ac:dyDescent="0.3">
      <c r="A1203" s="717"/>
      <c r="B1203" s="718"/>
      <c r="C1203" s="718"/>
      <c r="D1203" s="718"/>
      <c r="E1203" s="718"/>
      <c r="F1203" s="718"/>
      <c r="G1203" s="718"/>
      <c r="H1203" s="718"/>
      <c r="I1203" s="719"/>
    </row>
    <row r="1204" spans="1:9" x14ac:dyDescent="0.3">
      <c r="A1204" s="725" t="s">
        <v>68</v>
      </c>
      <c r="B1204" s="726"/>
      <c r="C1204" s="726"/>
      <c r="D1204" s="726"/>
      <c r="E1204" s="726"/>
      <c r="F1204" s="726"/>
      <c r="G1204" s="726"/>
      <c r="H1204" s="726"/>
      <c r="I1204" s="727"/>
    </row>
    <row r="1205" spans="1:9" x14ac:dyDescent="0.3">
      <c r="A1205" s="390" t="s">
        <v>69</v>
      </c>
      <c r="B1205" s="391" t="s">
        <v>1444</v>
      </c>
      <c r="C1205" s="710" t="s">
        <v>70</v>
      </c>
      <c r="D1205" s="723" t="s">
        <v>1447</v>
      </c>
      <c r="E1205" s="723"/>
      <c r="F1205" s="723"/>
      <c r="G1205" s="723"/>
      <c r="H1205" s="723"/>
      <c r="I1205" s="728"/>
    </row>
    <row r="1206" spans="1:9" x14ac:dyDescent="0.3">
      <c r="A1206" s="390" t="s">
        <v>71</v>
      </c>
      <c r="B1206" s="391"/>
      <c r="C1206" s="710"/>
      <c r="D1206" s="355" t="s">
        <v>12</v>
      </c>
      <c r="E1206" s="392" t="s">
        <v>181</v>
      </c>
      <c r="F1206" s="392" t="s">
        <v>13</v>
      </c>
      <c r="G1206" s="392">
        <v>1</v>
      </c>
      <c r="H1206" s="393" t="s">
        <v>27</v>
      </c>
      <c r="I1206" s="394">
        <f>+I1232</f>
        <v>403352</v>
      </c>
    </row>
    <row r="1207" spans="1:9" x14ac:dyDescent="0.3">
      <c r="A1207" s="395" t="s">
        <v>14</v>
      </c>
      <c r="B1207" s="386"/>
      <c r="C1207" s="352"/>
      <c r="D1207" s="417"/>
      <c r="E1207" s="352"/>
      <c r="F1207" s="352"/>
      <c r="G1207" s="352"/>
      <c r="H1207" s="352"/>
      <c r="I1207" s="396"/>
    </row>
    <row r="1208" spans="1:9" x14ac:dyDescent="0.3">
      <c r="A1208" s="720" t="s">
        <v>19</v>
      </c>
      <c r="B1208" s="712"/>
      <c r="C1208" s="712"/>
      <c r="D1208" s="712"/>
      <c r="E1208" s="712"/>
      <c r="F1208" s="350" t="s">
        <v>28</v>
      </c>
      <c r="G1208" s="350" t="s">
        <v>29</v>
      </c>
      <c r="H1208" s="350" t="s">
        <v>30</v>
      </c>
      <c r="I1208" s="403"/>
    </row>
    <row r="1209" spans="1:9" x14ac:dyDescent="0.3">
      <c r="A1209" s="397" t="s">
        <v>1</v>
      </c>
      <c r="B1209" s="398" t="s">
        <v>1443</v>
      </c>
      <c r="C1209" s="721" t="str">
        <f>IF($A1209="EQUI",VLOOKUP($B1209,EQUI!B$16:G$54,2,FALSE),IF($A1209="TRAN",VLOOKUP($B1209,TRAN!$B$16:$G$26,3,FALSE),IF($A1209="MAT",VLOOKUP($B1209,'MAT1'!$B$16:$G$43,3,FALSE),IF($A1209="MDEO",VLOOKUP($B1209,MDEO!$B$16:$P$33,2,FALSE)))))</f>
        <v>Concretadora 2 sacos ACPM</v>
      </c>
      <c r="D1209" s="721"/>
      <c r="E1209" s="721"/>
      <c r="F1209" s="355">
        <f>IF($A1209="EQUI",VLOOKUP($B1209,EQUI!B$16:G$54,4,FALSE),IF($A1209="TRAN",VLOOKUP($B1209,TRAN!$B$16:$G$26,3,FALSE),IF($A1209="MAT",VLOOKUP($B1209,'MAT1'!$B$16:$G$43,3,FALSE),IF($A1209="MDEO",VLOOKUP($B1209,MDEO!$B$16:$P$33,2,FALSE)))))</f>
        <v>6875</v>
      </c>
      <c r="G1209" s="352">
        <v>1</v>
      </c>
      <c r="H1209" s="404">
        <f>+G1209*F1209</f>
        <v>6875</v>
      </c>
      <c r="I1209" s="403"/>
    </row>
    <row r="1210" spans="1:9" x14ac:dyDescent="0.3">
      <c r="A1210" s="401"/>
      <c r="C1210" s="352"/>
      <c r="D1210" s="417"/>
      <c r="E1210" s="352"/>
      <c r="F1210" s="413" t="s">
        <v>32</v>
      </c>
      <c r="G1210" s="402" t="str">
        <f>+B1205</f>
        <v>aux-2</v>
      </c>
      <c r="H1210" s="402" t="s">
        <v>367</v>
      </c>
      <c r="I1210" s="396">
        <f>SUM(H1209:H1209)</f>
        <v>6875</v>
      </c>
    </row>
    <row r="1211" spans="1:9" x14ac:dyDescent="0.3">
      <c r="A1211" s="395" t="s">
        <v>34</v>
      </c>
      <c r="B1211" s="386"/>
      <c r="C1211" s="352"/>
      <c r="D1211" s="417"/>
      <c r="E1211" s="352"/>
      <c r="F1211" s="352"/>
      <c r="G1211" s="352"/>
      <c r="H1211" s="352"/>
      <c r="I1211" s="403"/>
    </row>
    <row r="1212" spans="1:9" x14ac:dyDescent="0.3">
      <c r="A1212" s="720" t="s">
        <v>35</v>
      </c>
      <c r="B1212" s="712"/>
      <c r="C1212" s="712"/>
      <c r="D1212" s="712"/>
      <c r="E1212" s="350" t="s">
        <v>12</v>
      </c>
      <c r="F1212" s="350" t="s">
        <v>36</v>
      </c>
      <c r="G1212" s="350" t="s">
        <v>37</v>
      </c>
      <c r="H1212" s="350" t="s">
        <v>38</v>
      </c>
      <c r="I1212" s="403"/>
    </row>
    <row r="1213" spans="1:9" x14ac:dyDescent="0.3">
      <c r="A1213" s="397" t="s">
        <v>523</v>
      </c>
      <c r="B1213" s="398" t="s">
        <v>137</v>
      </c>
      <c r="C1213" s="721" t="str">
        <f>IF($A1213="EQUI",VLOOKUP($B1213,EQUI!B$16:G$35,2,FALSE),IF($A1213="TRAN",VLOOKUP($B1213,TRAN!$B$16:$G$26,2,FALSE),IF($A1213="MAT1",VLOOKUP($B1213,'MAT1'!$B$16:$G$54,2,FALSE),IF($A1213="MAT2",VLOOKUP($B1213,'MAT2'!$B$16:$G$65,2,FALSE),IF($A1213="MDEO",VLOOKUP($B1213,MDEO!$B$16:$P$27,2,FALSE))))))</f>
        <v>Cemento gris</v>
      </c>
      <c r="D1213" s="721"/>
      <c r="E1213" s="355" t="str">
        <f>IF($A1213="EQUI",VLOOKUP($B1213,EQUI!B$16:G$35,3,FALSE),IF($A1213="TRAN",VLOOKUP($B1213,TRAN!$B$16:$G$26,3,FALSE),IF($A1213="MAT1",VLOOKUP($B1213,'MAT1'!$B$16:$G$54,3,FALSE),IF($A1213="MAT2",VLOOKUP($B1213,'MAT2'!$B$16:$G$55,3,FALSE),IF($A1213="MDEO",VLOOKUP($B1213,MDEO!$B$16:$P$27,3,FALSE))))))</f>
        <v>SACO</v>
      </c>
      <c r="F1213" s="392">
        <f>IF($A1213="EQUI",VLOOKUP($B1213,EQUI!B$16:G$35,4,FALSE),IF($A1213="TRAN",VLOOKUP($B1213,TRAN!$B$16:$G$26,4,FALSE),IF($A1213="MAT1",VLOOKUP($B1213,'MAT1'!$B$16:$G$54,4,FALSE),IF($A1213="MAT2",VLOOKUP($B1213,'MAT2'!$B$16:$G$53,4,FALSE),IF($A1213="MDEO",VLOOKUP($B1213,MDEO!$B$16:$P$27,4,FALSE))))))</f>
        <v>32700</v>
      </c>
      <c r="G1213" s="352">
        <f>5.6*1.1</f>
        <v>6.16</v>
      </c>
      <c r="H1213" s="404">
        <f>+F1213*G1213</f>
        <v>201432</v>
      </c>
      <c r="I1213" s="403"/>
    </row>
    <row r="1214" spans="1:9" x14ac:dyDescent="0.3">
      <c r="A1214" s="397" t="s">
        <v>523</v>
      </c>
      <c r="B1214" s="398" t="s">
        <v>136</v>
      </c>
      <c r="C1214" s="721" t="str">
        <f>IF($A1214="EQUI",VLOOKUP($B1214,EQUI!B$16:G$35,2,FALSE),IF($A1214="TRAN",VLOOKUP($B1214,TRAN!$B$16:$G$26,2,FALSE),IF($A1214="MAT1",VLOOKUP($B1214,'MAT1'!$B$16:$G$54,2,FALSE),IF($A1214="MAT2",VLOOKUP($B1214,'MAT2'!$B$16:$G$65,2,FALSE),IF($A1214="MDEO",VLOOKUP($B1214,MDEO!$B$16:$P$27,2,FALSE))))))</f>
        <v>Arena para concreto</v>
      </c>
      <c r="D1214" s="721"/>
      <c r="E1214" s="355" t="str">
        <f>IF($A1214="EQUI",VLOOKUP($B1214,EQUI!B$16:G$35,3,FALSE),IF($A1214="TRAN",VLOOKUP($B1214,TRAN!$B$16:$G$26,3,FALSE),IF($A1214="MAT1",VLOOKUP($B1214,'MAT1'!$B$16:$G$54,3,FALSE),IF($A1214="MAT2",VLOOKUP($B1214,'MAT2'!$B$16:$G$55,3,FALSE),IF($A1214="MDEO",VLOOKUP($B1214,MDEO!$B$16:$P$27,3,FALSE))))))</f>
        <v>M3</v>
      </c>
      <c r="F1214" s="355">
        <f>IF($A1214="EQUI",VLOOKUP($B1214,EQUI!B$16:G$35,4,FALSE),IF($A1214="TRAN",VLOOKUP($B1214,TRAN!$B$16:$G$26,4,FALSE),IF($A1214="MAT1",VLOOKUP($B1214,'MAT1'!$B$16:$G$54,4,FALSE),IF($A1214="MAT2",VLOOKUP($B1214,'MAT2'!$B$16:$G$53,4,FALSE),IF($A1214="MDEO",VLOOKUP($B1214,MDEO!$B$16:$P$27,4,FALSE))))))</f>
        <v>40460</v>
      </c>
      <c r="G1214" s="352">
        <f>1.2*1.1</f>
        <v>1.32</v>
      </c>
      <c r="H1214" s="404">
        <f t="shared" ref="H1214" si="10">+F1214*G1214</f>
        <v>53407.200000000004</v>
      </c>
      <c r="I1214" s="403"/>
    </row>
    <row r="1215" spans="1:9" x14ac:dyDescent="0.3">
      <c r="A1215" s="397" t="s">
        <v>522</v>
      </c>
      <c r="B1215" s="398" t="s">
        <v>134</v>
      </c>
      <c r="C1215" s="721" t="str">
        <f>IF($A1215="EQUI",VLOOKUP($B1215,EQUI!B$16:G$35,2,FALSE),IF($A1215="TRAN",VLOOKUP($B1215,TRAN!$B$16:$G$26,2,FALSE),IF($A1215="MAT1",VLOOKUP($B1215,'MAT1'!$B$16:$G$54,2,FALSE),IF($A1215="MAT2",VLOOKUP($B1215,'MAT2'!$B$16:$G$65,2,FALSE),IF($A1215="MDEO",VLOOKUP($B1215,MDEO!$B$16:$P$27,2,FALSE))))))</f>
        <v>agua</v>
      </c>
      <c r="D1215" s="721"/>
      <c r="E1215" s="355" t="str">
        <f>IF($A1215="EQUI",VLOOKUP($B1215,EQUI!B$16:G$35,3,FALSE),IF($A1215="TRAN",VLOOKUP($B1215,TRAN!$B$16:$G$26,3,FALSE),IF($A1215="MAT1",VLOOKUP($B1215,'MAT1'!$B$16:$G$54,3,FALSE),IF($A1215="MAT2",VLOOKUP($B1215,'MAT2'!$B$16:$G$55,3,FALSE),IF($A1215="MDEO",VLOOKUP($B1215,MDEO!$B$16:$P$27,3,FALSE))))))</f>
        <v>M3</v>
      </c>
      <c r="F1215" s="355">
        <f>IF($A1215="EQUI",VLOOKUP($B1215,EQUI!B$16:G$35,4,FALSE),IF($A1215="TRAN",VLOOKUP($B1215,TRAN!$B$16:$G$26,4,FALSE),IF($A1215="MAT1",VLOOKUP($B1215,'MAT1'!$B$16:$G$54,4,FALSE),IF($A1215="MAT2",VLOOKUP($B1215,'MAT2'!$B$16:$G$53,4,FALSE),IF($A1215="MDEO",VLOOKUP($B1215,MDEO!$B$16:$P$27,4,FALSE))))))</f>
        <v>2750</v>
      </c>
      <c r="G1215" s="352">
        <f>0.35*1.1</f>
        <v>0.38500000000000001</v>
      </c>
      <c r="H1215" s="404">
        <f>+F1215*G1215</f>
        <v>1058.75</v>
      </c>
      <c r="I1215" s="403"/>
    </row>
    <row r="1216" spans="1:9" x14ac:dyDescent="0.3">
      <c r="A1216" s="401"/>
      <c r="C1216" s="352"/>
      <c r="D1216" s="417"/>
      <c r="E1216" s="352"/>
      <c r="F1216" s="413" t="s">
        <v>32</v>
      </c>
      <c r="G1216" s="402" t="str">
        <f>+B1205</f>
        <v>aux-2</v>
      </c>
      <c r="H1216" s="402" t="s">
        <v>370</v>
      </c>
      <c r="I1216" s="396">
        <f>SUM(H1213:H1215)</f>
        <v>255897.95</v>
      </c>
    </row>
    <row r="1217" spans="1:9" x14ac:dyDescent="0.3">
      <c r="A1217" s="395" t="s">
        <v>15</v>
      </c>
      <c r="B1217" s="386"/>
      <c r="C1217" s="352"/>
      <c r="D1217" s="417"/>
      <c r="E1217" s="352"/>
      <c r="F1217" s="352"/>
      <c r="G1217" s="352"/>
      <c r="H1217" s="352"/>
      <c r="I1217" s="403"/>
    </row>
    <row r="1218" spans="1:9" ht="11.4" x14ac:dyDescent="0.3">
      <c r="A1218" s="720" t="s">
        <v>19</v>
      </c>
      <c r="B1218" s="712"/>
      <c r="C1218" s="712"/>
      <c r="D1218" s="355" t="s">
        <v>43</v>
      </c>
      <c r="E1218" s="428" t="s">
        <v>44</v>
      </c>
      <c r="F1218" s="355" t="s">
        <v>45</v>
      </c>
      <c r="G1218" s="350" t="s">
        <v>17</v>
      </c>
      <c r="H1218" s="350" t="s">
        <v>30</v>
      </c>
      <c r="I1218" s="403"/>
    </row>
    <row r="1219" spans="1:9" x14ac:dyDescent="0.3">
      <c r="A1219" s="405" t="s">
        <v>3</v>
      </c>
      <c r="B1219" s="398" t="s">
        <v>171</v>
      </c>
      <c r="C1219" s="417" t="str">
        <f>IF($A1219="EQUI",VLOOKUP($B1219,EQUI!B$16:G$40,2,FALSE),IF($A1219="TRAN",VLOOKUP($B1219,TRAN!$B$16:$G$37,2,FALSE),IF(A1219="MAT",VLOOKUP($B1219,'MAT1'!$B$16:$G$43,2,FALSE),IF(A1219="MDEO",VLOOKUP($B1219,MDEO!$B$16:$P$27,2,FALSE)))))</f>
        <v>trans material &gt; 10 km</v>
      </c>
      <c r="D1219" s="355">
        <f>+G1214</f>
        <v>1.32</v>
      </c>
      <c r="E1219" s="355">
        <v>55</v>
      </c>
      <c r="F1219" s="355">
        <f>+E1219*D1219</f>
        <v>72.600000000000009</v>
      </c>
      <c r="G1219" s="350">
        <f>IF($A1219="EQUI",VLOOKUP($B1219,[6]EQUI!B$16:G$46,4,FALSE),IF($A1219="TRAN",VLOOKUP($B1219,[6]TRAN!$B$16:$G$26,4,FALSE),IF($A1219="MAT",VLOOKUP($B1219,[6]MAT!$B$16:$G$83,4,FALSE),IF($A1219="MDEO",VLOOKUP($B1219,[6]MDEO!$B$16:$I$21,4,FALSE)))))</f>
        <v>980</v>
      </c>
      <c r="H1219" s="404">
        <f>+F1219*G1219</f>
        <v>71148.000000000015</v>
      </c>
      <c r="I1219" s="403"/>
    </row>
    <row r="1220" spans="1:9" x14ac:dyDescent="0.3">
      <c r="A1220" s="405" t="s">
        <v>3</v>
      </c>
      <c r="B1220" s="398" t="s">
        <v>166</v>
      </c>
      <c r="C1220" s="417" t="str">
        <f>IF($A1220="EQUI",VLOOKUP($B1220,EQUI!B$16:G$40,2,FALSE),IF($A1220="TRAN",VLOOKUP($B1220,TRAN!$B$16:$G$37,2,FALSE),IF(A1220="MAT",VLOOKUP($B1220,'MAT1'!$B$16:$G$43,2,FALSE),IF(A1220="MDEO",VLOOKUP($B1220,MDEO!$B$16:$P$27,2,FALSE)))))</f>
        <v>trans agua 0-5km</v>
      </c>
      <c r="D1220" s="355">
        <f>+G1215</f>
        <v>0.38500000000000001</v>
      </c>
      <c r="E1220" s="355">
        <v>5</v>
      </c>
      <c r="F1220" s="355">
        <f>+E1220*D1220</f>
        <v>1.925</v>
      </c>
      <c r="G1220" s="350">
        <f>IF($A1220="EQUI",VLOOKUP($B1220,[6]EQUI!B$16:G$46,4,FALSE),IF($A1220="TRAN",VLOOKUP($B1220,[6]TRAN!$B$16:$G$26,4,FALSE),IF($A1220="MAT",VLOOKUP($B1220,[6]MAT!$B$16:$G$83,4,FALSE),IF($A1220="MDEO",VLOOKUP($B1220,[6]MDEO!$B$16:$I$21,4,FALSE)))))</f>
        <v>1095</v>
      </c>
      <c r="H1220" s="404">
        <f>+F1220*G1220</f>
        <v>2107.875</v>
      </c>
      <c r="I1220" s="403"/>
    </row>
    <row r="1221" spans="1:9" x14ac:dyDescent="0.3">
      <c r="A1221" s="401"/>
      <c r="C1221" s="352"/>
      <c r="D1221" s="417"/>
      <c r="E1221" s="352"/>
      <c r="F1221" s="413" t="s">
        <v>32</v>
      </c>
      <c r="G1221" s="402" t="str">
        <f>+B1205</f>
        <v>aux-2</v>
      </c>
      <c r="H1221" s="402" t="s">
        <v>373</v>
      </c>
      <c r="I1221" s="396">
        <f>SUM(H1219:H1220)</f>
        <v>73255.875000000015</v>
      </c>
    </row>
    <row r="1222" spans="1:9" x14ac:dyDescent="0.3">
      <c r="A1222" s="395" t="s">
        <v>1107</v>
      </c>
      <c r="B1222" s="386"/>
      <c r="C1222" s="352"/>
      <c r="D1222" s="417"/>
      <c r="E1222" s="352"/>
      <c r="F1222" s="352"/>
      <c r="G1222" s="352"/>
      <c r="H1222" s="352"/>
      <c r="I1222" s="403"/>
    </row>
    <row r="1223" spans="1:9" x14ac:dyDescent="0.3">
      <c r="A1223" s="722" t="s">
        <v>18</v>
      </c>
      <c r="B1223" s="723"/>
      <c r="C1223" s="723"/>
      <c r="D1223" s="355" t="s">
        <v>48</v>
      </c>
      <c r="E1223" s="355" t="s">
        <v>109</v>
      </c>
      <c r="F1223" s="380" t="s">
        <v>250</v>
      </c>
      <c r="G1223" s="380" t="s">
        <v>251</v>
      </c>
      <c r="H1223" s="355" t="s">
        <v>252</v>
      </c>
      <c r="I1223" s="407"/>
    </row>
    <row r="1224" spans="1:9" x14ac:dyDescent="0.3">
      <c r="A1224" s="405" t="s">
        <v>4</v>
      </c>
      <c r="B1224" s="408" t="s">
        <v>176</v>
      </c>
      <c r="C1224" s="409" t="str">
        <f>IF($A1224="EQUI",VLOOKUP($B1224,EQUI!B$16:G$37,2,FALSE),IF($A1224="TRAN",VLOOKUP($B1224,TRAN!$B$16:$G$26,2,FALSE),IF($A1224="MAT",VLOOKUP($B1224,'MAT1'!$B$16:$G$43,2,FALSE),IF($A1224="MDEO",VLOOKUP($B1224,MDEO!$B$16:$P$27,2,FALSE)))))</f>
        <v xml:space="preserve">ayudante entendido </v>
      </c>
      <c r="D1224" s="449">
        <f>IF($A1224="EQUI",VLOOKUP($B1224,EQUI!B$16:G$35,3,FALSE),IF($A1224="TRAN",VLOOKUP($B1224,TRAN!$B$16:$G$26,3,FALSE),IF($A1224="MAT",VLOOKUP($B1224,'MAT1'!$B$16:$G$43,3,FALSE),IF($A1224="MDEO",VLOOKUP($B1224,MDEO!$B$16:$P$33,10,FALSE)))))</f>
        <v>11136.644836388892</v>
      </c>
      <c r="E1224" s="410"/>
      <c r="F1224" s="438">
        <f>+D1224+D1224*E1224</f>
        <v>11136.644836388892</v>
      </c>
      <c r="G1224" s="412">
        <v>1</v>
      </c>
      <c r="H1224" s="411">
        <f>G1224*F1224</f>
        <v>11136.644836388892</v>
      </c>
      <c r="I1224" s="403"/>
    </row>
    <row r="1225" spans="1:9" x14ac:dyDescent="0.3">
      <c r="A1225" s="405" t="s">
        <v>4</v>
      </c>
      <c r="B1225" s="408" t="s">
        <v>177</v>
      </c>
      <c r="C1225" s="409" t="str">
        <f>IF($A1225="EQUI",VLOOKUP($B1225,EQUI!B$16:G$37,2,FALSE),IF($A1225="TRAN",VLOOKUP($B1225,TRAN!$B$16:$G$26,2,FALSE),IF($A1225="MAT",VLOOKUP($B1225,'MAT1'!$B$16:$G$43,2,FALSE),IF($A1225="MDEO",VLOOKUP($B1225,MDEO!$B$16:$P$34,2,FALSE)))))</f>
        <v xml:space="preserve">ayudante </v>
      </c>
      <c r="D1225" s="449">
        <f>IF($A1225="EQUI",VLOOKUP($B1225,EQUI!B$16:G$35,3,FALSE),IF($A1225="TRAN",VLOOKUP($B1225,TRAN!$B$16:$G$26,3,FALSE),IF($A1225="MAT",VLOOKUP($B1225,'MAT1'!$B$16:$G$43,3,FALSE),IF($A1225="MDEO",VLOOKUP($B1225,MDEO!$B$16:$P$33,10,FALSE)))))</f>
        <v>10336.644836388892</v>
      </c>
      <c r="E1225" s="410"/>
      <c r="F1225" s="438">
        <f>+D1225+D1225*E1225</f>
        <v>10336.644836388892</v>
      </c>
      <c r="G1225" s="412">
        <f>5*G1224</f>
        <v>5</v>
      </c>
      <c r="H1225" s="411">
        <f>G1225*F1225</f>
        <v>51683.224181944461</v>
      </c>
      <c r="I1225" s="403"/>
    </row>
    <row r="1226" spans="1:9" x14ac:dyDescent="0.3">
      <c r="A1226" s="405" t="s">
        <v>4</v>
      </c>
      <c r="B1226" s="408" t="s">
        <v>178</v>
      </c>
      <c r="C1226" s="409" t="str">
        <f>IF($A1226="EQUI",VLOOKUP($B1226,EQUI!B$16:G$37,2,FALSE),IF($A1226="TRAN",VLOOKUP($B1226,TRAN!$B$16:$G$26,2,FALSE),IF($A1226="MAT",VLOOKUP($B1226,'MAT1'!$B$16:$G$43,2,FALSE),IF($A1226="MDEO",VLOOKUP($B1226,MDEO!$B$16:$P$34,2,FALSE)))))</f>
        <v>contra maestro</v>
      </c>
      <c r="D1226" s="449">
        <f>IF($A1226="EQUI",VLOOKUP($B1226,EQUI!B$16:G$35,3,FALSE),IF($A1226="TRAN",VLOOKUP($B1226,TRAN!$B$16:$G$26,3,FALSE),IF($A1226="MAT",VLOOKUP($B1226,'MAT1'!$B$16:$G$43,3,FALSE),IF($A1226="MDEO",VLOOKUP($B1226,MDEO!$B$16:$P$33,10,FALSE)))))</f>
        <v>12974.601086388891</v>
      </c>
      <c r="E1226" s="410"/>
      <c r="F1226" s="438">
        <f>+D1226+D1226*E1226</f>
        <v>12974.601086388891</v>
      </c>
      <c r="G1226" s="412">
        <f>G1224*0.1</f>
        <v>0.1</v>
      </c>
      <c r="H1226" s="411">
        <f>G1226*F1226</f>
        <v>1297.4601086388893</v>
      </c>
      <c r="I1226" s="403"/>
    </row>
    <row r="1227" spans="1:9" x14ac:dyDescent="0.3">
      <c r="A1227" s="405"/>
      <c r="B1227" s="408"/>
      <c r="C1227" s="409"/>
      <c r="D1227" s="449"/>
      <c r="E1227" s="410"/>
      <c r="F1227" s="438"/>
      <c r="G1227" s="412"/>
      <c r="H1227" s="411"/>
      <c r="I1227" s="403"/>
    </row>
    <row r="1228" spans="1:9" x14ac:dyDescent="0.3">
      <c r="A1228" s="405"/>
      <c r="B1228" s="408"/>
      <c r="C1228" s="409"/>
      <c r="D1228" s="449"/>
      <c r="E1228" s="410"/>
      <c r="F1228" s="438"/>
      <c r="G1228" s="412"/>
      <c r="H1228" s="411"/>
      <c r="I1228" s="403"/>
    </row>
    <row r="1229" spans="1:9" x14ac:dyDescent="0.3">
      <c r="A1229" s="720"/>
      <c r="B1229" s="712"/>
      <c r="C1229" s="352"/>
      <c r="D1229" s="417"/>
      <c r="E1229" s="352"/>
      <c r="F1229" s="352"/>
      <c r="G1229" s="352"/>
      <c r="H1229" s="352"/>
      <c r="I1229" s="403"/>
    </row>
    <row r="1230" spans="1:9" x14ac:dyDescent="0.3">
      <c r="A1230" s="401"/>
      <c r="C1230" s="352"/>
      <c r="D1230" s="417"/>
      <c r="E1230" s="352"/>
      <c r="F1230" s="413" t="s">
        <v>32</v>
      </c>
      <c r="G1230" s="402" t="str">
        <f>+B1205</f>
        <v>aux-2</v>
      </c>
      <c r="H1230" s="413" t="s">
        <v>376</v>
      </c>
      <c r="I1230" s="396">
        <f>SUM(H1224:H1229)</f>
        <v>64117.329126972239</v>
      </c>
    </row>
    <row r="1231" spans="1:9" x14ac:dyDescent="0.3">
      <c r="A1231" s="401" t="s">
        <v>54</v>
      </c>
      <c r="C1231" s="352"/>
      <c r="D1231" s="417"/>
      <c r="E1231" s="352"/>
      <c r="F1231" s="352"/>
      <c r="G1231" s="352"/>
      <c r="H1231" s="350"/>
      <c r="I1231" s="396">
        <f>I1230*0.05</f>
        <v>3205.8664563486122</v>
      </c>
    </row>
    <row r="1232" spans="1:9" x14ac:dyDescent="0.3">
      <c r="A1232" s="401"/>
      <c r="C1232" s="352"/>
      <c r="D1232" s="417"/>
      <c r="E1232" s="352"/>
      <c r="F1232" s="413" t="s">
        <v>55</v>
      </c>
      <c r="G1232" s="350"/>
      <c r="H1232" s="350"/>
      <c r="I1232" s="396">
        <f>ROUND(I1230+I1231+I1216+I1210+I1221,0)</f>
        <v>403352</v>
      </c>
    </row>
    <row r="1233" spans="1:9" x14ac:dyDescent="0.3">
      <c r="A1233" s="414"/>
      <c r="B1233" s="415"/>
      <c r="C1233" s="415"/>
      <c r="D1233" s="450"/>
      <c r="E1233" s="415"/>
      <c r="F1233" s="415"/>
      <c r="G1233" s="415"/>
      <c r="H1233" s="415"/>
      <c r="I1233" s="396"/>
    </row>
    <row r="1234" spans="1:9" x14ac:dyDescent="0.3">
      <c r="A1234" s="724" t="s">
        <v>114</v>
      </c>
      <c r="B1234" s="710"/>
      <c r="C1234" s="710"/>
      <c r="D1234" s="450"/>
      <c r="E1234" s="415"/>
      <c r="F1234" s="710" t="s">
        <v>396</v>
      </c>
      <c r="G1234" s="710"/>
      <c r="H1234" s="710"/>
      <c r="I1234" s="711"/>
    </row>
    <row r="1235" spans="1:9" x14ac:dyDescent="0.3">
      <c r="A1235" s="397" t="s">
        <v>111</v>
      </c>
      <c r="B1235" s="712"/>
      <c r="C1235" s="712"/>
      <c r="D1235" s="417"/>
      <c r="E1235" s="352"/>
      <c r="F1235" s="350" t="s">
        <v>111</v>
      </c>
      <c r="G1235" s="712"/>
      <c r="H1235" s="712"/>
      <c r="I1235" s="713"/>
    </row>
    <row r="1236" spans="1:9" x14ac:dyDescent="0.3">
      <c r="A1236" s="439" t="s">
        <v>115</v>
      </c>
      <c r="B1236" s="710" t="s">
        <v>1551</v>
      </c>
      <c r="C1236" s="710"/>
      <c r="F1236" s="432" t="s">
        <v>112</v>
      </c>
      <c r="G1236" s="712"/>
      <c r="H1236" s="712"/>
      <c r="I1236" s="713"/>
    </row>
    <row r="1237" spans="1:9" x14ac:dyDescent="0.3">
      <c r="A1237" s="439" t="s">
        <v>113</v>
      </c>
      <c r="B1237" s="710" t="s">
        <v>1554</v>
      </c>
      <c r="C1237" s="710"/>
      <c r="F1237" s="432" t="s">
        <v>113</v>
      </c>
      <c r="G1237" s="712"/>
      <c r="H1237" s="712"/>
      <c r="I1237" s="713"/>
    </row>
    <row r="1238" spans="1:9" x14ac:dyDescent="0.3">
      <c r="A1238" s="439"/>
      <c r="B1238" s="350"/>
      <c r="C1238" s="350"/>
      <c r="F1238" s="432"/>
      <c r="G1238" s="350"/>
      <c r="H1238" s="350"/>
      <c r="I1238" s="416"/>
    </row>
    <row r="1239" spans="1:9" x14ac:dyDescent="0.3">
      <c r="A1239" s="714" t="s">
        <v>110</v>
      </c>
      <c r="B1239" s="715"/>
      <c r="C1239" s="715"/>
      <c r="D1239" s="715"/>
      <c r="E1239" s="715"/>
      <c r="F1239" s="715"/>
      <c r="G1239" s="715"/>
      <c r="H1239" s="715"/>
      <c r="I1239" s="716"/>
    </row>
    <row r="1240" spans="1:9" ht="48.6" customHeight="1" x14ac:dyDescent="0.3">
      <c r="A1240" s="717"/>
      <c r="B1240" s="718"/>
      <c r="C1240" s="718"/>
      <c r="D1240" s="718"/>
      <c r="E1240" s="718"/>
      <c r="F1240" s="718"/>
      <c r="G1240" s="718"/>
      <c r="H1240" s="718"/>
      <c r="I1240" s="719"/>
    </row>
  </sheetData>
  <mergeCells count="767">
    <mergeCell ref="B872:C872"/>
    <mergeCell ref="G872:I872"/>
    <mergeCell ref="A874:I874"/>
    <mergeCell ref="A875:I876"/>
    <mergeCell ref="A815:I815"/>
    <mergeCell ref="C816:C817"/>
    <mergeCell ref="D816:I816"/>
    <mergeCell ref="A819:E819"/>
    <mergeCell ref="C820:E820"/>
    <mergeCell ref="A823:D823"/>
    <mergeCell ref="C824:D824"/>
    <mergeCell ref="C825:D825"/>
    <mergeCell ref="A828:C828"/>
    <mergeCell ref="A832:C832"/>
    <mergeCell ref="A839:C839"/>
    <mergeCell ref="F839:I839"/>
    <mergeCell ref="B840:C840"/>
    <mergeCell ref="G840:I840"/>
    <mergeCell ref="C851:E851"/>
    <mergeCell ref="A854:D854"/>
    <mergeCell ref="B841:C841"/>
    <mergeCell ref="G841:I841"/>
    <mergeCell ref="B842:C842"/>
    <mergeCell ref="G842:I842"/>
    <mergeCell ref="A844:I844"/>
    <mergeCell ref="A845:I846"/>
    <mergeCell ref="B870:C870"/>
    <mergeCell ref="G870:I870"/>
    <mergeCell ref="B871:C871"/>
    <mergeCell ref="G871:I871"/>
    <mergeCell ref="E2:I2"/>
    <mergeCell ref="A15:I15"/>
    <mergeCell ref="A29:C29"/>
    <mergeCell ref="I29:I30"/>
    <mergeCell ref="A33:C33"/>
    <mergeCell ref="A48:I49"/>
    <mergeCell ref="A19:E19"/>
    <mergeCell ref="I19:I20"/>
    <mergeCell ref="C20:E20"/>
    <mergeCell ref="A23:D23"/>
    <mergeCell ref="I23:I26"/>
    <mergeCell ref="C24:D24"/>
    <mergeCell ref="C25:D25"/>
    <mergeCell ref="C26:D26"/>
    <mergeCell ref="A42:C42"/>
    <mergeCell ref="F42:I42"/>
    <mergeCell ref="B43:C43"/>
    <mergeCell ref="G43:I43"/>
    <mergeCell ref="C1:I1"/>
    <mergeCell ref="A2:B5"/>
    <mergeCell ref="C2:C3"/>
    <mergeCell ref="A13:B13"/>
    <mergeCell ref="D13:I13"/>
    <mergeCell ref="A14:B14"/>
    <mergeCell ref="C14:I14"/>
    <mergeCell ref="C16:C17"/>
    <mergeCell ref="D16:I16"/>
    <mergeCell ref="A10:B10"/>
    <mergeCell ref="D10:I10"/>
    <mergeCell ref="A11:B11"/>
    <mergeCell ref="D11:I11"/>
    <mergeCell ref="A12:B12"/>
    <mergeCell ref="D12:I12"/>
    <mergeCell ref="A7:B7"/>
    <mergeCell ref="D7:F7"/>
    <mergeCell ref="G7:I7"/>
    <mergeCell ref="A9:B9"/>
    <mergeCell ref="D9:F9"/>
    <mergeCell ref="G9:I9"/>
    <mergeCell ref="E5:I5"/>
    <mergeCell ref="E4:I4"/>
    <mergeCell ref="E3:I3"/>
    <mergeCell ref="C51:C52"/>
    <mergeCell ref="D51:I51"/>
    <mergeCell ref="A54:E54"/>
    <mergeCell ref="I54:I56"/>
    <mergeCell ref="C55:E55"/>
    <mergeCell ref="C56:E56"/>
    <mergeCell ref="A50:I50"/>
    <mergeCell ref="B44:C44"/>
    <mergeCell ref="G44:I44"/>
    <mergeCell ref="B45:C45"/>
    <mergeCell ref="G45:I45"/>
    <mergeCell ref="A47:I47"/>
    <mergeCell ref="B78:C78"/>
    <mergeCell ref="G78:I78"/>
    <mergeCell ref="B76:C76"/>
    <mergeCell ref="G76:I76"/>
    <mergeCell ref="B77:C77"/>
    <mergeCell ref="G77:I77"/>
    <mergeCell ref="A75:C75"/>
    <mergeCell ref="F75:I75"/>
    <mergeCell ref="A59:D59"/>
    <mergeCell ref="I59:I60"/>
    <mergeCell ref="C60:D60"/>
    <mergeCell ref="A63:C63"/>
    <mergeCell ref="I63:I64"/>
    <mergeCell ref="A67:C67"/>
    <mergeCell ref="A80:I80"/>
    <mergeCell ref="A81:I82"/>
    <mergeCell ref="A83:I83"/>
    <mergeCell ref="C84:C85"/>
    <mergeCell ref="D84:I84"/>
    <mergeCell ref="A87:E87"/>
    <mergeCell ref="B112:C112"/>
    <mergeCell ref="G112:I112"/>
    <mergeCell ref="A109:C109"/>
    <mergeCell ref="F109:I109"/>
    <mergeCell ref="B110:C110"/>
    <mergeCell ref="G110:I110"/>
    <mergeCell ref="B111:C111"/>
    <mergeCell ref="G111:I111"/>
    <mergeCell ref="A104:B104"/>
    <mergeCell ref="C88:E88"/>
    <mergeCell ref="C89:E89"/>
    <mergeCell ref="A92:D92"/>
    <mergeCell ref="C93:D93"/>
    <mergeCell ref="A96:C96"/>
    <mergeCell ref="A100:C100"/>
    <mergeCell ref="A126:D126"/>
    <mergeCell ref="C127:D127"/>
    <mergeCell ref="A130:C130"/>
    <mergeCell ref="A134:C134"/>
    <mergeCell ref="C123:E123"/>
    <mergeCell ref="A137:B137"/>
    <mergeCell ref="A114:I114"/>
    <mergeCell ref="A115:I116"/>
    <mergeCell ref="A118:I118"/>
    <mergeCell ref="C119:C120"/>
    <mergeCell ref="D119:I119"/>
    <mergeCell ref="A122:E122"/>
    <mergeCell ref="A146:I146"/>
    <mergeCell ref="A147:I148"/>
    <mergeCell ref="A141:C141"/>
    <mergeCell ref="F141:I141"/>
    <mergeCell ref="A149:I149"/>
    <mergeCell ref="C150:C151"/>
    <mergeCell ref="D150:I150"/>
    <mergeCell ref="A153:E153"/>
    <mergeCell ref="B142:C142"/>
    <mergeCell ref="G142:I142"/>
    <mergeCell ref="B143:C143"/>
    <mergeCell ref="G143:I143"/>
    <mergeCell ref="B144:C144"/>
    <mergeCell ref="G144:I144"/>
    <mergeCell ref="A173:C173"/>
    <mergeCell ref="F173:I173"/>
    <mergeCell ref="C154:E154"/>
    <mergeCell ref="A157:D157"/>
    <mergeCell ref="C158:D158"/>
    <mergeCell ref="A161:C161"/>
    <mergeCell ref="A165:C165"/>
    <mergeCell ref="A169:B169"/>
    <mergeCell ref="C186:E186"/>
    <mergeCell ref="B174:C174"/>
    <mergeCell ref="G174:I174"/>
    <mergeCell ref="B175:C175"/>
    <mergeCell ref="G175:I175"/>
    <mergeCell ref="B176:C176"/>
    <mergeCell ref="G176:I176"/>
    <mergeCell ref="A189:D189"/>
    <mergeCell ref="C190:D190"/>
    <mergeCell ref="A194:C194"/>
    <mergeCell ref="A198:C198"/>
    <mergeCell ref="A203:B203"/>
    <mergeCell ref="A178:I178"/>
    <mergeCell ref="A179:I180"/>
    <mergeCell ref="A181:I181"/>
    <mergeCell ref="C182:C183"/>
    <mergeCell ref="D182:I182"/>
    <mergeCell ref="A185:E185"/>
    <mergeCell ref="C191:D191"/>
    <mergeCell ref="B209:C209"/>
    <mergeCell ref="G209:I209"/>
    <mergeCell ref="B210:C210"/>
    <mergeCell ref="G210:I210"/>
    <mergeCell ref="B211:C211"/>
    <mergeCell ref="G211:I211"/>
    <mergeCell ref="A208:C208"/>
    <mergeCell ref="F208:I208"/>
    <mergeCell ref="A239:B239"/>
    <mergeCell ref="C221:E221"/>
    <mergeCell ref="A224:D224"/>
    <mergeCell ref="C225:D225"/>
    <mergeCell ref="C226:D226"/>
    <mergeCell ref="A230:C230"/>
    <mergeCell ref="A234:C234"/>
    <mergeCell ref="A213:I213"/>
    <mergeCell ref="A214:I215"/>
    <mergeCell ref="A216:I216"/>
    <mergeCell ref="C217:C218"/>
    <mergeCell ref="D217:I217"/>
    <mergeCell ref="A220:E220"/>
    <mergeCell ref="C227:D227"/>
    <mergeCell ref="A244:C244"/>
    <mergeCell ref="F244:I244"/>
    <mergeCell ref="A278:C278"/>
    <mergeCell ref="F278:I278"/>
    <mergeCell ref="C257:E257"/>
    <mergeCell ref="A260:D260"/>
    <mergeCell ref="C261:D261"/>
    <mergeCell ref="A265:C265"/>
    <mergeCell ref="A269:C269"/>
    <mergeCell ref="A273:B273"/>
    <mergeCell ref="A249:I249"/>
    <mergeCell ref="A250:I251"/>
    <mergeCell ref="A252:I252"/>
    <mergeCell ref="C253:C254"/>
    <mergeCell ref="D253:I253"/>
    <mergeCell ref="A256:E256"/>
    <mergeCell ref="B245:C245"/>
    <mergeCell ref="G245:I245"/>
    <mergeCell ref="B246:C246"/>
    <mergeCell ref="G246:I246"/>
    <mergeCell ref="B247:C247"/>
    <mergeCell ref="G247:I247"/>
    <mergeCell ref="C262:D262"/>
    <mergeCell ref="B279:C279"/>
    <mergeCell ref="G279:I279"/>
    <mergeCell ref="B280:C280"/>
    <mergeCell ref="G280:I280"/>
    <mergeCell ref="B281:C281"/>
    <mergeCell ref="G281:I281"/>
    <mergeCell ref="B313:C313"/>
    <mergeCell ref="G313:I313"/>
    <mergeCell ref="B314:C314"/>
    <mergeCell ref="G314:I314"/>
    <mergeCell ref="C291:E291"/>
    <mergeCell ref="A294:D294"/>
    <mergeCell ref="C295:D295"/>
    <mergeCell ref="A298:C298"/>
    <mergeCell ref="A302:C302"/>
    <mergeCell ref="A307:B307"/>
    <mergeCell ref="A283:I283"/>
    <mergeCell ref="A284:I285"/>
    <mergeCell ref="A286:I286"/>
    <mergeCell ref="C287:C288"/>
    <mergeCell ref="D287:I287"/>
    <mergeCell ref="A290:E290"/>
    <mergeCell ref="A346:C346"/>
    <mergeCell ref="F346:I346"/>
    <mergeCell ref="B347:C347"/>
    <mergeCell ref="G347:I347"/>
    <mergeCell ref="B315:C315"/>
    <mergeCell ref="G315:I315"/>
    <mergeCell ref="A312:C312"/>
    <mergeCell ref="F312:I312"/>
    <mergeCell ref="C326:E326"/>
    <mergeCell ref="A329:D329"/>
    <mergeCell ref="C330:D330"/>
    <mergeCell ref="A333:C333"/>
    <mergeCell ref="A337:C337"/>
    <mergeCell ref="A317:I317"/>
    <mergeCell ref="A318:I319"/>
    <mergeCell ref="A321:I321"/>
    <mergeCell ref="C322:C323"/>
    <mergeCell ref="D322:I322"/>
    <mergeCell ref="A325:E325"/>
    <mergeCell ref="A354:I354"/>
    <mergeCell ref="C355:C356"/>
    <mergeCell ref="D355:I355"/>
    <mergeCell ref="A358:E358"/>
    <mergeCell ref="C359:E359"/>
    <mergeCell ref="A362:D362"/>
    <mergeCell ref="B348:C348"/>
    <mergeCell ref="G348:I348"/>
    <mergeCell ref="B349:C349"/>
    <mergeCell ref="G349:I349"/>
    <mergeCell ref="A351:I351"/>
    <mergeCell ref="A352:I353"/>
    <mergeCell ref="B380:C380"/>
    <mergeCell ref="G380:I380"/>
    <mergeCell ref="B381:C381"/>
    <mergeCell ref="G381:I381"/>
    <mergeCell ref="A383:I383"/>
    <mergeCell ref="A384:I385"/>
    <mergeCell ref="C363:D363"/>
    <mergeCell ref="A366:C366"/>
    <mergeCell ref="A370:C370"/>
    <mergeCell ref="A437:C437"/>
    <mergeCell ref="A421:I421"/>
    <mergeCell ref="C422:C423"/>
    <mergeCell ref="D422:I422"/>
    <mergeCell ref="A425:E425"/>
    <mergeCell ref="C426:D426"/>
    <mergeCell ref="C427:D427"/>
    <mergeCell ref="A378:C378"/>
    <mergeCell ref="F378:I378"/>
    <mergeCell ref="B379:C379"/>
    <mergeCell ref="G379:I379"/>
    <mergeCell ref="A412:C412"/>
    <mergeCell ref="F412:I412"/>
    <mergeCell ref="B413:C413"/>
    <mergeCell ref="G413:I413"/>
    <mergeCell ref="C396:D396"/>
    <mergeCell ref="A399:C399"/>
    <mergeCell ref="A403:C403"/>
    <mergeCell ref="A387:I387"/>
    <mergeCell ref="C388:C389"/>
    <mergeCell ref="D388:I388"/>
    <mergeCell ref="A391:E391"/>
    <mergeCell ref="C392:E392"/>
    <mergeCell ref="A395:D395"/>
    <mergeCell ref="B452:C452"/>
    <mergeCell ref="G452:I452"/>
    <mergeCell ref="A449:C449"/>
    <mergeCell ref="F449:I449"/>
    <mergeCell ref="A466:D466"/>
    <mergeCell ref="C467:D467"/>
    <mergeCell ref="A470:C470"/>
    <mergeCell ref="A474:C474"/>
    <mergeCell ref="B414:C414"/>
    <mergeCell ref="G414:I414"/>
    <mergeCell ref="B415:C415"/>
    <mergeCell ref="G415:I415"/>
    <mergeCell ref="A417:I417"/>
    <mergeCell ref="A418:I419"/>
    <mergeCell ref="B450:C450"/>
    <mergeCell ref="G450:I450"/>
    <mergeCell ref="B451:C451"/>
    <mergeCell ref="G451:I451"/>
    <mergeCell ref="A441:C441"/>
    <mergeCell ref="A430:D430"/>
    <mergeCell ref="C431:D431"/>
    <mergeCell ref="C432:D432"/>
    <mergeCell ref="C433:D433"/>
    <mergeCell ref="C434:D434"/>
    <mergeCell ref="A479:B479"/>
    <mergeCell ref="A454:I454"/>
    <mergeCell ref="A455:I456"/>
    <mergeCell ref="A458:I458"/>
    <mergeCell ref="C459:C460"/>
    <mergeCell ref="D459:I459"/>
    <mergeCell ref="A462:E462"/>
    <mergeCell ref="A489:I489"/>
    <mergeCell ref="A490:I491"/>
    <mergeCell ref="A484:C484"/>
    <mergeCell ref="F484:I484"/>
    <mergeCell ref="C463:D463"/>
    <mergeCell ref="A492:I492"/>
    <mergeCell ref="C493:C494"/>
    <mergeCell ref="D493:I493"/>
    <mergeCell ref="A496:E496"/>
    <mergeCell ref="B485:C485"/>
    <mergeCell ref="G485:I485"/>
    <mergeCell ref="B486:C486"/>
    <mergeCell ref="G486:I486"/>
    <mergeCell ref="B487:C487"/>
    <mergeCell ref="G487:I487"/>
    <mergeCell ref="C497:D497"/>
    <mergeCell ref="A500:D500"/>
    <mergeCell ref="C501:D501"/>
    <mergeCell ref="A504:C504"/>
    <mergeCell ref="A508:C508"/>
    <mergeCell ref="A512:B512"/>
    <mergeCell ref="A521:I521"/>
    <mergeCell ref="A522:I523"/>
    <mergeCell ref="A525:I525"/>
    <mergeCell ref="A516:C516"/>
    <mergeCell ref="F516:I516"/>
    <mergeCell ref="A553:C553"/>
    <mergeCell ref="F553:I553"/>
    <mergeCell ref="C534:D534"/>
    <mergeCell ref="C535:D535"/>
    <mergeCell ref="C536:D536"/>
    <mergeCell ref="C537:D537"/>
    <mergeCell ref="A540:C540"/>
    <mergeCell ref="A544:C544"/>
    <mergeCell ref="B554:C554"/>
    <mergeCell ref="G554:I554"/>
    <mergeCell ref="C526:C527"/>
    <mergeCell ref="A529:E529"/>
    <mergeCell ref="A533:D533"/>
    <mergeCell ref="B517:C517"/>
    <mergeCell ref="G517:I517"/>
    <mergeCell ref="B518:C518"/>
    <mergeCell ref="G518:I518"/>
    <mergeCell ref="B519:C519"/>
    <mergeCell ref="G519:I519"/>
    <mergeCell ref="D526:I526"/>
    <mergeCell ref="C530:D530"/>
    <mergeCell ref="C567:E567"/>
    <mergeCell ref="A570:D570"/>
    <mergeCell ref="C571:D571"/>
    <mergeCell ref="A574:C574"/>
    <mergeCell ref="A558:I558"/>
    <mergeCell ref="A559:I560"/>
    <mergeCell ref="A561:I561"/>
    <mergeCell ref="C562:C563"/>
    <mergeCell ref="D562:I562"/>
    <mergeCell ref="A565:E565"/>
    <mergeCell ref="B555:C555"/>
    <mergeCell ref="G555:I555"/>
    <mergeCell ref="B556:C556"/>
    <mergeCell ref="G556:I556"/>
    <mergeCell ref="A586:C586"/>
    <mergeCell ref="F586:I586"/>
    <mergeCell ref="A578:C578"/>
    <mergeCell ref="A581:B581"/>
    <mergeCell ref="A616:B616"/>
    <mergeCell ref="C599:E599"/>
    <mergeCell ref="A602:D602"/>
    <mergeCell ref="C603:D603"/>
    <mergeCell ref="C604:D604"/>
    <mergeCell ref="A607:C607"/>
    <mergeCell ref="A611:C611"/>
    <mergeCell ref="A591:I591"/>
    <mergeCell ref="A592:I593"/>
    <mergeCell ref="A594:I594"/>
    <mergeCell ref="C595:C596"/>
    <mergeCell ref="D595:I595"/>
    <mergeCell ref="A598:E598"/>
    <mergeCell ref="B587:C587"/>
    <mergeCell ref="G587:I587"/>
    <mergeCell ref="B588:C588"/>
    <mergeCell ref="G588:I588"/>
    <mergeCell ref="B589:C589"/>
    <mergeCell ref="G589:I589"/>
    <mergeCell ref="G621:I621"/>
    <mergeCell ref="B622:C622"/>
    <mergeCell ref="G622:I622"/>
    <mergeCell ref="B623:C623"/>
    <mergeCell ref="G623:I623"/>
    <mergeCell ref="A620:C620"/>
    <mergeCell ref="F620:I620"/>
    <mergeCell ref="A650:C650"/>
    <mergeCell ref="A653:B653"/>
    <mergeCell ref="C634:E634"/>
    <mergeCell ref="C635:E635"/>
    <mergeCell ref="A638:D638"/>
    <mergeCell ref="C639:D639"/>
    <mergeCell ref="B621:C621"/>
    <mergeCell ref="A658:C658"/>
    <mergeCell ref="F658:I658"/>
    <mergeCell ref="C640:D640"/>
    <mergeCell ref="A625:I625"/>
    <mergeCell ref="A626:I627"/>
    <mergeCell ref="A628:I628"/>
    <mergeCell ref="C629:C630"/>
    <mergeCell ref="D629:I629"/>
    <mergeCell ref="A632:E632"/>
    <mergeCell ref="C641:D641"/>
    <mergeCell ref="A644:C644"/>
    <mergeCell ref="B659:C659"/>
    <mergeCell ref="G659:I659"/>
    <mergeCell ref="A687:C687"/>
    <mergeCell ref="C673:E673"/>
    <mergeCell ref="A676:D676"/>
    <mergeCell ref="C677:D677"/>
    <mergeCell ref="C678:D678"/>
    <mergeCell ref="C679:D679"/>
    <mergeCell ref="A682:C682"/>
    <mergeCell ref="A666:I666"/>
    <mergeCell ref="C667:C668"/>
    <mergeCell ref="D667:I667"/>
    <mergeCell ref="A670:E670"/>
    <mergeCell ref="C671:E671"/>
    <mergeCell ref="C672:E672"/>
    <mergeCell ref="B660:C660"/>
    <mergeCell ref="G660:I660"/>
    <mergeCell ref="B661:C661"/>
    <mergeCell ref="G661:I661"/>
    <mergeCell ref="A663:I663"/>
    <mergeCell ref="A664:I665"/>
    <mergeCell ref="B696:C696"/>
    <mergeCell ref="G696:I696"/>
    <mergeCell ref="B697:C697"/>
    <mergeCell ref="G697:I697"/>
    <mergeCell ref="B698:C698"/>
    <mergeCell ref="G698:I698"/>
    <mergeCell ref="A695:C695"/>
    <mergeCell ref="F695:I695"/>
    <mergeCell ref="A700:I700"/>
    <mergeCell ref="A701:I702"/>
    <mergeCell ref="A703:I703"/>
    <mergeCell ref="C704:C705"/>
    <mergeCell ref="D704:I704"/>
    <mergeCell ref="A707:E707"/>
    <mergeCell ref="A715:D715"/>
    <mergeCell ref="C716:D716"/>
    <mergeCell ref="C717:D717"/>
    <mergeCell ref="C708:E708"/>
    <mergeCell ref="C709:E709"/>
    <mergeCell ref="C710:E710"/>
    <mergeCell ref="C711:E711"/>
    <mergeCell ref="C712:E712"/>
    <mergeCell ref="A733:C733"/>
    <mergeCell ref="F733:I733"/>
    <mergeCell ref="A720:C720"/>
    <mergeCell ref="A724:C724"/>
    <mergeCell ref="A764:B764"/>
    <mergeCell ref="C746:E746"/>
    <mergeCell ref="A749:D749"/>
    <mergeCell ref="C750:D750"/>
    <mergeCell ref="C751:D751"/>
    <mergeCell ref="A754:C754"/>
    <mergeCell ref="A760:C760"/>
    <mergeCell ref="A738:I738"/>
    <mergeCell ref="A739:I740"/>
    <mergeCell ref="A741:I741"/>
    <mergeCell ref="C742:C743"/>
    <mergeCell ref="D742:I742"/>
    <mergeCell ref="A745:E745"/>
    <mergeCell ref="B734:C734"/>
    <mergeCell ref="G734:I734"/>
    <mergeCell ref="B735:C735"/>
    <mergeCell ref="G735:I735"/>
    <mergeCell ref="B736:C736"/>
    <mergeCell ref="G736:I736"/>
    <mergeCell ref="B776:C776"/>
    <mergeCell ref="G776:I776"/>
    <mergeCell ref="B777:C777"/>
    <mergeCell ref="G777:I777"/>
    <mergeCell ref="B778:C778"/>
    <mergeCell ref="G778:I778"/>
    <mergeCell ref="A775:C775"/>
    <mergeCell ref="F775:I775"/>
    <mergeCell ref="C889:D889"/>
    <mergeCell ref="A791:D791"/>
    <mergeCell ref="C792:D792"/>
    <mergeCell ref="A797:C797"/>
    <mergeCell ref="A801:C801"/>
    <mergeCell ref="A807:C807"/>
    <mergeCell ref="F807:I807"/>
    <mergeCell ref="B808:C808"/>
    <mergeCell ref="G808:I808"/>
    <mergeCell ref="B809:C809"/>
    <mergeCell ref="G809:I809"/>
    <mergeCell ref="B810:C810"/>
    <mergeCell ref="G810:I810"/>
    <mergeCell ref="C855:D855"/>
    <mergeCell ref="D847:I847"/>
    <mergeCell ref="A850:E850"/>
    <mergeCell ref="A892:C892"/>
    <mergeCell ref="A896:C896"/>
    <mergeCell ref="C883:E883"/>
    <mergeCell ref="C884:E884"/>
    <mergeCell ref="A887:D887"/>
    <mergeCell ref="C888:D888"/>
    <mergeCell ref="A780:I780"/>
    <mergeCell ref="A781:I782"/>
    <mergeCell ref="A878:I878"/>
    <mergeCell ref="C879:C880"/>
    <mergeCell ref="D879:I879"/>
    <mergeCell ref="A882:E882"/>
    <mergeCell ref="A783:I783"/>
    <mergeCell ref="C784:C785"/>
    <mergeCell ref="D784:I784"/>
    <mergeCell ref="A787:E787"/>
    <mergeCell ref="C788:E788"/>
    <mergeCell ref="A858:C858"/>
    <mergeCell ref="A862:C862"/>
    <mergeCell ref="A869:C869"/>
    <mergeCell ref="F869:I869"/>
    <mergeCell ref="A812:I812"/>
    <mergeCell ref="A813:I814"/>
    <mergeCell ref="C847:C848"/>
    <mergeCell ref="B906:C906"/>
    <mergeCell ref="G906:I906"/>
    <mergeCell ref="B907:C907"/>
    <mergeCell ref="G907:I907"/>
    <mergeCell ref="A909:I909"/>
    <mergeCell ref="A910:I911"/>
    <mergeCell ref="A904:C904"/>
    <mergeCell ref="F904:I904"/>
    <mergeCell ref="B905:C905"/>
    <mergeCell ref="G905:I905"/>
    <mergeCell ref="A935:B935"/>
    <mergeCell ref="C918:E918"/>
    <mergeCell ref="A921:D921"/>
    <mergeCell ref="C922:D922"/>
    <mergeCell ref="C923:D923"/>
    <mergeCell ref="A926:C926"/>
    <mergeCell ref="A931:C931"/>
    <mergeCell ref="A912:I912"/>
    <mergeCell ref="C913:C914"/>
    <mergeCell ref="D913:I913"/>
    <mergeCell ref="A916:E916"/>
    <mergeCell ref="C917:E917"/>
    <mergeCell ref="A940:C940"/>
    <mergeCell ref="F940:I940"/>
    <mergeCell ref="A969:C969"/>
    <mergeCell ref="A974:B974"/>
    <mergeCell ref="C958:D958"/>
    <mergeCell ref="C959:D959"/>
    <mergeCell ref="C960:D960"/>
    <mergeCell ref="C961:D961"/>
    <mergeCell ref="C962:D962"/>
    <mergeCell ref="A965:C965"/>
    <mergeCell ref="C954:E954"/>
    <mergeCell ref="A957:D957"/>
    <mergeCell ref="A945:I945"/>
    <mergeCell ref="A946:I947"/>
    <mergeCell ref="A949:I949"/>
    <mergeCell ref="C950:C951"/>
    <mergeCell ref="D950:I950"/>
    <mergeCell ref="A953:E953"/>
    <mergeCell ref="B941:C941"/>
    <mergeCell ref="G941:I941"/>
    <mergeCell ref="B942:C942"/>
    <mergeCell ref="G942:I942"/>
    <mergeCell ref="B943:C943"/>
    <mergeCell ref="G943:I943"/>
    <mergeCell ref="A978:C978"/>
    <mergeCell ref="F978:I978"/>
    <mergeCell ref="A1002:C1002"/>
    <mergeCell ref="A1006:C1006"/>
    <mergeCell ref="C992:E992"/>
    <mergeCell ref="C993:E993"/>
    <mergeCell ref="C994:E994"/>
    <mergeCell ref="A997:D997"/>
    <mergeCell ref="C998:D998"/>
    <mergeCell ref="C999:D999"/>
    <mergeCell ref="A983:I983"/>
    <mergeCell ref="A984:I985"/>
    <mergeCell ref="A987:I987"/>
    <mergeCell ref="C988:C989"/>
    <mergeCell ref="D988:I988"/>
    <mergeCell ref="A991:E991"/>
    <mergeCell ref="B979:C979"/>
    <mergeCell ref="G979:I979"/>
    <mergeCell ref="B980:C980"/>
    <mergeCell ref="G980:I980"/>
    <mergeCell ref="B981:C981"/>
    <mergeCell ref="G981:I981"/>
    <mergeCell ref="B1015:C1015"/>
    <mergeCell ref="G1015:I1015"/>
    <mergeCell ref="B1016:C1016"/>
    <mergeCell ref="G1016:I1016"/>
    <mergeCell ref="B1017:C1017"/>
    <mergeCell ref="G1017:I1017"/>
    <mergeCell ref="A1014:C1014"/>
    <mergeCell ref="F1014:I1014"/>
    <mergeCell ref="A1047:C1047"/>
    <mergeCell ref="F1047:I1047"/>
    <mergeCell ref="C1027:E1027"/>
    <mergeCell ref="A1030:D1030"/>
    <mergeCell ref="C1031:D1031"/>
    <mergeCell ref="C1032:D1032"/>
    <mergeCell ref="A1019:I1019"/>
    <mergeCell ref="A1020:I1021"/>
    <mergeCell ref="A1022:I1022"/>
    <mergeCell ref="C1023:C1024"/>
    <mergeCell ref="D1023:I1023"/>
    <mergeCell ref="A1026:E1026"/>
    <mergeCell ref="B1048:C1048"/>
    <mergeCell ref="G1048:I1048"/>
    <mergeCell ref="A1035:C1035"/>
    <mergeCell ref="A1039:C1039"/>
    <mergeCell ref="C1062:E1062"/>
    <mergeCell ref="A1065:D1065"/>
    <mergeCell ref="C1066:D1066"/>
    <mergeCell ref="C1067:D1067"/>
    <mergeCell ref="C1068:D1068"/>
    <mergeCell ref="A1071:C1071"/>
    <mergeCell ref="A1056:I1056"/>
    <mergeCell ref="C1057:C1058"/>
    <mergeCell ref="D1057:I1057"/>
    <mergeCell ref="A1060:E1060"/>
    <mergeCell ref="C1061:E1061"/>
    <mergeCell ref="B1049:C1049"/>
    <mergeCell ref="G1049:I1049"/>
    <mergeCell ref="B1050:C1050"/>
    <mergeCell ref="G1050:I1050"/>
    <mergeCell ref="A1052:I1052"/>
    <mergeCell ref="A1053:I1054"/>
    <mergeCell ref="A1110:C1110"/>
    <mergeCell ref="A1089:I1089"/>
    <mergeCell ref="A1090:I1091"/>
    <mergeCell ref="A1092:I1092"/>
    <mergeCell ref="C1093:C1094"/>
    <mergeCell ref="D1093:I1093"/>
    <mergeCell ref="A1096:E1096"/>
    <mergeCell ref="B1085:C1085"/>
    <mergeCell ref="G1085:I1085"/>
    <mergeCell ref="B1086:C1086"/>
    <mergeCell ref="G1086:I1086"/>
    <mergeCell ref="B1087:C1087"/>
    <mergeCell ref="G1087:I1087"/>
    <mergeCell ref="C793:D793"/>
    <mergeCell ref="A1128:I1128"/>
    <mergeCell ref="C1129:C1130"/>
    <mergeCell ref="D1129:I1129"/>
    <mergeCell ref="A1132:E1132"/>
    <mergeCell ref="A1127:I1127"/>
    <mergeCell ref="B1122:C1122"/>
    <mergeCell ref="G1122:I1122"/>
    <mergeCell ref="B1123:C1123"/>
    <mergeCell ref="G1123:I1123"/>
    <mergeCell ref="B1124:C1124"/>
    <mergeCell ref="G1124:I1124"/>
    <mergeCell ref="A1121:C1121"/>
    <mergeCell ref="F1121:I1121"/>
    <mergeCell ref="A1126:I1126"/>
    <mergeCell ref="A1084:C1084"/>
    <mergeCell ref="F1084:I1084"/>
    <mergeCell ref="A1075:C1075"/>
    <mergeCell ref="A1116:B1116"/>
    <mergeCell ref="C1097:E1097"/>
    <mergeCell ref="A1100:D1100"/>
    <mergeCell ref="C1101:D1101"/>
    <mergeCell ref="C1102:D1102"/>
    <mergeCell ref="A1105:C1105"/>
    <mergeCell ref="C1133:E1133"/>
    <mergeCell ref="A1136:D1136"/>
    <mergeCell ref="C1137:D1137"/>
    <mergeCell ref="C1140:D1140"/>
    <mergeCell ref="A1143:C1143"/>
    <mergeCell ref="A1148:C1148"/>
    <mergeCell ref="A1154:B1154"/>
    <mergeCell ref="A1159:C1159"/>
    <mergeCell ref="F1159:I1159"/>
    <mergeCell ref="B1160:C1160"/>
    <mergeCell ref="G1160:I1160"/>
    <mergeCell ref="B1161:C1161"/>
    <mergeCell ref="G1161:I1161"/>
    <mergeCell ref="B1162:C1162"/>
    <mergeCell ref="G1162:I1162"/>
    <mergeCell ref="A1164:I1164"/>
    <mergeCell ref="A1165:I1165"/>
    <mergeCell ref="C1138:D1138"/>
    <mergeCell ref="C1139:D1139"/>
    <mergeCell ref="A1166:I1166"/>
    <mergeCell ref="C1167:C1168"/>
    <mergeCell ref="D1167:I1167"/>
    <mergeCell ref="A1170:E1170"/>
    <mergeCell ref="C1171:E1171"/>
    <mergeCell ref="A1174:D1174"/>
    <mergeCell ref="C1175:D1175"/>
    <mergeCell ref="C1176:D1176"/>
    <mergeCell ref="C1177:D1177"/>
    <mergeCell ref="G1200:I1200"/>
    <mergeCell ref="A1202:I1202"/>
    <mergeCell ref="A1203:I1203"/>
    <mergeCell ref="A1204:I1204"/>
    <mergeCell ref="C1205:C1206"/>
    <mergeCell ref="D1205:I1205"/>
    <mergeCell ref="A1208:E1208"/>
    <mergeCell ref="C1209:E1209"/>
    <mergeCell ref="C1178:D1178"/>
    <mergeCell ref="A1181:C1181"/>
    <mergeCell ref="A1186:C1186"/>
    <mergeCell ref="A1192:B1192"/>
    <mergeCell ref="A1197:C1197"/>
    <mergeCell ref="F1197:I1197"/>
    <mergeCell ref="B1198:C1198"/>
    <mergeCell ref="G1198:I1198"/>
    <mergeCell ref="B1199:C1199"/>
    <mergeCell ref="G1199:I1199"/>
    <mergeCell ref="A1212:D1212"/>
    <mergeCell ref="C1213:D1213"/>
    <mergeCell ref="C1214:D1214"/>
    <mergeCell ref="C1215:D1215"/>
    <mergeCell ref="A1218:C1218"/>
    <mergeCell ref="A1223:C1223"/>
    <mergeCell ref="A1229:B1229"/>
    <mergeCell ref="A1234:C1234"/>
    <mergeCell ref="B1200:C1200"/>
    <mergeCell ref="F1234:I1234"/>
    <mergeCell ref="B1235:C1235"/>
    <mergeCell ref="G1235:I1235"/>
    <mergeCell ref="B1236:C1236"/>
    <mergeCell ref="G1236:I1236"/>
    <mergeCell ref="B1237:C1237"/>
    <mergeCell ref="G1237:I1237"/>
    <mergeCell ref="A1239:I1239"/>
    <mergeCell ref="A1240:I1240"/>
  </mergeCells>
  <phoneticPr fontId="25" type="noConversion"/>
  <hyperlinks>
    <hyperlink ref="B52" location="'ESPECIFICACION NORMA'!B37" display="201.3-13" xr:uid="{00000000-0004-0000-0600-000000000000}"/>
    <hyperlink ref="B17" location="'ESPECIFICACION NORMA'!B16" display="PAR_01" xr:uid="{00000000-0004-0000-0600-000001000000}"/>
  </hyperlinks>
  <printOptions horizontalCentered="1"/>
  <pageMargins left="0.27559055118110237" right="0.19685039370078741" top="0.87" bottom="0.6692913385826772" header="0.43307086614173229" footer="0.55118110236220474"/>
  <pageSetup scale="79" orientation="portrait" r:id="rId1"/>
  <rowBreaks count="34" manualBreakCount="34">
    <brk id="49" max="9" man="1"/>
    <brk id="82" max="9" man="1"/>
    <brk id="117" max="9" man="1"/>
    <brk id="148" max="9" man="1"/>
    <brk id="180" max="9" man="1"/>
    <brk id="215" max="9" man="1"/>
    <brk id="251" max="9" man="1"/>
    <brk id="285" max="9" man="1"/>
    <brk id="319" max="9" man="1"/>
    <brk id="353" max="9" man="1"/>
    <brk id="385" max="9" man="1"/>
    <brk id="420" max="9" man="1"/>
    <brk id="456" max="9" man="1"/>
    <brk id="491" max="9" man="1"/>
    <brk id="523" max="9" man="1"/>
    <brk id="560" max="9" man="1"/>
    <brk id="593" max="9" man="1"/>
    <brk id="627" max="9" man="1"/>
    <brk id="665" max="9" man="1"/>
    <brk id="702" max="9" man="1"/>
    <brk id="740" max="9" man="1"/>
    <brk id="782" max="9" man="1"/>
    <brk id="814" max="9" man="1"/>
    <brk id="846" max="9" man="1"/>
    <brk id="876" max="9" man="1"/>
    <brk id="911" max="9" man="1"/>
    <brk id="947" max="9" man="1"/>
    <brk id="985" max="9" man="1"/>
    <brk id="1021" max="9" man="1"/>
    <brk id="1054" max="9" man="1"/>
    <brk id="1091" max="9" man="1"/>
    <brk id="1127" max="9" man="1"/>
    <brk id="1165" max="9" man="1"/>
    <brk id="1203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showGridLines="0" view="pageBreakPreview" topLeftCell="A10" zoomScale="110" zoomScaleNormal="100" zoomScaleSheetLayoutView="110" workbookViewId="0">
      <selection activeCell="K7" sqref="K7"/>
    </sheetView>
  </sheetViews>
  <sheetFormatPr baseColWidth="10" defaultColWidth="11.5546875" defaultRowHeight="10.199999999999999" x14ac:dyDescent="0.2"/>
  <cols>
    <col min="1" max="1" width="6.88671875" style="68" customWidth="1"/>
    <col min="2" max="2" width="7.88671875" style="68" customWidth="1"/>
    <col min="3" max="3" width="24.33203125" style="68" customWidth="1"/>
    <col min="4" max="4" width="7.33203125" style="68" customWidth="1"/>
    <col min="5" max="5" width="7.6640625" style="68" customWidth="1"/>
    <col min="6" max="6" width="6.33203125" style="68" customWidth="1"/>
    <col min="7" max="8" width="9.88671875" style="68" customWidth="1"/>
    <col min="9" max="9" width="6.33203125" style="68" customWidth="1"/>
    <col min="10" max="10" width="12.44140625" style="68" customWidth="1"/>
    <col min="11" max="16384" width="11.5546875" style="68"/>
  </cols>
  <sheetData>
    <row r="1" spans="1:13" s="227" customFormat="1" ht="38.25" customHeight="1" x14ac:dyDescent="0.3">
      <c r="A1" s="224"/>
      <c r="B1" s="224"/>
      <c r="C1" s="224"/>
      <c r="D1" s="701"/>
      <c r="E1" s="701"/>
      <c r="F1" s="701"/>
      <c r="G1" s="701"/>
      <c r="H1" s="701"/>
      <c r="I1" s="701"/>
      <c r="J1" s="226"/>
    </row>
    <row r="2" spans="1:13" s="227" customFormat="1" ht="9.75" customHeight="1" x14ac:dyDescent="0.3">
      <c r="A2" s="705"/>
      <c r="B2" s="705"/>
      <c r="C2" s="705"/>
      <c r="D2" s="705"/>
      <c r="F2" s="237"/>
      <c r="G2" s="603" t="s">
        <v>60</v>
      </c>
      <c r="H2" s="603"/>
      <c r="I2" s="603"/>
      <c r="J2" s="603"/>
    </row>
    <row r="3" spans="1:13" s="227" customFormat="1" ht="9.75" customHeight="1" x14ac:dyDescent="0.3">
      <c r="A3" s="705"/>
      <c r="B3" s="705"/>
      <c r="C3" s="705"/>
      <c r="D3" s="705"/>
      <c r="F3" s="237"/>
      <c r="G3" s="603" t="s">
        <v>61</v>
      </c>
      <c r="H3" s="603"/>
      <c r="I3" s="603"/>
      <c r="J3" s="603"/>
    </row>
    <row r="4" spans="1:13" s="227" customFormat="1" ht="9.75" customHeight="1" x14ac:dyDescent="0.2">
      <c r="A4" s="705"/>
      <c r="B4" s="705"/>
      <c r="F4" s="168" t="s">
        <v>281</v>
      </c>
      <c r="G4" s="603" t="str">
        <f>VLOOKUP(F4,'[8]LOGOS SUB REGION'!$B$6:$C$22,2,FALSE)</f>
        <v>DISTRITO DE TURBO</v>
      </c>
      <c r="H4" s="603"/>
      <c r="I4" s="603"/>
      <c r="J4" s="603"/>
      <c r="K4" s="237"/>
      <c r="L4" s="237"/>
      <c r="M4" s="237"/>
    </row>
    <row r="5" spans="1:13" s="227" customFormat="1" ht="9.75" customHeight="1" x14ac:dyDescent="0.2">
      <c r="A5" s="705"/>
      <c r="B5" s="705"/>
      <c r="F5" s="168" t="s">
        <v>280</v>
      </c>
      <c r="G5" s="603" t="str">
        <f>VLOOKUP(F5,'[8]LOGOS SUB REGION'!$B$6:$C$22,2,FALSE)</f>
        <v>SECRETARIA DISTRITAL DE INFRAESTRUCTURA</v>
      </c>
      <c r="H5" s="603"/>
      <c r="I5" s="603"/>
      <c r="J5" s="603"/>
      <c r="K5" s="237"/>
      <c r="L5" s="237"/>
      <c r="M5" s="237"/>
    </row>
    <row r="6" spans="1:13" s="227" customFormat="1" ht="10.5" customHeight="1" x14ac:dyDescent="0.3">
      <c r="B6" s="155"/>
      <c r="C6" s="155"/>
      <c r="I6" s="226"/>
      <c r="J6" s="226"/>
      <c r="K6" s="237"/>
      <c r="L6" s="237"/>
      <c r="M6" s="237"/>
    </row>
    <row r="7" spans="1:13" s="227" customFormat="1" ht="12" customHeight="1" x14ac:dyDescent="0.3">
      <c r="A7" s="706" t="s">
        <v>21</v>
      </c>
      <c r="B7" s="706"/>
      <c r="C7" s="707" t="str">
        <f>+G4</f>
        <v>DISTRITO DE TURBO</v>
      </c>
      <c r="D7" s="707"/>
      <c r="E7" s="707" t="s">
        <v>22</v>
      </c>
      <c r="F7" s="707"/>
      <c r="G7" s="707"/>
      <c r="H7" s="707" t="str">
        <f>+G3</f>
        <v>DEPARTAMENTO DE ANTIOQUIA</v>
      </c>
      <c r="I7" s="707"/>
      <c r="J7" s="707"/>
      <c r="K7" s="237"/>
      <c r="L7" s="237"/>
      <c r="M7" s="237"/>
    </row>
    <row r="8" spans="1:13" s="227" customFormat="1" ht="10.5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226"/>
    </row>
    <row r="9" spans="1:13" s="227" customFormat="1" ht="10.5" customHeight="1" x14ac:dyDescent="0.3">
      <c r="A9" s="706" t="s">
        <v>20</v>
      </c>
      <c r="B9" s="706"/>
      <c r="C9" s="707" t="s">
        <v>385</v>
      </c>
      <c r="D9" s="707"/>
      <c r="E9" s="708" t="s">
        <v>10</v>
      </c>
      <c r="F9" s="708"/>
      <c r="G9" s="708"/>
      <c r="H9" s="611">
        <f>'AJUSTE PRESUPUESTO'!H9</f>
        <v>45152</v>
      </c>
      <c r="I9" s="611"/>
      <c r="J9" s="611"/>
    </row>
    <row r="10" spans="1:13" s="227" customFormat="1" ht="10.5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</row>
    <row r="11" spans="1:13" s="227" customFormat="1" ht="10.5" customHeight="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</row>
    <row r="12" spans="1:13" s="227" customFormat="1" ht="10.5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</row>
    <row r="13" spans="1:13" s="227" customFormat="1" ht="10.5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</row>
    <row r="14" spans="1:13" s="227" customFormat="1" ht="12" customHeight="1" x14ac:dyDescent="0.3">
      <c r="A14" s="605" t="s">
        <v>1090</v>
      </c>
      <c r="B14" s="605"/>
      <c r="C14" s="605"/>
      <c r="D14" s="605"/>
      <c r="E14" s="605"/>
      <c r="F14" s="605"/>
      <c r="G14" s="605"/>
      <c r="H14" s="605"/>
      <c r="I14" s="605"/>
      <c r="J14" s="605"/>
    </row>
    <row r="15" spans="1:13" s="111" customFormat="1" ht="17.399999999999999" customHeight="1" x14ac:dyDescent="0.3">
      <c r="A15" s="261" t="s">
        <v>72</v>
      </c>
      <c r="B15" s="261" t="s">
        <v>75</v>
      </c>
      <c r="C15" s="452" t="s">
        <v>35</v>
      </c>
      <c r="D15" s="262" t="s">
        <v>1070</v>
      </c>
      <c r="E15" s="262" t="s">
        <v>1045</v>
      </c>
      <c r="F15" s="262" t="s">
        <v>1072</v>
      </c>
      <c r="G15" s="262" t="s">
        <v>1064</v>
      </c>
      <c r="H15" s="262" t="s">
        <v>384</v>
      </c>
      <c r="I15" s="261" t="s">
        <v>1073</v>
      </c>
      <c r="J15" s="261" t="s">
        <v>1057</v>
      </c>
    </row>
    <row r="16" spans="1:13" ht="9.75" customHeight="1" x14ac:dyDescent="0.2">
      <c r="A16" s="39" t="s">
        <v>1058</v>
      </c>
      <c r="B16" s="354" t="s">
        <v>50</v>
      </c>
      <c r="C16" s="453" t="s">
        <v>1424</v>
      </c>
      <c r="D16" s="451" t="s">
        <v>1071</v>
      </c>
      <c r="E16" s="221">
        <f>VLOOKUP(B16,'MDEO ADMON'!B10:O48,9,FALSE)</f>
        <v>35400.217763888897</v>
      </c>
      <c r="F16" s="220">
        <f>206*0.5</f>
        <v>103</v>
      </c>
      <c r="G16" s="220">
        <v>1</v>
      </c>
      <c r="H16" s="239">
        <f t="shared" ref="H16:H23" si="0">+G16*F16*E16</f>
        <v>3646222.4296805565</v>
      </c>
      <c r="I16" s="15">
        <v>13</v>
      </c>
      <c r="J16" s="103">
        <f t="shared" ref="J16:J23" si="1">+I16*H16</f>
        <v>47400891.585847236</v>
      </c>
    </row>
    <row r="17" spans="1:10" ht="9.75" customHeight="1" x14ac:dyDescent="0.2">
      <c r="A17" s="39" t="s">
        <v>1058</v>
      </c>
      <c r="B17" s="354" t="s">
        <v>51</v>
      </c>
      <c r="C17" s="453" t="s">
        <v>1425</v>
      </c>
      <c r="D17" s="451" t="s">
        <v>1071</v>
      </c>
      <c r="E17" s="221">
        <f>VLOOKUP(B17,'MDEO ADMON'!B11:O49,9,FALSE)</f>
        <v>23434.933041666671</v>
      </c>
      <c r="F17" s="220">
        <f>206*0.5</f>
        <v>103</v>
      </c>
      <c r="G17" s="220">
        <v>1</v>
      </c>
      <c r="H17" s="239">
        <f t="shared" si="0"/>
        <v>2413798.1032916671</v>
      </c>
      <c r="I17" s="15">
        <v>12</v>
      </c>
      <c r="J17" s="103">
        <f t="shared" si="1"/>
        <v>28965577.239500005</v>
      </c>
    </row>
    <row r="18" spans="1:10" ht="9.75" customHeight="1" x14ac:dyDescent="0.2">
      <c r="A18" s="39" t="s">
        <v>1058</v>
      </c>
      <c r="B18" s="354" t="s">
        <v>52</v>
      </c>
      <c r="C18" s="453" t="s">
        <v>1422</v>
      </c>
      <c r="D18" s="451" t="s">
        <v>1071</v>
      </c>
      <c r="E18" s="221">
        <f>VLOOKUP(B18,'MDEO ADMON'!B12:O50,9,FALSE)</f>
        <v>23434.933041666671</v>
      </c>
      <c r="F18" s="220">
        <v>206</v>
      </c>
      <c r="G18" s="220">
        <v>2</v>
      </c>
      <c r="H18" s="239">
        <f t="shared" si="0"/>
        <v>9655192.4131666683</v>
      </c>
      <c r="I18" s="15">
        <v>12</v>
      </c>
      <c r="J18" s="103">
        <f t="shared" si="1"/>
        <v>115862308.95800002</v>
      </c>
    </row>
    <row r="19" spans="1:10" ht="9.75" customHeight="1" x14ac:dyDescent="0.2">
      <c r="A19" s="39" t="s">
        <v>1058</v>
      </c>
      <c r="B19" s="354" t="s">
        <v>175</v>
      </c>
      <c r="C19" s="453" t="s">
        <v>1426</v>
      </c>
      <c r="D19" s="451" t="s">
        <v>1071</v>
      </c>
      <c r="E19" s="221">
        <f>VLOOKUP(B19,'MDEO ADMON'!B13:O51,9,FALSE)</f>
        <v>13018.096930555559</v>
      </c>
      <c r="F19" s="220">
        <v>206</v>
      </c>
      <c r="G19" s="220">
        <v>1</v>
      </c>
      <c r="H19" s="239">
        <f t="shared" si="0"/>
        <v>2681727.967694445</v>
      </c>
      <c r="I19" s="15">
        <v>12</v>
      </c>
      <c r="J19" s="103">
        <f t="shared" si="1"/>
        <v>32180735.612333342</v>
      </c>
    </row>
    <row r="20" spans="1:10" ht="9.75" customHeight="1" x14ac:dyDescent="0.2">
      <c r="A20" s="39" t="s">
        <v>1058</v>
      </c>
      <c r="B20" s="354" t="s">
        <v>1065</v>
      </c>
      <c r="C20" s="453" t="s">
        <v>1423</v>
      </c>
      <c r="D20" s="451" t="s">
        <v>1071</v>
      </c>
      <c r="E20" s="221">
        <f>VLOOKUP(B20,'MDEO ADMON'!B14:O52,9,FALSE)</f>
        <v>8647.6750413888913</v>
      </c>
      <c r="F20" s="220">
        <v>206</v>
      </c>
      <c r="G20" s="220">
        <v>2</v>
      </c>
      <c r="H20" s="239">
        <f t="shared" si="0"/>
        <v>3562842.1170522231</v>
      </c>
      <c r="I20" s="15">
        <v>12</v>
      </c>
      <c r="J20" s="103">
        <f t="shared" si="1"/>
        <v>42754105.404626675</v>
      </c>
    </row>
    <row r="21" spans="1:10" ht="9.75" customHeight="1" x14ac:dyDescent="0.2">
      <c r="A21" s="39" t="s">
        <v>1058</v>
      </c>
      <c r="B21" s="354" t="s">
        <v>1067</v>
      </c>
      <c r="C21" s="453" t="s">
        <v>1427</v>
      </c>
      <c r="D21" s="451" t="s">
        <v>1071</v>
      </c>
      <c r="E21" s="221">
        <f>VLOOKUP(B21,'MDEO ADMON'!B14:O52,9,FALSE)</f>
        <v>8647.6750413888913</v>
      </c>
      <c r="F21" s="220">
        <v>206</v>
      </c>
      <c r="G21" s="220">
        <v>2</v>
      </c>
      <c r="H21" s="239">
        <f>+G21*F21*E21</f>
        <v>3562842.1170522231</v>
      </c>
      <c r="I21" s="15">
        <v>12</v>
      </c>
      <c r="J21" s="103">
        <f>+I21*H21</f>
        <v>42754105.404626675</v>
      </c>
    </row>
    <row r="22" spans="1:10" ht="9.75" customHeight="1" x14ac:dyDescent="0.2">
      <c r="A22" s="39" t="s">
        <v>1058</v>
      </c>
      <c r="B22" s="354" t="s">
        <v>1068</v>
      </c>
      <c r="C22" s="453" t="s">
        <v>1429</v>
      </c>
      <c r="D22" s="451" t="s">
        <v>1071</v>
      </c>
      <c r="E22" s="221">
        <f>VLOOKUP(B22,'MDEO ADMON'!B14:O52,9,FALSE)</f>
        <v>7290.4302079166691</v>
      </c>
      <c r="F22" s="220">
        <v>206</v>
      </c>
      <c r="G22" s="220">
        <v>6</v>
      </c>
      <c r="H22" s="239">
        <f>+G22*F22*E22</f>
        <v>9010971.7369850036</v>
      </c>
      <c r="I22" s="15">
        <v>12</v>
      </c>
      <c r="J22" s="103">
        <f>+I22*H22</f>
        <v>108131660.84382004</v>
      </c>
    </row>
    <row r="23" spans="1:10" ht="9.75" customHeight="1" x14ac:dyDescent="0.2">
      <c r="A23" s="39" t="s">
        <v>1058</v>
      </c>
      <c r="B23" s="354" t="s">
        <v>1069</v>
      </c>
      <c r="C23" s="453" t="s">
        <v>1428</v>
      </c>
      <c r="D23" s="451" t="s">
        <v>1071</v>
      </c>
      <c r="E23" s="221">
        <f>VLOOKUP(B23,'MDEO ADMON'!B15:O53,9,FALSE)</f>
        <v>8426.0877079166694</v>
      </c>
      <c r="F23" s="220">
        <v>206</v>
      </c>
      <c r="G23" s="220">
        <v>3</v>
      </c>
      <c r="H23" s="239">
        <f t="shared" si="0"/>
        <v>5207322.2034925018</v>
      </c>
      <c r="I23" s="15">
        <v>12</v>
      </c>
      <c r="J23" s="103">
        <f t="shared" si="1"/>
        <v>62487866.441910021</v>
      </c>
    </row>
    <row r="24" spans="1:10" ht="9.75" customHeight="1" x14ac:dyDescent="0.2">
      <c r="A24" s="769" t="s">
        <v>203</v>
      </c>
      <c r="B24" s="770"/>
      <c r="C24" s="771"/>
      <c r="D24" s="7"/>
      <c r="E24" s="7"/>
      <c r="F24" s="7"/>
      <c r="G24" s="7"/>
      <c r="H24" s="242"/>
      <c r="I24" s="101"/>
      <c r="J24" s="103">
        <f>SUM(J16:J23)</f>
        <v>480537251.49066401</v>
      </c>
    </row>
    <row r="25" spans="1:10" s="111" customFormat="1" ht="17.399999999999999" customHeight="1" x14ac:dyDescent="0.3">
      <c r="A25" s="775" t="s">
        <v>35</v>
      </c>
      <c r="B25" s="775"/>
      <c r="C25" s="775"/>
      <c r="D25" s="263" t="s">
        <v>12</v>
      </c>
      <c r="E25" s="263" t="s">
        <v>13</v>
      </c>
      <c r="F25" s="261" t="s">
        <v>1070</v>
      </c>
      <c r="G25" s="261" t="s">
        <v>1076</v>
      </c>
      <c r="H25" s="261" t="s">
        <v>384</v>
      </c>
      <c r="I25" s="261" t="s">
        <v>1077</v>
      </c>
      <c r="J25" s="261" t="s">
        <v>203</v>
      </c>
    </row>
    <row r="26" spans="1:10" ht="10.199999999999999" customHeight="1" x14ac:dyDescent="0.2">
      <c r="A26" s="764" t="s">
        <v>1414</v>
      </c>
      <c r="B26" s="764"/>
      <c r="C26" s="764"/>
      <c r="D26" s="241" t="s">
        <v>107</v>
      </c>
      <c r="E26" s="219">
        <v>1</v>
      </c>
      <c r="F26" s="221">
        <v>2</v>
      </c>
      <c r="G26" s="221">
        <v>500000</v>
      </c>
      <c r="H26" s="239">
        <f t="shared" ref="H26:H33" si="2">+G26*F26*E26</f>
        <v>1000000</v>
      </c>
      <c r="I26" s="75">
        <v>12</v>
      </c>
      <c r="J26" s="248">
        <f t="shared" ref="J26:J32" si="3">+I26*H26</f>
        <v>12000000</v>
      </c>
    </row>
    <row r="27" spans="1:10" ht="10.199999999999999" customHeight="1" x14ac:dyDescent="0.2">
      <c r="A27" s="764" t="s">
        <v>1417</v>
      </c>
      <c r="B27" s="764"/>
      <c r="C27" s="764"/>
      <c r="D27" s="241" t="s">
        <v>107</v>
      </c>
      <c r="E27" s="219">
        <v>5</v>
      </c>
      <c r="F27" s="221">
        <v>2</v>
      </c>
      <c r="G27" s="221">
        <v>170000</v>
      </c>
      <c r="H27" s="239">
        <f t="shared" si="2"/>
        <v>1700000</v>
      </c>
      <c r="I27" s="75">
        <v>12</v>
      </c>
      <c r="J27" s="248">
        <f t="shared" si="3"/>
        <v>20400000</v>
      </c>
    </row>
    <row r="28" spans="1:10" ht="10.199999999999999" customHeight="1" x14ac:dyDescent="0.2">
      <c r="A28" s="764" t="s">
        <v>1418</v>
      </c>
      <c r="B28" s="764"/>
      <c r="C28" s="764"/>
      <c r="D28" s="241" t="s">
        <v>107</v>
      </c>
      <c r="E28" s="219">
        <v>1</v>
      </c>
      <c r="F28" s="221">
        <v>2</v>
      </c>
      <c r="G28" s="221">
        <v>1300000</v>
      </c>
      <c r="H28" s="239">
        <f t="shared" si="2"/>
        <v>2600000</v>
      </c>
      <c r="I28" s="75">
        <v>12</v>
      </c>
      <c r="J28" s="248">
        <f t="shared" si="3"/>
        <v>31200000</v>
      </c>
    </row>
    <row r="29" spans="1:10" ht="10.199999999999999" customHeight="1" x14ac:dyDescent="0.2">
      <c r="A29" s="764" t="s">
        <v>1419</v>
      </c>
      <c r="B29" s="764"/>
      <c r="C29" s="764"/>
      <c r="D29" s="241" t="s">
        <v>107</v>
      </c>
      <c r="E29" s="219">
        <v>1</v>
      </c>
      <c r="F29" s="221">
        <v>2</v>
      </c>
      <c r="G29" s="221">
        <v>1000000</v>
      </c>
      <c r="H29" s="239">
        <f t="shared" si="2"/>
        <v>2000000</v>
      </c>
      <c r="I29" s="75">
        <v>12</v>
      </c>
      <c r="J29" s="248">
        <f t="shared" si="3"/>
        <v>24000000</v>
      </c>
    </row>
    <row r="30" spans="1:10" ht="10.199999999999999" customHeight="1" x14ac:dyDescent="0.2">
      <c r="A30" s="764" t="s">
        <v>1415</v>
      </c>
      <c r="B30" s="764"/>
      <c r="C30" s="764"/>
      <c r="D30" s="241" t="s">
        <v>12</v>
      </c>
      <c r="E30" s="219">
        <v>1</v>
      </c>
      <c r="F30" s="221">
        <v>1</v>
      </c>
      <c r="G30" s="221">
        <v>4200000</v>
      </c>
      <c r="H30" s="239">
        <f t="shared" si="2"/>
        <v>4200000</v>
      </c>
      <c r="I30" s="75">
        <v>1</v>
      </c>
      <c r="J30" s="248">
        <f t="shared" si="3"/>
        <v>4200000</v>
      </c>
    </row>
    <row r="31" spans="1:10" ht="10.199999999999999" customHeight="1" x14ac:dyDescent="0.2">
      <c r="A31" s="764" t="s">
        <v>1420</v>
      </c>
      <c r="B31" s="764"/>
      <c r="C31" s="764"/>
      <c r="D31" s="241" t="s">
        <v>107</v>
      </c>
      <c r="E31" s="219">
        <v>1</v>
      </c>
      <c r="F31" s="221">
        <v>1</v>
      </c>
      <c r="G31" s="221">
        <v>4362541.9122795314</v>
      </c>
      <c r="H31" s="239">
        <f t="shared" si="2"/>
        <v>4362541.9122795314</v>
      </c>
      <c r="I31" s="75">
        <v>12</v>
      </c>
      <c r="J31" s="248">
        <f>+I31*H31</f>
        <v>52350502.947354376</v>
      </c>
    </row>
    <row r="32" spans="1:10" ht="10.199999999999999" customHeight="1" x14ac:dyDescent="0.2">
      <c r="A32" s="764" t="s">
        <v>1416</v>
      </c>
      <c r="B32" s="764"/>
      <c r="C32" s="764"/>
      <c r="D32" s="241" t="s">
        <v>12</v>
      </c>
      <c r="E32" s="219">
        <v>175</v>
      </c>
      <c r="F32" s="220">
        <v>1</v>
      </c>
      <c r="G32" s="221">
        <v>60000</v>
      </c>
      <c r="H32" s="239">
        <f t="shared" si="2"/>
        <v>10500000</v>
      </c>
      <c r="I32" s="75">
        <v>1</v>
      </c>
      <c r="J32" s="248">
        <f t="shared" si="3"/>
        <v>10500000</v>
      </c>
    </row>
    <row r="33" spans="1:10" ht="10.199999999999999" customHeight="1" x14ac:dyDescent="0.2">
      <c r="A33" s="764" t="s">
        <v>1421</v>
      </c>
      <c r="B33" s="764"/>
      <c r="C33" s="764"/>
      <c r="D33" s="241" t="s">
        <v>12</v>
      </c>
      <c r="E33" s="322">
        <v>800</v>
      </c>
      <c r="F33" s="220">
        <v>1</v>
      </c>
      <c r="G33" s="221">
        <v>60000</v>
      </c>
      <c r="H33" s="239">
        <f t="shared" si="2"/>
        <v>48000000</v>
      </c>
      <c r="I33" s="75">
        <v>1</v>
      </c>
      <c r="J33" s="248">
        <f>+I33*H33</f>
        <v>48000000</v>
      </c>
    </row>
    <row r="34" spans="1:10" ht="10.199999999999999" customHeight="1" x14ac:dyDescent="0.2">
      <c r="A34" s="765" t="s">
        <v>203</v>
      </c>
      <c r="B34" s="765"/>
      <c r="C34" s="765"/>
      <c r="D34" s="241"/>
      <c r="E34" s="219"/>
      <c r="F34" s="220"/>
      <c r="G34" s="221"/>
      <c r="H34" s="239"/>
      <c r="I34" s="15"/>
      <c r="J34" s="248">
        <f>SUM(J26:J33)</f>
        <v>202650502.94735438</v>
      </c>
    </row>
    <row r="35" spans="1:10" ht="10.199999999999999" customHeight="1" x14ac:dyDescent="0.2">
      <c r="A35" s="250"/>
      <c r="B35" s="250"/>
      <c r="C35" s="250"/>
      <c r="D35" s="240"/>
      <c r="E35" s="230"/>
      <c r="F35" s="251"/>
      <c r="G35" s="252"/>
      <c r="H35" s="253"/>
      <c r="I35" s="101"/>
      <c r="J35" s="254"/>
    </row>
    <row r="36" spans="1:10" ht="10.199999999999999" customHeight="1" x14ac:dyDescent="0.2">
      <c r="A36" s="772" t="s">
        <v>35</v>
      </c>
      <c r="B36" s="774"/>
      <c r="C36" s="774"/>
      <c r="D36" s="774"/>
      <c r="E36" s="774"/>
      <c r="F36" s="773"/>
      <c r="G36" s="772" t="s">
        <v>1081</v>
      </c>
      <c r="H36" s="773"/>
      <c r="I36" s="261" t="s">
        <v>379</v>
      </c>
      <c r="J36" s="261" t="s">
        <v>203</v>
      </c>
    </row>
    <row r="37" spans="1:10" ht="9.6" customHeight="1" x14ac:dyDescent="0.2">
      <c r="A37" s="764" t="s">
        <v>1430</v>
      </c>
      <c r="B37" s="764"/>
      <c r="C37" s="764"/>
      <c r="D37" s="764"/>
      <c r="E37" s="764"/>
      <c r="F37" s="764"/>
      <c r="G37" s="766">
        <f>+'AJUSTE PRESUPUESTO'!H61*1.3</f>
        <v>11991479000.924667</v>
      </c>
      <c r="H37" s="767"/>
      <c r="I37" s="255">
        <v>0.05</v>
      </c>
      <c r="J37" s="248">
        <f>+I37*G37</f>
        <v>599573950.04623342</v>
      </c>
    </row>
    <row r="38" spans="1:10" ht="9.6" customHeight="1" x14ac:dyDescent="0.2">
      <c r="A38" s="764" t="s">
        <v>1431</v>
      </c>
      <c r="B38" s="764"/>
      <c r="C38" s="764"/>
      <c r="D38" s="764"/>
      <c r="E38" s="764"/>
      <c r="F38" s="764"/>
      <c r="G38" s="766">
        <f>+G37</f>
        <v>11991479000.924667</v>
      </c>
      <c r="H38" s="767"/>
      <c r="I38" s="302">
        <v>7.4999999999999997E-2</v>
      </c>
      <c r="J38" s="248">
        <f>+I38*G38</f>
        <v>899360925.06935</v>
      </c>
    </row>
    <row r="39" spans="1:10" ht="9.6" customHeight="1" x14ac:dyDescent="0.2">
      <c r="A39" s="764" t="s">
        <v>1432</v>
      </c>
      <c r="B39" s="764"/>
      <c r="C39" s="764"/>
      <c r="D39" s="764"/>
      <c r="E39" s="764"/>
      <c r="F39" s="764"/>
      <c r="G39" s="766">
        <f>+G37</f>
        <v>11991479000.924667</v>
      </c>
      <c r="H39" s="767"/>
      <c r="I39" s="303">
        <v>3.5000000000000001E-3</v>
      </c>
      <c r="J39" s="248">
        <f>+I39*G39</f>
        <v>41970176.503236338</v>
      </c>
    </row>
    <row r="40" spans="1:10" ht="9.6" customHeight="1" x14ac:dyDescent="0.2">
      <c r="A40" s="768" t="s">
        <v>203</v>
      </c>
      <c r="B40" s="768"/>
      <c r="C40" s="768"/>
      <c r="D40" s="768"/>
      <c r="E40" s="768"/>
      <c r="F40" s="768"/>
      <c r="G40" s="766">
        <f>SUM(H37:H39)</f>
        <v>0</v>
      </c>
      <c r="H40" s="767"/>
      <c r="I40" s="15"/>
      <c r="J40" s="248">
        <f>SUM(J37:J39)</f>
        <v>1540905051.6188197</v>
      </c>
    </row>
    <row r="41" spans="1:10" x14ac:dyDescent="0.2">
      <c r="A41" s="250"/>
      <c r="B41" s="250"/>
      <c r="C41" s="250"/>
      <c r="D41" s="240"/>
      <c r="E41" s="230"/>
      <c r="F41" s="251"/>
      <c r="G41" s="252"/>
      <c r="H41" s="253"/>
      <c r="I41" s="101"/>
      <c r="J41" s="254"/>
    </row>
    <row r="42" spans="1:10" ht="10.199999999999999" customHeight="1" x14ac:dyDescent="0.2">
      <c r="A42" s="762" t="s">
        <v>1106</v>
      </c>
      <c r="B42" s="762"/>
      <c r="C42" s="762"/>
      <c r="D42" s="762"/>
      <c r="E42" s="762"/>
      <c r="F42" s="762"/>
      <c r="G42" s="762"/>
      <c r="H42" s="763">
        <f>+J34+J24+J40</f>
        <v>2224092806.056838</v>
      </c>
      <c r="I42" s="763"/>
      <c r="J42" s="763"/>
    </row>
    <row r="43" spans="1:10" ht="6.6" customHeight="1" x14ac:dyDescent="0.2"/>
    <row r="44" spans="1:10" x14ac:dyDescent="0.2">
      <c r="A44" s="762" t="s">
        <v>6</v>
      </c>
      <c r="B44" s="762"/>
      <c r="C44" s="762"/>
      <c r="D44" s="762"/>
      <c r="E44" s="762"/>
      <c r="F44" s="762"/>
      <c r="G44" s="762"/>
      <c r="H44" s="763">
        <f>+'AJUSTE PRESUPUESTO'!H61*0.05</f>
        <v>461210730.80479491</v>
      </c>
      <c r="I44" s="763"/>
      <c r="J44" s="763"/>
    </row>
    <row r="45" spans="1:10" ht="6" customHeight="1" x14ac:dyDescent="0.2"/>
    <row r="46" spans="1:10" x14ac:dyDescent="0.2">
      <c r="A46" s="762" t="s">
        <v>1125</v>
      </c>
      <c r="B46" s="762"/>
      <c r="C46" s="762"/>
      <c r="D46" s="762"/>
      <c r="E46" s="762"/>
      <c r="F46" s="762"/>
      <c r="G46" s="762"/>
      <c r="H46" s="763">
        <f>+H44+H42</f>
        <v>2685303536.8616328</v>
      </c>
      <c r="I46" s="763"/>
      <c r="J46" s="763"/>
    </row>
  </sheetData>
  <mergeCells count="55">
    <mergeCell ref="G36:H36"/>
    <mergeCell ref="A36:F36"/>
    <mergeCell ref="A37:F37"/>
    <mergeCell ref="A39:F39"/>
    <mergeCell ref="A25:C25"/>
    <mergeCell ref="A26:C26"/>
    <mergeCell ref="A27:C27"/>
    <mergeCell ref="A28:C28"/>
    <mergeCell ref="A38:F38"/>
    <mergeCell ref="G38:H38"/>
    <mergeCell ref="A14:J14"/>
    <mergeCell ref="A24:C24"/>
    <mergeCell ref="A7:B7"/>
    <mergeCell ref="A2:B5"/>
    <mergeCell ref="E11:J11"/>
    <mergeCell ref="E12:J12"/>
    <mergeCell ref="E13:J13"/>
    <mergeCell ref="G2:J2"/>
    <mergeCell ref="G3:J3"/>
    <mergeCell ref="G4:J4"/>
    <mergeCell ref="H7:J7"/>
    <mergeCell ref="C9:D9"/>
    <mergeCell ref="E9:G9"/>
    <mergeCell ref="H9:J9"/>
    <mergeCell ref="E10:J10"/>
    <mergeCell ref="A9:B9"/>
    <mergeCell ref="A13:B13"/>
    <mergeCell ref="A10:B10"/>
    <mergeCell ref="A11:B11"/>
    <mergeCell ref="A12:B12"/>
    <mergeCell ref="D1:I1"/>
    <mergeCell ref="C2:D3"/>
    <mergeCell ref="C12:D12"/>
    <mergeCell ref="C13:D13"/>
    <mergeCell ref="G5:J5"/>
    <mergeCell ref="C7:D7"/>
    <mergeCell ref="E7:G7"/>
    <mergeCell ref="C10:D10"/>
    <mergeCell ref="C11:D11"/>
    <mergeCell ref="A46:G46"/>
    <mergeCell ref="H46:J46"/>
    <mergeCell ref="A29:C29"/>
    <mergeCell ref="A30:C30"/>
    <mergeCell ref="A31:C31"/>
    <mergeCell ref="H42:J42"/>
    <mergeCell ref="A44:G44"/>
    <mergeCell ref="H44:J44"/>
    <mergeCell ref="A32:C32"/>
    <mergeCell ref="A34:C34"/>
    <mergeCell ref="A42:G42"/>
    <mergeCell ref="A33:C33"/>
    <mergeCell ref="G37:H37"/>
    <mergeCell ref="G39:H39"/>
    <mergeCell ref="G40:H40"/>
    <mergeCell ref="A40:F40"/>
  </mergeCells>
  <phoneticPr fontId="25" type="noConversion"/>
  <pageMargins left="0.70866141732283472" right="0.59" top="1.2204724409448819" bottom="1.08" header="0.31496062992125984" footer="0.77"/>
  <pageSetup scale="78" orientation="landscape" r:id="rId1"/>
  <headerFooter>
    <oddHeader>&amp;L&amp;G&amp;C&amp;G&amp;R&amp;G</oddHeader>
    <oddFooter>&amp;L&amp;G&amp;R&amp;G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showGridLines="0" view="pageBreakPreview" zoomScale="120" zoomScaleNormal="100" zoomScaleSheetLayoutView="120" workbookViewId="0">
      <selection activeCell="A32" sqref="A32:G32"/>
    </sheetView>
  </sheetViews>
  <sheetFormatPr baseColWidth="10" defaultColWidth="11.5546875" defaultRowHeight="9.6" x14ac:dyDescent="0.2"/>
  <cols>
    <col min="1" max="1" width="6.88671875" style="109" customWidth="1"/>
    <col min="2" max="2" width="7.88671875" style="109" customWidth="1"/>
    <col min="3" max="3" width="24.33203125" style="109" customWidth="1"/>
    <col min="4" max="4" width="7.33203125" style="109" customWidth="1"/>
    <col min="5" max="5" width="7.6640625" style="109" customWidth="1"/>
    <col min="6" max="6" width="5.88671875" style="109" customWidth="1"/>
    <col min="7" max="7" width="11.109375" style="109" customWidth="1"/>
    <col min="8" max="8" width="9.6640625" style="109" customWidth="1"/>
    <col min="9" max="9" width="6.33203125" style="109" customWidth="1"/>
    <col min="10" max="10" width="11.6640625" style="109" customWidth="1"/>
    <col min="11" max="16384" width="11.5546875" style="109"/>
  </cols>
  <sheetData>
    <row r="1" spans="1:16" s="227" customFormat="1" ht="38.25" customHeight="1" x14ac:dyDescent="0.3">
      <c r="A1" s="224"/>
      <c r="B1" s="224"/>
      <c r="C1" s="224"/>
      <c r="D1" s="701"/>
      <c r="E1" s="701"/>
      <c r="F1" s="701"/>
      <c r="G1" s="701"/>
      <c r="H1" s="701"/>
      <c r="I1" s="701"/>
      <c r="J1" s="226"/>
    </row>
    <row r="2" spans="1:16" s="227" customFormat="1" ht="9.75" customHeight="1" x14ac:dyDescent="0.3">
      <c r="A2" s="705"/>
      <c r="B2" s="705"/>
      <c r="C2" s="705"/>
      <c r="D2" s="705"/>
      <c r="F2" s="237"/>
      <c r="G2" s="603" t="s">
        <v>60</v>
      </c>
      <c r="H2" s="603"/>
      <c r="I2" s="603"/>
      <c r="J2" s="603"/>
    </row>
    <row r="3" spans="1:16" s="227" customFormat="1" ht="9.75" customHeight="1" x14ac:dyDescent="0.3">
      <c r="A3" s="705"/>
      <c r="B3" s="705"/>
      <c r="C3" s="705"/>
      <c r="D3" s="705"/>
      <c r="F3" s="237"/>
      <c r="G3" s="603" t="s">
        <v>61</v>
      </c>
      <c r="H3" s="603"/>
      <c r="I3" s="603"/>
      <c r="J3" s="603"/>
    </row>
    <row r="4" spans="1:16" s="227" customFormat="1" ht="9.75" customHeight="1" x14ac:dyDescent="0.2">
      <c r="A4" s="705"/>
      <c r="B4" s="705"/>
      <c r="F4" s="168" t="s">
        <v>281</v>
      </c>
      <c r="G4" s="603" t="s">
        <v>1061</v>
      </c>
      <c r="H4" s="603"/>
      <c r="I4" s="603"/>
      <c r="J4" s="603"/>
      <c r="K4" s="237"/>
      <c r="L4" s="237"/>
      <c r="M4" s="237"/>
      <c r="N4" s="237"/>
      <c r="O4" s="237"/>
      <c r="P4" s="237"/>
    </row>
    <row r="5" spans="1:16" s="227" customFormat="1" ht="9.75" customHeight="1" x14ac:dyDescent="0.2">
      <c r="A5" s="705"/>
      <c r="B5" s="705"/>
      <c r="F5" s="168" t="s">
        <v>280</v>
      </c>
      <c r="G5" s="603" t="s">
        <v>1062</v>
      </c>
      <c r="H5" s="603"/>
      <c r="I5" s="603"/>
      <c r="J5" s="603"/>
      <c r="K5" s="237"/>
      <c r="L5" s="237"/>
      <c r="M5" s="237"/>
      <c r="N5" s="237"/>
      <c r="O5" s="237"/>
      <c r="P5" s="237"/>
    </row>
    <row r="6" spans="1:16" s="227" customFormat="1" ht="10.5" customHeight="1" x14ac:dyDescent="0.3">
      <c r="B6" s="155"/>
      <c r="C6" s="155"/>
      <c r="I6" s="226"/>
      <c r="J6" s="226"/>
      <c r="K6" s="237"/>
      <c r="L6" s="237"/>
      <c r="M6" s="237"/>
      <c r="N6" s="237"/>
      <c r="O6" s="237"/>
      <c r="P6" s="237"/>
    </row>
    <row r="7" spans="1:16" s="227" customFormat="1" ht="12" customHeight="1" x14ac:dyDescent="0.3">
      <c r="A7" s="706" t="s">
        <v>21</v>
      </c>
      <c r="B7" s="706"/>
      <c r="C7" s="707" t="str">
        <f>+G4</f>
        <v>DISTRITO DE TURBO</v>
      </c>
      <c r="D7" s="707"/>
      <c r="E7" s="707" t="s">
        <v>22</v>
      </c>
      <c r="F7" s="707"/>
      <c r="G7" s="707"/>
      <c r="H7" s="707" t="str">
        <f>+G3</f>
        <v>DEPARTAMENTO DE ANTIOQUIA</v>
      </c>
      <c r="I7" s="707"/>
      <c r="J7" s="707"/>
      <c r="K7" s="237"/>
      <c r="L7" s="237"/>
      <c r="M7" s="237"/>
      <c r="N7" s="237"/>
      <c r="O7" s="237"/>
      <c r="P7" s="237"/>
    </row>
    <row r="8" spans="1:16" s="227" customFormat="1" ht="7.2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226"/>
    </row>
    <row r="9" spans="1:16" s="227" customFormat="1" ht="10.199999999999999" customHeight="1" x14ac:dyDescent="0.3">
      <c r="A9" s="706" t="s">
        <v>20</v>
      </c>
      <c r="B9" s="706"/>
      <c r="C9" s="707" t="s">
        <v>385</v>
      </c>
      <c r="D9" s="707"/>
      <c r="E9" s="708" t="s">
        <v>10</v>
      </c>
      <c r="F9" s="708"/>
      <c r="G9" s="708"/>
      <c r="H9" s="611">
        <f>'AJUSTE PRESUPUESTO'!H9</f>
        <v>45152</v>
      </c>
      <c r="I9" s="611"/>
      <c r="J9" s="611"/>
    </row>
    <row r="10" spans="1:16" s="227" customFormat="1" ht="7.2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</row>
    <row r="11" spans="1:16" s="227" customFormat="1" ht="6.6" customHeight="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</row>
    <row r="12" spans="1:16" s="227" customFormat="1" ht="7.95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</row>
    <row r="13" spans="1:16" s="227" customFormat="1" ht="7.95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</row>
    <row r="14" spans="1:16" s="227" customFormat="1" ht="12" customHeight="1" x14ac:dyDescent="0.3">
      <c r="A14" s="706"/>
      <c r="B14" s="706"/>
      <c r="C14" s="707"/>
      <c r="D14" s="707"/>
      <c r="E14" s="707"/>
      <c r="F14" s="707"/>
      <c r="G14" s="707"/>
      <c r="H14" s="707"/>
      <c r="I14" s="707"/>
      <c r="J14" s="226"/>
    </row>
    <row r="15" spans="1:16" s="227" customFormat="1" ht="12" customHeight="1" x14ac:dyDescent="0.3">
      <c r="A15" s="605" t="s">
        <v>1091</v>
      </c>
      <c r="B15" s="605"/>
      <c r="C15" s="605"/>
      <c r="D15" s="605"/>
      <c r="E15" s="605"/>
      <c r="F15" s="605"/>
      <c r="G15" s="605"/>
      <c r="H15" s="605"/>
      <c r="I15" s="605"/>
      <c r="J15" s="605"/>
    </row>
    <row r="16" spans="1:16" s="240" customFormat="1" ht="17.399999999999999" customHeight="1" x14ac:dyDescent="0.3">
      <c r="A16" s="304" t="s">
        <v>72</v>
      </c>
      <c r="B16" s="304" t="s">
        <v>75</v>
      </c>
      <c r="C16" s="471" t="s">
        <v>35</v>
      </c>
      <c r="D16" s="305" t="s">
        <v>1070</v>
      </c>
      <c r="E16" s="305" t="s">
        <v>1045</v>
      </c>
      <c r="F16" s="305" t="s">
        <v>1072</v>
      </c>
      <c r="G16" s="305" t="s">
        <v>1064</v>
      </c>
      <c r="H16" s="305" t="s">
        <v>384</v>
      </c>
      <c r="I16" s="304" t="s">
        <v>1073</v>
      </c>
      <c r="J16" s="304" t="s">
        <v>1057</v>
      </c>
    </row>
    <row r="17" spans="1:12" ht="9.75" customHeight="1" x14ac:dyDescent="0.2">
      <c r="A17" s="296" t="s">
        <v>1058</v>
      </c>
      <c r="B17" s="469" t="s">
        <v>50</v>
      </c>
      <c r="C17" s="453" t="s">
        <v>1424</v>
      </c>
      <c r="D17" s="470" t="s">
        <v>1071</v>
      </c>
      <c r="E17" s="306">
        <v>35400.217763888897</v>
      </c>
      <c r="F17" s="307">
        <f>206*0.5</f>
        <v>103</v>
      </c>
      <c r="G17" s="307">
        <v>1</v>
      </c>
      <c r="H17" s="308">
        <f>+G17*F17*E17</f>
        <v>3646222.4296805565</v>
      </c>
      <c r="I17" s="309">
        <v>12</v>
      </c>
      <c r="J17" s="310">
        <f>+I17*H17</f>
        <v>43754669.15616668</v>
      </c>
    </row>
    <row r="18" spans="1:12" ht="9.75" customHeight="1" x14ac:dyDescent="0.2">
      <c r="A18" s="296" t="s">
        <v>1058</v>
      </c>
      <c r="B18" s="469" t="s">
        <v>51</v>
      </c>
      <c r="C18" s="453" t="s">
        <v>1425</v>
      </c>
      <c r="D18" s="470" t="s">
        <v>1071</v>
      </c>
      <c r="E18" s="306">
        <v>23434.933041666671</v>
      </c>
      <c r="F18" s="307">
        <f>206*0.5</f>
        <v>103</v>
      </c>
      <c r="G18" s="307">
        <v>1</v>
      </c>
      <c r="H18" s="308">
        <f>+G18*F18*E18</f>
        <v>2413798.1032916671</v>
      </c>
      <c r="I18" s="309">
        <v>12</v>
      </c>
      <c r="J18" s="310">
        <f>+I18*H18</f>
        <v>28965577.239500005</v>
      </c>
    </row>
    <row r="19" spans="1:12" ht="9.75" customHeight="1" x14ac:dyDescent="0.2">
      <c r="A19" s="296" t="s">
        <v>1058</v>
      </c>
      <c r="B19" s="469" t="s">
        <v>177</v>
      </c>
      <c r="C19" s="453" t="s">
        <v>1519</v>
      </c>
      <c r="D19" s="470" t="s">
        <v>1071</v>
      </c>
      <c r="E19" s="306">
        <v>20055.73165277778</v>
      </c>
      <c r="F19" s="307">
        <v>206</v>
      </c>
      <c r="G19" s="307">
        <v>1</v>
      </c>
      <c r="H19" s="308">
        <f>+G19*F19*E19</f>
        <v>4131480.7204722227</v>
      </c>
      <c r="I19" s="309">
        <v>12</v>
      </c>
      <c r="J19" s="310">
        <f>+I19*H19</f>
        <v>49577768.645666674</v>
      </c>
    </row>
    <row r="20" spans="1:12" ht="9.75" customHeight="1" x14ac:dyDescent="0.2">
      <c r="A20" s="296" t="s">
        <v>1058</v>
      </c>
      <c r="B20" s="469" t="s">
        <v>1065</v>
      </c>
      <c r="C20" s="453" t="s">
        <v>1520</v>
      </c>
      <c r="D20" s="470" t="s">
        <v>1071</v>
      </c>
      <c r="E20" s="306">
        <v>8647.6750413888913</v>
      </c>
      <c r="F20" s="307">
        <v>206</v>
      </c>
      <c r="G20" s="307">
        <v>2</v>
      </c>
      <c r="H20" s="308">
        <f>+G20*F20*E20</f>
        <v>3562842.1170522231</v>
      </c>
      <c r="I20" s="309">
        <v>12</v>
      </c>
      <c r="J20" s="310">
        <f>+I20*H20</f>
        <v>42754105.404626675</v>
      </c>
    </row>
    <row r="21" spans="1:12" ht="9.75" customHeight="1" x14ac:dyDescent="0.2">
      <c r="A21" s="783" t="s">
        <v>203</v>
      </c>
      <c r="B21" s="784"/>
      <c r="C21" s="785"/>
      <c r="D21" s="311"/>
      <c r="E21" s="311"/>
      <c r="F21" s="311"/>
      <c r="G21" s="311"/>
      <c r="H21" s="267"/>
      <c r="I21" s="312"/>
      <c r="J21" s="310">
        <f>SUM(J17:J20)</f>
        <v>165052120.44596004</v>
      </c>
    </row>
    <row r="22" spans="1:12" s="240" customFormat="1" ht="17.399999999999999" customHeight="1" x14ac:dyDescent="0.3">
      <c r="A22" s="781" t="s">
        <v>35</v>
      </c>
      <c r="B22" s="786"/>
      <c r="C22" s="782"/>
      <c r="D22" s="305" t="s">
        <v>12</v>
      </c>
      <c r="E22" s="305" t="s">
        <v>13</v>
      </c>
      <c r="F22" s="305" t="s">
        <v>1070</v>
      </c>
      <c r="G22" s="305" t="s">
        <v>1076</v>
      </c>
      <c r="H22" s="305" t="s">
        <v>384</v>
      </c>
      <c r="I22" s="304" t="s">
        <v>1077</v>
      </c>
      <c r="J22" s="304" t="s">
        <v>203</v>
      </c>
    </row>
    <row r="23" spans="1:12" ht="10.199999999999999" customHeight="1" x14ac:dyDescent="0.2">
      <c r="A23" s="764" t="s">
        <v>1522</v>
      </c>
      <c r="B23" s="764"/>
      <c r="C23" s="764"/>
      <c r="D23" s="241" t="s">
        <v>379</v>
      </c>
      <c r="E23" s="295">
        <v>2.5121421739942385E-3</v>
      </c>
      <c r="F23" s="306">
        <v>1</v>
      </c>
      <c r="G23" s="306">
        <f>+G28</f>
        <v>8200581675.1276922</v>
      </c>
      <c r="H23" s="308">
        <f>+G23*F23*E23</f>
        <v>20601027.077372596</v>
      </c>
      <c r="I23" s="313">
        <v>1</v>
      </c>
      <c r="J23" s="314">
        <f>+I23*H23</f>
        <v>20601027.077372596</v>
      </c>
    </row>
    <row r="24" spans="1:12" ht="10.199999999999999" customHeight="1" x14ac:dyDescent="0.2">
      <c r="A24" s="764" t="s">
        <v>1523</v>
      </c>
      <c r="B24" s="764"/>
      <c r="C24" s="764"/>
      <c r="D24" s="241" t="s">
        <v>379</v>
      </c>
      <c r="E24" s="295">
        <f>+E23</f>
        <v>2.5121421739942385E-3</v>
      </c>
      <c r="F24" s="306">
        <v>1</v>
      </c>
      <c r="G24" s="306">
        <f>+G23</f>
        <v>8200581675.1276922</v>
      </c>
      <c r="H24" s="308">
        <f>+G24*F24*E24</f>
        <v>20601027.077372596</v>
      </c>
      <c r="I24" s="313">
        <v>1</v>
      </c>
      <c r="J24" s="314">
        <f>+I24*H24</f>
        <v>20601027.077372596</v>
      </c>
    </row>
    <row r="25" spans="1:12" ht="10.199999999999999" customHeight="1" x14ac:dyDescent="0.2">
      <c r="A25" s="764" t="s">
        <v>1521</v>
      </c>
      <c r="B25" s="764"/>
      <c r="C25" s="764"/>
      <c r="D25" s="241"/>
      <c r="E25" s="219"/>
      <c r="F25" s="307"/>
      <c r="G25" s="306"/>
      <c r="H25" s="308"/>
      <c r="I25" s="309"/>
      <c r="J25" s="314">
        <f>SUM(J23:J24)</f>
        <v>41202054.154745191</v>
      </c>
    </row>
    <row r="26" spans="1:12" ht="10.199999999999999" customHeight="1" x14ac:dyDescent="0.2">
      <c r="A26" s="250"/>
      <c r="B26" s="250"/>
      <c r="C26" s="250"/>
      <c r="D26" s="240"/>
      <c r="E26" s="230"/>
      <c r="F26" s="315"/>
      <c r="G26" s="316"/>
      <c r="H26" s="317"/>
      <c r="I26" s="312"/>
      <c r="J26" s="318"/>
    </row>
    <row r="27" spans="1:12" ht="10.199999999999999" customHeight="1" x14ac:dyDescent="0.2">
      <c r="A27" s="778" t="s">
        <v>35</v>
      </c>
      <c r="B27" s="779"/>
      <c r="C27" s="779"/>
      <c r="D27" s="779"/>
      <c r="E27" s="779"/>
      <c r="F27" s="780"/>
      <c r="G27" s="781" t="s">
        <v>1081</v>
      </c>
      <c r="H27" s="782"/>
      <c r="I27" s="304" t="s">
        <v>379</v>
      </c>
      <c r="J27" s="304" t="s">
        <v>203</v>
      </c>
    </row>
    <row r="28" spans="1:12" ht="9.6" customHeight="1" x14ac:dyDescent="0.2">
      <c r="A28" s="764" t="s">
        <v>1525</v>
      </c>
      <c r="B28" s="764"/>
      <c r="C28" s="764"/>
      <c r="D28" s="764"/>
      <c r="E28" s="764"/>
      <c r="F28" s="764"/>
      <c r="G28" s="776">
        <f>('AJUSTE PRESUPUESTO'!H62)*1.12</f>
        <v>8200581675.1276922</v>
      </c>
      <c r="H28" s="777"/>
      <c r="I28" s="320">
        <v>3.5000000000000001E-3</v>
      </c>
      <c r="J28" s="314">
        <f>+I28*G28</f>
        <v>28702035.862946924</v>
      </c>
    </row>
    <row r="29" spans="1:12" ht="9.6" customHeight="1" x14ac:dyDescent="0.2">
      <c r="A29" s="764" t="s">
        <v>1524</v>
      </c>
      <c r="B29" s="764"/>
      <c r="C29" s="764"/>
      <c r="D29" s="764"/>
      <c r="E29" s="764"/>
      <c r="F29" s="764"/>
      <c r="G29" s="776">
        <f>+G28</f>
        <v>8200581675.1276922</v>
      </c>
      <c r="H29" s="777">
        <f>+G28</f>
        <v>8200581675.1276922</v>
      </c>
      <c r="I29" s="295">
        <v>7.4999999999999997E-2</v>
      </c>
      <c r="J29" s="314">
        <f>+I29*G29</f>
        <v>615043625.63457692</v>
      </c>
    </row>
    <row r="30" spans="1:12" ht="9.6" customHeight="1" x14ac:dyDescent="0.2">
      <c r="A30" s="764" t="s">
        <v>1521</v>
      </c>
      <c r="B30" s="764"/>
      <c r="C30" s="764"/>
      <c r="D30" s="764"/>
      <c r="E30" s="764"/>
      <c r="F30" s="764"/>
      <c r="G30" s="776">
        <f>SUM(H28:H28)</f>
        <v>0</v>
      </c>
      <c r="H30" s="777"/>
      <c r="I30" s="309"/>
      <c r="J30" s="314">
        <f>SUM(J28:J29)</f>
        <v>643745661.49752378</v>
      </c>
    </row>
    <row r="31" spans="1:12" x14ac:dyDescent="0.2">
      <c r="A31" s="250"/>
      <c r="B31" s="250"/>
      <c r="C31" s="250"/>
      <c r="D31" s="240"/>
      <c r="E31" s="230"/>
      <c r="F31" s="315"/>
      <c r="G31" s="316"/>
      <c r="H31" s="317"/>
      <c r="I31" s="312"/>
      <c r="J31" s="318"/>
    </row>
    <row r="32" spans="1:12" x14ac:dyDescent="0.2">
      <c r="A32" s="709" t="s">
        <v>1092</v>
      </c>
      <c r="B32" s="709"/>
      <c r="C32" s="709"/>
      <c r="D32" s="709"/>
      <c r="E32" s="709"/>
      <c r="F32" s="709"/>
      <c r="G32" s="709"/>
      <c r="H32" s="218">
        <f>+H25+H21</f>
        <v>0</v>
      </c>
      <c r="J32" s="319">
        <f>+J25+J21+J30</f>
        <v>849999836.09822905</v>
      </c>
      <c r="L32" s="109">
        <f>+'AJUSTE PRESUPUESTO'!H62*0.12</f>
        <v>878633750.90653837</v>
      </c>
    </row>
  </sheetData>
  <mergeCells count="44">
    <mergeCell ref="D1:I1"/>
    <mergeCell ref="A2:B5"/>
    <mergeCell ref="C2:D3"/>
    <mergeCell ref="G2:J2"/>
    <mergeCell ref="G3:J3"/>
    <mergeCell ref="G4:J4"/>
    <mergeCell ref="G5:J5"/>
    <mergeCell ref="A7:B7"/>
    <mergeCell ref="C7:D7"/>
    <mergeCell ref="E7:G7"/>
    <mergeCell ref="H7:J7"/>
    <mergeCell ref="A9:B9"/>
    <mergeCell ref="C9:D9"/>
    <mergeCell ref="E9:G9"/>
    <mergeCell ref="H9:J9"/>
    <mergeCell ref="A10:B10"/>
    <mergeCell ref="C10:D10"/>
    <mergeCell ref="E10:J10"/>
    <mergeCell ref="A11:B11"/>
    <mergeCell ref="C11:D11"/>
    <mergeCell ref="E11:J11"/>
    <mergeCell ref="A12:B12"/>
    <mergeCell ref="C12:D12"/>
    <mergeCell ref="E12:J12"/>
    <mergeCell ref="A13:B13"/>
    <mergeCell ref="C13:D13"/>
    <mergeCell ref="E13:J13"/>
    <mergeCell ref="A14:B14"/>
    <mergeCell ref="C14:I14"/>
    <mergeCell ref="A15:J15"/>
    <mergeCell ref="A21:C21"/>
    <mergeCell ref="A22:C22"/>
    <mergeCell ref="A27:F27"/>
    <mergeCell ref="G27:H27"/>
    <mergeCell ref="A23:C23"/>
    <mergeCell ref="A25:C25"/>
    <mergeCell ref="A24:C24"/>
    <mergeCell ref="A28:F28"/>
    <mergeCell ref="G28:H28"/>
    <mergeCell ref="A30:F30"/>
    <mergeCell ref="G30:H30"/>
    <mergeCell ref="A32:G32"/>
    <mergeCell ref="A29:F29"/>
    <mergeCell ref="G29:H29"/>
  </mergeCells>
  <pageMargins left="0.70866141732283472" right="0.59" top="1.2204724409448819" bottom="1.08" header="0.31496062992125984" footer="0.77"/>
  <pageSetup scale="78" orientation="landscape" r:id="rId1"/>
  <headerFooter>
    <oddHeader>&amp;L&amp;G&amp;C&amp;G&amp;R&amp;G</oddHeader>
    <oddFooter>&amp;L&amp;G&amp;R&amp;G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5"/>
  <sheetViews>
    <sheetView showGridLines="0" topLeftCell="A64" zoomScale="140" zoomScaleNormal="140" zoomScaleSheetLayoutView="120" workbookViewId="0">
      <selection activeCell="A83" sqref="A83"/>
    </sheetView>
  </sheetViews>
  <sheetFormatPr baseColWidth="10" defaultColWidth="11.5546875" defaultRowHeight="10.199999999999999" x14ac:dyDescent="0.2"/>
  <cols>
    <col min="1" max="1" width="6.88671875" style="68" customWidth="1"/>
    <col min="2" max="2" width="7.88671875" style="455" customWidth="1"/>
    <col min="3" max="3" width="23" style="68" customWidth="1"/>
    <col min="4" max="7" width="9" style="68" customWidth="1"/>
    <col min="8" max="8" width="9.5546875" style="68" customWidth="1"/>
    <col min="9" max="9" width="6.6640625" style="68" customWidth="1"/>
    <col min="10" max="10" width="11.33203125" style="68" customWidth="1"/>
    <col min="11" max="16384" width="11.5546875" style="68"/>
  </cols>
  <sheetData>
    <row r="1" spans="1:19" s="227" customFormat="1" ht="38.25" customHeight="1" x14ac:dyDescent="0.3">
      <c r="A1" s="224"/>
      <c r="B1" s="466"/>
      <c r="C1" s="224"/>
      <c r="D1" s="701"/>
      <c r="E1" s="701"/>
      <c r="F1" s="701"/>
      <c r="G1" s="701"/>
      <c r="H1" s="701"/>
      <c r="I1" s="701"/>
      <c r="J1" s="226"/>
    </row>
    <row r="2" spans="1:19" s="227" customFormat="1" ht="9.75" customHeight="1" x14ac:dyDescent="0.3">
      <c r="A2" s="705"/>
      <c r="B2" s="705"/>
      <c r="C2" s="705"/>
      <c r="D2" s="705"/>
      <c r="F2" s="237"/>
      <c r="G2" s="603" t="s">
        <v>60</v>
      </c>
      <c r="H2" s="603"/>
      <c r="I2" s="603"/>
      <c r="J2" s="603"/>
    </row>
    <row r="3" spans="1:19" s="227" customFormat="1" ht="9.75" customHeight="1" x14ac:dyDescent="0.3">
      <c r="A3" s="705"/>
      <c r="B3" s="705"/>
      <c r="C3" s="705"/>
      <c r="D3" s="705"/>
      <c r="F3" s="237"/>
      <c r="G3" s="603" t="s">
        <v>61</v>
      </c>
      <c r="H3" s="603"/>
      <c r="I3" s="603"/>
      <c r="J3" s="603"/>
    </row>
    <row r="4" spans="1:19" s="227" customFormat="1" ht="9.75" customHeight="1" x14ac:dyDescent="0.2">
      <c r="A4" s="705"/>
      <c r="B4" s="705"/>
      <c r="F4" s="168" t="s">
        <v>281</v>
      </c>
      <c r="G4" s="603" t="s">
        <v>1061</v>
      </c>
      <c r="H4" s="603"/>
      <c r="I4" s="603"/>
      <c r="J4" s="603"/>
      <c r="M4" s="237"/>
      <c r="N4" s="237"/>
      <c r="O4" s="237"/>
      <c r="P4" s="237"/>
      <c r="Q4" s="237"/>
      <c r="R4" s="237"/>
      <c r="S4" s="237"/>
    </row>
    <row r="5" spans="1:19" s="227" customFormat="1" ht="9.75" customHeight="1" x14ac:dyDescent="0.2">
      <c r="A5" s="705"/>
      <c r="B5" s="705"/>
      <c r="F5" s="168" t="s">
        <v>280</v>
      </c>
      <c r="G5" s="603" t="s">
        <v>1062</v>
      </c>
      <c r="H5" s="603"/>
      <c r="I5" s="603"/>
      <c r="J5" s="603"/>
      <c r="M5" s="237"/>
      <c r="N5" s="237"/>
      <c r="O5" s="237"/>
      <c r="P5" s="237"/>
      <c r="Q5" s="237"/>
      <c r="R5" s="237"/>
      <c r="S5" s="237"/>
    </row>
    <row r="6" spans="1:19" s="227" customFormat="1" ht="10.5" customHeight="1" x14ac:dyDescent="0.3">
      <c r="B6" s="467"/>
      <c r="C6" s="155"/>
      <c r="I6" s="226"/>
      <c r="J6" s="226"/>
      <c r="M6" s="237"/>
      <c r="N6" s="237"/>
      <c r="O6" s="237"/>
      <c r="P6" s="237"/>
      <c r="Q6" s="237"/>
      <c r="R6" s="237"/>
      <c r="S6" s="237"/>
    </row>
    <row r="7" spans="1:19" s="227" customFormat="1" ht="12" customHeight="1" x14ac:dyDescent="0.3">
      <c r="A7" s="706" t="s">
        <v>21</v>
      </c>
      <c r="B7" s="706"/>
      <c r="C7" s="707" t="str">
        <f>+G4</f>
        <v>DISTRITO DE TURBO</v>
      </c>
      <c r="D7" s="707"/>
      <c r="E7" s="707" t="s">
        <v>22</v>
      </c>
      <c r="F7" s="707"/>
      <c r="G7" s="707"/>
      <c r="H7" s="707" t="str">
        <f>+G3</f>
        <v>DEPARTAMENTO DE ANTIOQUIA</v>
      </c>
      <c r="I7" s="707"/>
      <c r="J7" s="707"/>
      <c r="M7" s="237"/>
      <c r="N7" s="237"/>
      <c r="O7" s="237"/>
      <c r="P7" s="237"/>
      <c r="Q7" s="237"/>
      <c r="R7" s="237"/>
      <c r="S7" s="237"/>
    </row>
    <row r="8" spans="1:19" s="227" customFormat="1" ht="7.2" customHeight="1" x14ac:dyDescent="0.3">
      <c r="A8" s="228"/>
      <c r="B8" s="228"/>
      <c r="C8" s="228"/>
      <c r="D8" s="228"/>
      <c r="E8" s="228"/>
      <c r="F8" s="154"/>
      <c r="G8" s="154"/>
      <c r="H8" s="154"/>
      <c r="I8" s="158"/>
      <c r="J8" s="226"/>
    </row>
    <row r="9" spans="1:19" s="227" customFormat="1" ht="10.199999999999999" customHeight="1" x14ac:dyDescent="0.3">
      <c r="A9" s="706" t="s">
        <v>20</v>
      </c>
      <c r="B9" s="706"/>
      <c r="C9" s="707" t="s">
        <v>385</v>
      </c>
      <c r="D9" s="707"/>
      <c r="E9" s="708" t="s">
        <v>10</v>
      </c>
      <c r="F9" s="708"/>
      <c r="G9" s="708"/>
      <c r="H9" s="611">
        <f>'AJUSTE PRESUPUESTO'!H9</f>
        <v>45152</v>
      </c>
      <c r="I9" s="611"/>
      <c r="J9" s="611"/>
      <c r="K9" s="238"/>
    </row>
    <row r="10" spans="1:19" s="227" customFormat="1" ht="10.199999999999999" customHeight="1" x14ac:dyDescent="0.3">
      <c r="A10" s="706" t="s">
        <v>8</v>
      </c>
      <c r="B10" s="706"/>
      <c r="C10" s="702" t="s">
        <v>64</v>
      </c>
      <c r="D10" s="702"/>
      <c r="E10" s="702" t="s">
        <v>1061</v>
      </c>
      <c r="F10" s="702"/>
      <c r="G10" s="702"/>
      <c r="H10" s="702"/>
      <c r="I10" s="702"/>
      <c r="J10" s="702"/>
    </row>
    <row r="11" spans="1:19" s="227" customFormat="1" ht="18.600000000000001" customHeight="1" x14ac:dyDescent="0.3">
      <c r="A11" s="706" t="s">
        <v>7</v>
      </c>
      <c r="B11" s="706"/>
      <c r="C11" s="702" t="s">
        <v>63</v>
      </c>
      <c r="D11" s="702"/>
      <c r="E11" s="702" t="s">
        <v>1117</v>
      </c>
      <c r="F11" s="702"/>
      <c r="G11" s="702"/>
      <c r="H11" s="702"/>
      <c r="I11" s="702"/>
      <c r="J11" s="702"/>
    </row>
    <row r="12" spans="1:19" s="227" customFormat="1" ht="12" customHeight="1" x14ac:dyDescent="0.3">
      <c r="A12" s="706" t="s">
        <v>9</v>
      </c>
      <c r="B12" s="706"/>
      <c r="C12" s="702" t="s">
        <v>62</v>
      </c>
      <c r="D12" s="702"/>
      <c r="E12" s="702" t="s">
        <v>1035</v>
      </c>
      <c r="F12" s="702"/>
      <c r="G12" s="702"/>
      <c r="H12" s="702"/>
      <c r="I12" s="702"/>
      <c r="J12" s="702"/>
    </row>
    <row r="13" spans="1:19" s="227" customFormat="1" ht="12" customHeight="1" x14ac:dyDescent="0.3">
      <c r="A13" s="706" t="s">
        <v>66</v>
      </c>
      <c r="B13" s="706"/>
      <c r="C13" s="702" t="s">
        <v>65</v>
      </c>
      <c r="D13" s="702"/>
      <c r="E13" s="702" t="s">
        <v>67</v>
      </c>
      <c r="F13" s="702"/>
      <c r="G13" s="702"/>
      <c r="H13" s="702"/>
      <c r="I13" s="702"/>
      <c r="J13" s="702"/>
    </row>
    <row r="14" spans="1:19" s="227" customFormat="1" ht="12" customHeight="1" x14ac:dyDescent="0.3">
      <c r="A14" s="706"/>
      <c r="B14" s="706"/>
      <c r="C14" s="707"/>
      <c r="D14" s="707"/>
      <c r="E14" s="707"/>
      <c r="F14" s="707"/>
      <c r="G14" s="707"/>
      <c r="H14" s="707"/>
      <c r="I14" s="707"/>
      <c r="J14" s="226"/>
    </row>
    <row r="15" spans="1:19" s="227" customFormat="1" ht="12" customHeight="1" x14ac:dyDescent="0.3">
      <c r="A15" s="605" t="s">
        <v>1078</v>
      </c>
      <c r="B15" s="605"/>
      <c r="C15" s="605"/>
      <c r="D15" s="605"/>
      <c r="E15" s="605"/>
      <c r="F15" s="605"/>
      <c r="G15" s="605"/>
      <c r="H15" s="605"/>
      <c r="I15" s="605"/>
      <c r="J15" s="605"/>
    </row>
    <row r="16" spans="1:19" s="111" customFormat="1" ht="20.399999999999999" customHeight="1" x14ac:dyDescent="0.3">
      <c r="A16" s="261" t="s">
        <v>72</v>
      </c>
      <c r="B16" s="468" t="s">
        <v>75</v>
      </c>
      <c r="C16" s="452" t="s">
        <v>35</v>
      </c>
      <c r="D16" s="262" t="s">
        <v>1070</v>
      </c>
      <c r="E16" s="262" t="s">
        <v>1045</v>
      </c>
      <c r="F16" s="262" t="s">
        <v>1072</v>
      </c>
      <c r="G16" s="262" t="s">
        <v>1064</v>
      </c>
      <c r="H16" s="262" t="s">
        <v>384</v>
      </c>
      <c r="I16" s="261" t="s">
        <v>1073</v>
      </c>
      <c r="J16" s="261" t="s">
        <v>1057</v>
      </c>
    </row>
    <row r="17" spans="1:14" ht="9.75" customHeight="1" x14ac:dyDescent="0.2">
      <c r="A17" s="39" t="s">
        <v>1058</v>
      </c>
      <c r="B17" s="457" t="s">
        <v>176</v>
      </c>
      <c r="C17" s="453" t="s">
        <v>1451</v>
      </c>
      <c r="D17" s="451" t="s">
        <v>1071</v>
      </c>
      <c r="E17" s="221">
        <f>VLOOKUP(B17,'MDEO ADMON'!B16:O27,9,FALSE)</f>
        <v>23599.933041666671</v>
      </c>
      <c r="F17" s="220">
        <f>206*0.5</f>
        <v>103</v>
      </c>
      <c r="G17" s="220">
        <v>1</v>
      </c>
      <c r="H17" s="239">
        <f>+G17*F17*E17</f>
        <v>2430793.1032916671</v>
      </c>
      <c r="I17" s="15">
        <v>12</v>
      </c>
      <c r="J17" s="103">
        <f>+I17*H17</f>
        <v>29169517.239500005</v>
      </c>
    </row>
    <row r="18" spans="1:14" ht="9.75" customHeight="1" x14ac:dyDescent="0.2">
      <c r="A18" s="39" t="s">
        <v>1058</v>
      </c>
      <c r="B18" s="457" t="s">
        <v>177</v>
      </c>
      <c r="C18" s="453" t="s">
        <v>1449</v>
      </c>
      <c r="D18" s="451" t="s">
        <v>1071</v>
      </c>
      <c r="E18" s="221">
        <f>VLOOKUP(B18,'MDEO ADMON'!B17:O28,9,FALSE)</f>
        <v>20055.73165277778</v>
      </c>
      <c r="F18" s="220">
        <f>+F17</f>
        <v>103</v>
      </c>
      <c r="G18" s="220">
        <v>1</v>
      </c>
      <c r="H18" s="239">
        <f>+G18*F18*E18</f>
        <v>2065740.3602361113</v>
      </c>
      <c r="I18" s="15">
        <v>12</v>
      </c>
      <c r="J18" s="103">
        <f>+I18*H18</f>
        <v>24788884.322833337</v>
      </c>
    </row>
    <row r="19" spans="1:14" ht="9.75" customHeight="1" x14ac:dyDescent="0.2">
      <c r="A19" s="39" t="s">
        <v>1058</v>
      </c>
      <c r="B19" s="457" t="s">
        <v>178</v>
      </c>
      <c r="C19" s="453" t="s">
        <v>1450</v>
      </c>
      <c r="D19" s="451" t="s">
        <v>1071</v>
      </c>
      <c r="E19" s="221">
        <f>VLOOKUP(B19,'MDEO ADMON'!B18:O29,9,FALSE)</f>
        <v>20055.73165277778</v>
      </c>
      <c r="F19" s="220">
        <f>+F17</f>
        <v>103</v>
      </c>
      <c r="G19" s="220">
        <v>1</v>
      </c>
      <c r="H19" s="239">
        <f>+G19*F19*E19</f>
        <v>2065740.3602361113</v>
      </c>
      <c r="I19" s="15">
        <v>12</v>
      </c>
      <c r="J19" s="103">
        <f>+I19*H19</f>
        <v>24788884.322833337</v>
      </c>
    </row>
    <row r="20" spans="1:14" ht="9.75" customHeight="1" x14ac:dyDescent="0.2">
      <c r="A20" s="800" t="s">
        <v>203</v>
      </c>
      <c r="B20" s="801"/>
      <c r="C20" s="802"/>
      <c r="D20" s="7"/>
      <c r="E20" s="7"/>
      <c r="F20" s="7"/>
      <c r="G20" s="7"/>
      <c r="H20" s="242">
        <f>SUM(H17:H19)</f>
        <v>6562273.8237638893</v>
      </c>
      <c r="I20" s="101"/>
      <c r="J20" s="103">
        <f>SUM(J17:J19)</f>
        <v>78747285.885166675</v>
      </c>
    </row>
    <row r="21" spans="1:14" s="111" customFormat="1" ht="17.399999999999999" customHeight="1" thickBot="1" x14ac:dyDescent="0.35">
      <c r="A21" s="775" t="s">
        <v>35</v>
      </c>
      <c r="B21" s="775"/>
      <c r="C21" s="775"/>
      <c r="D21" s="263" t="s">
        <v>12</v>
      </c>
      <c r="E21" s="263" t="s">
        <v>13</v>
      </c>
      <c r="F21" s="261" t="s">
        <v>1070</v>
      </c>
      <c r="G21" s="261" t="s">
        <v>1076</v>
      </c>
      <c r="H21" s="261" t="s">
        <v>384</v>
      </c>
      <c r="I21" s="261" t="s">
        <v>1077</v>
      </c>
      <c r="J21" s="261" t="s">
        <v>203</v>
      </c>
    </row>
    <row r="22" spans="1:14" ht="27" customHeight="1" thickBot="1" x14ac:dyDescent="0.25">
      <c r="A22" s="764" t="s">
        <v>1464</v>
      </c>
      <c r="B22" s="764"/>
      <c r="C22" s="764"/>
      <c r="D22" s="241"/>
      <c r="E22" s="219"/>
      <c r="F22" s="221"/>
      <c r="G22" s="221"/>
      <c r="H22" s="239"/>
      <c r="I22" s="15"/>
      <c r="J22" s="248">
        <f>SUM(J23:J28)</f>
        <v>2570000</v>
      </c>
      <c r="M22" s="787" t="s">
        <v>1464</v>
      </c>
      <c r="N22" s="788"/>
    </row>
    <row r="23" spans="1:14" ht="10.199999999999999" customHeight="1" thickBot="1" x14ac:dyDescent="0.25">
      <c r="A23" s="453"/>
      <c r="B23" s="764" t="s">
        <v>1452</v>
      </c>
      <c r="C23" s="764"/>
      <c r="D23" s="241" t="s">
        <v>12</v>
      </c>
      <c r="E23" s="219">
        <v>3</v>
      </c>
      <c r="F23" s="221">
        <v>2</v>
      </c>
      <c r="G23" s="221">
        <v>60000</v>
      </c>
      <c r="H23" s="239">
        <f t="shared" ref="H23:H28" si="0">+G23*F23*E23</f>
        <v>360000</v>
      </c>
      <c r="I23" s="15">
        <v>2</v>
      </c>
      <c r="J23" s="248">
        <f t="shared" ref="J23:J28" si="1">+I23*H23</f>
        <v>720000</v>
      </c>
      <c r="M23" s="463"/>
      <c r="N23" s="464" t="s">
        <v>1452</v>
      </c>
    </row>
    <row r="24" spans="1:14" ht="10.199999999999999" customHeight="1" thickBot="1" x14ac:dyDescent="0.25">
      <c r="A24" s="453"/>
      <c r="B24" s="764" t="s">
        <v>1465</v>
      </c>
      <c r="C24" s="764"/>
      <c r="D24" s="241" t="s">
        <v>12</v>
      </c>
      <c r="E24" s="219">
        <v>3</v>
      </c>
      <c r="F24" s="221">
        <v>2</v>
      </c>
      <c r="G24" s="221">
        <v>25000</v>
      </c>
      <c r="H24" s="239">
        <f t="shared" si="0"/>
        <v>150000</v>
      </c>
      <c r="I24" s="15">
        <v>1</v>
      </c>
      <c r="J24" s="248">
        <f t="shared" si="1"/>
        <v>150000</v>
      </c>
      <c r="M24" s="463"/>
      <c r="N24" s="464" t="s">
        <v>1465</v>
      </c>
    </row>
    <row r="25" spans="1:14" ht="10.199999999999999" customHeight="1" thickBot="1" x14ac:dyDescent="0.25">
      <c r="A25" s="453"/>
      <c r="B25" s="764" t="s">
        <v>1466</v>
      </c>
      <c r="C25" s="764"/>
      <c r="D25" s="241" t="s">
        <v>12</v>
      </c>
      <c r="E25" s="219">
        <v>2</v>
      </c>
      <c r="F25" s="221">
        <v>2</v>
      </c>
      <c r="G25" s="221">
        <v>250000</v>
      </c>
      <c r="H25" s="239">
        <f t="shared" si="0"/>
        <v>1000000</v>
      </c>
      <c r="I25" s="15">
        <v>1</v>
      </c>
      <c r="J25" s="248">
        <f t="shared" si="1"/>
        <v>1000000</v>
      </c>
      <c r="M25" s="463"/>
      <c r="N25" s="464" t="s">
        <v>1466</v>
      </c>
    </row>
    <row r="26" spans="1:14" ht="10.199999999999999" customHeight="1" thickBot="1" x14ac:dyDescent="0.25">
      <c r="A26" s="453"/>
      <c r="B26" s="764" t="s">
        <v>1467</v>
      </c>
      <c r="C26" s="764"/>
      <c r="D26" s="241" t="s">
        <v>12</v>
      </c>
      <c r="E26" s="219">
        <v>2</v>
      </c>
      <c r="F26" s="221">
        <v>2</v>
      </c>
      <c r="G26" s="221">
        <v>60000</v>
      </c>
      <c r="H26" s="239">
        <f t="shared" si="0"/>
        <v>240000</v>
      </c>
      <c r="I26" s="15">
        <v>1</v>
      </c>
      <c r="J26" s="248">
        <f t="shared" si="1"/>
        <v>240000</v>
      </c>
      <c r="M26" s="463"/>
      <c r="N26" s="464" t="s">
        <v>1467</v>
      </c>
    </row>
    <row r="27" spans="1:14" ht="10.199999999999999" customHeight="1" thickBot="1" x14ac:dyDescent="0.25">
      <c r="A27" s="453"/>
      <c r="B27" s="764" t="s">
        <v>1468</v>
      </c>
      <c r="C27" s="764"/>
      <c r="D27" s="241" t="s">
        <v>12</v>
      </c>
      <c r="E27" s="219">
        <v>2</v>
      </c>
      <c r="F27" s="221">
        <v>2</v>
      </c>
      <c r="G27" s="221">
        <v>45000</v>
      </c>
      <c r="H27" s="239">
        <f t="shared" si="0"/>
        <v>180000</v>
      </c>
      <c r="I27" s="15">
        <v>1</v>
      </c>
      <c r="J27" s="248">
        <f t="shared" si="1"/>
        <v>180000</v>
      </c>
      <c r="M27" s="463"/>
      <c r="N27" s="464" t="s">
        <v>1468</v>
      </c>
    </row>
    <row r="28" spans="1:14" ht="10.199999999999999" customHeight="1" thickBot="1" x14ac:dyDescent="0.25">
      <c r="A28" s="453"/>
      <c r="B28" s="764" t="s">
        <v>1453</v>
      </c>
      <c r="C28" s="764"/>
      <c r="D28" s="241" t="s">
        <v>12</v>
      </c>
      <c r="E28" s="219">
        <v>4</v>
      </c>
      <c r="F28" s="221">
        <v>2</v>
      </c>
      <c r="G28" s="221">
        <v>35000</v>
      </c>
      <c r="H28" s="239">
        <f t="shared" si="0"/>
        <v>280000</v>
      </c>
      <c r="I28" s="15">
        <v>1</v>
      </c>
      <c r="J28" s="248">
        <f t="shared" si="1"/>
        <v>280000</v>
      </c>
      <c r="M28" s="463"/>
      <c r="N28" s="464" t="s">
        <v>1453</v>
      </c>
    </row>
    <row r="29" spans="1:14" ht="10.199999999999999" customHeight="1" thickBot="1" x14ac:dyDescent="0.25">
      <c r="A29" s="764" t="s">
        <v>1454</v>
      </c>
      <c r="B29" s="764"/>
      <c r="C29" s="764"/>
      <c r="D29" s="241"/>
      <c r="E29" s="219"/>
      <c r="F29" s="221"/>
      <c r="G29" s="221"/>
      <c r="H29" s="239"/>
      <c r="I29" s="220"/>
      <c r="J29" s="248">
        <f>SUM(J30:J42)</f>
        <v>19584800</v>
      </c>
      <c r="M29" s="789" t="s">
        <v>1454</v>
      </c>
      <c r="N29" s="790"/>
    </row>
    <row r="30" spans="1:14" ht="10.199999999999999" customHeight="1" thickBot="1" x14ac:dyDescent="0.25">
      <c r="A30" s="453"/>
      <c r="B30" s="764" t="s">
        <v>1469</v>
      </c>
      <c r="C30" s="764"/>
      <c r="D30" s="241" t="s">
        <v>12</v>
      </c>
      <c r="E30" s="219">
        <v>1</v>
      </c>
      <c r="F30" s="221">
        <v>2</v>
      </c>
      <c r="G30" s="221">
        <v>35000</v>
      </c>
      <c r="H30" s="239">
        <f>+G30*F30*E30</f>
        <v>70000</v>
      </c>
      <c r="I30" s="15">
        <v>8</v>
      </c>
      <c r="J30" s="248">
        <f t="shared" ref="J30:J42" si="2">+I30*H30</f>
        <v>560000</v>
      </c>
      <c r="M30" s="463"/>
      <c r="N30" s="464" t="s">
        <v>1469</v>
      </c>
    </row>
    <row r="31" spans="1:14" ht="10.199999999999999" customHeight="1" thickBot="1" x14ac:dyDescent="0.25">
      <c r="A31" s="453"/>
      <c r="B31" s="764" t="s">
        <v>1470</v>
      </c>
      <c r="C31" s="764"/>
      <c r="D31" s="241" t="s">
        <v>12</v>
      </c>
      <c r="E31" s="219">
        <v>2</v>
      </c>
      <c r="F31" s="221">
        <v>2</v>
      </c>
      <c r="G31" s="221">
        <v>6000</v>
      </c>
      <c r="H31" s="239">
        <f t="shared" ref="H31:H42" si="3">+G31*F31*E31</f>
        <v>24000</v>
      </c>
      <c r="I31" s="15">
        <v>1</v>
      </c>
      <c r="J31" s="248">
        <f t="shared" si="2"/>
        <v>24000</v>
      </c>
      <c r="M31" s="463"/>
      <c r="N31" s="464" t="s">
        <v>1470</v>
      </c>
    </row>
    <row r="32" spans="1:14" ht="10.199999999999999" customHeight="1" thickBot="1" x14ac:dyDescent="0.25">
      <c r="A32" s="453"/>
      <c r="B32" s="764" t="s">
        <v>1455</v>
      </c>
      <c r="C32" s="764"/>
      <c r="D32" s="241" t="s">
        <v>12</v>
      </c>
      <c r="E32" s="219">
        <v>1</v>
      </c>
      <c r="F32" s="221">
        <v>2</v>
      </c>
      <c r="G32" s="221">
        <v>60000</v>
      </c>
      <c r="H32" s="239">
        <f t="shared" si="3"/>
        <v>120000</v>
      </c>
      <c r="I32" s="15">
        <v>1</v>
      </c>
      <c r="J32" s="248">
        <f t="shared" si="2"/>
        <v>120000</v>
      </c>
      <c r="M32" s="463"/>
      <c r="N32" s="464" t="s">
        <v>1455</v>
      </c>
    </row>
    <row r="33" spans="1:14" ht="10.199999999999999" customHeight="1" thickBot="1" x14ac:dyDescent="0.25">
      <c r="A33" s="453"/>
      <c r="B33" s="764" t="s">
        <v>1471</v>
      </c>
      <c r="C33" s="764"/>
      <c r="D33" s="241" t="s">
        <v>12</v>
      </c>
      <c r="E33" s="219">
        <v>2</v>
      </c>
      <c r="F33" s="221">
        <v>2</v>
      </c>
      <c r="G33" s="221">
        <v>25000</v>
      </c>
      <c r="H33" s="239">
        <f t="shared" si="3"/>
        <v>100000</v>
      </c>
      <c r="I33" s="15">
        <v>12</v>
      </c>
      <c r="J33" s="248">
        <f t="shared" si="2"/>
        <v>1200000</v>
      </c>
      <c r="M33" s="463"/>
      <c r="N33" s="464" t="s">
        <v>1471</v>
      </c>
    </row>
    <row r="34" spans="1:14" ht="10.199999999999999" customHeight="1" thickBot="1" x14ac:dyDescent="0.25">
      <c r="A34" s="453"/>
      <c r="B34" s="764" t="s">
        <v>1456</v>
      </c>
      <c r="C34" s="764"/>
      <c r="D34" s="241" t="s">
        <v>12</v>
      </c>
      <c r="E34" s="219">
        <v>2</v>
      </c>
      <c r="F34" s="221">
        <v>2</v>
      </c>
      <c r="G34" s="221">
        <v>142000</v>
      </c>
      <c r="H34" s="239">
        <f t="shared" si="3"/>
        <v>568000</v>
      </c>
      <c r="I34" s="15">
        <v>12</v>
      </c>
      <c r="J34" s="248">
        <f t="shared" si="2"/>
        <v>6816000</v>
      </c>
      <c r="M34" s="463"/>
      <c r="N34" s="464" t="s">
        <v>1456</v>
      </c>
    </row>
    <row r="35" spans="1:14" ht="10.199999999999999" customHeight="1" thickBot="1" x14ac:dyDescent="0.25">
      <c r="A35" s="453"/>
      <c r="B35" s="764" t="s">
        <v>1457</v>
      </c>
      <c r="C35" s="764"/>
      <c r="D35" s="241" t="s">
        <v>12</v>
      </c>
      <c r="E35" s="219">
        <v>1</v>
      </c>
      <c r="F35" s="221">
        <v>2</v>
      </c>
      <c r="G35" s="221">
        <v>165000</v>
      </c>
      <c r="H35" s="239">
        <f t="shared" si="3"/>
        <v>330000</v>
      </c>
      <c r="I35" s="15">
        <v>1</v>
      </c>
      <c r="J35" s="248">
        <f t="shared" si="2"/>
        <v>330000</v>
      </c>
      <c r="M35" s="463"/>
      <c r="N35" s="464" t="s">
        <v>1457</v>
      </c>
    </row>
    <row r="36" spans="1:14" ht="10.199999999999999" customHeight="1" thickBot="1" x14ac:dyDescent="0.25">
      <c r="A36" s="453"/>
      <c r="B36" s="764" t="s">
        <v>1458</v>
      </c>
      <c r="C36" s="764"/>
      <c r="D36" s="241" t="s">
        <v>12</v>
      </c>
      <c r="E36" s="219">
        <v>2</v>
      </c>
      <c r="F36" s="221">
        <v>2</v>
      </c>
      <c r="G36" s="221">
        <v>65000</v>
      </c>
      <c r="H36" s="239">
        <f t="shared" si="3"/>
        <v>260000</v>
      </c>
      <c r="I36" s="15">
        <v>12</v>
      </c>
      <c r="J36" s="248">
        <f t="shared" si="2"/>
        <v>3120000</v>
      </c>
      <c r="M36" s="463"/>
      <c r="N36" s="464" t="s">
        <v>1458</v>
      </c>
    </row>
    <row r="37" spans="1:14" ht="10.199999999999999" customHeight="1" thickBot="1" x14ac:dyDescent="0.25">
      <c r="A37" s="453"/>
      <c r="B37" s="764" t="s">
        <v>1459</v>
      </c>
      <c r="C37" s="764"/>
      <c r="D37" s="241" t="s">
        <v>12</v>
      </c>
      <c r="E37" s="219">
        <v>2</v>
      </c>
      <c r="F37" s="221">
        <v>2</v>
      </c>
      <c r="G37" s="221">
        <v>60000</v>
      </c>
      <c r="H37" s="239">
        <f>+G37*F37*E37</f>
        <v>240000</v>
      </c>
      <c r="I37" s="15">
        <v>12</v>
      </c>
      <c r="J37" s="248">
        <f t="shared" si="2"/>
        <v>2880000</v>
      </c>
      <c r="M37" s="463"/>
      <c r="N37" s="464" t="s">
        <v>1459</v>
      </c>
    </row>
    <row r="38" spans="1:14" ht="10.199999999999999" customHeight="1" thickBot="1" x14ac:dyDescent="0.25">
      <c r="A38" s="453"/>
      <c r="B38" s="764" t="s">
        <v>1472</v>
      </c>
      <c r="C38" s="764"/>
      <c r="D38" s="241" t="s">
        <v>12</v>
      </c>
      <c r="E38" s="219">
        <v>2</v>
      </c>
      <c r="F38" s="221">
        <v>2</v>
      </c>
      <c r="G38" s="221">
        <v>48000</v>
      </c>
      <c r="H38" s="239">
        <f>+G38*F38*E38</f>
        <v>192000</v>
      </c>
      <c r="I38" s="15">
        <v>12</v>
      </c>
      <c r="J38" s="248">
        <f t="shared" si="2"/>
        <v>2304000</v>
      </c>
      <c r="M38" s="463"/>
      <c r="N38" s="464" t="s">
        <v>1472</v>
      </c>
    </row>
    <row r="39" spans="1:14" ht="10.199999999999999" customHeight="1" thickBot="1" x14ac:dyDescent="0.25">
      <c r="A39" s="453"/>
      <c r="B39" s="764" t="s">
        <v>1473</v>
      </c>
      <c r="C39" s="764"/>
      <c r="D39" s="241" t="s">
        <v>12</v>
      </c>
      <c r="E39" s="219">
        <v>2</v>
      </c>
      <c r="F39" s="221">
        <v>2</v>
      </c>
      <c r="G39" s="221">
        <v>19800</v>
      </c>
      <c r="H39" s="239">
        <f>+G39*F39*E39</f>
        <v>79200</v>
      </c>
      <c r="I39" s="15">
        <v>12</v>
      </c>
      <c r="J39" s="248">
        <f t="shared" si="2"/>
        <v>950400</v>
      </c>
      <c r="M39" s="463"/>
      <c r="N39" s="464" t="s">
        <v>1473</v>
      </c>
    </row>
    <row r="40" spans="1:14" ht="10.199999999999999" customHeight="1" thickBot="1" x14ac:dyDescent="0.25">
      <c r="A40" s="453"/>
      <c r="B40" s="764" t="s">
        <v>1474</v>
      </c>
      <c r="C40" s="764"/>
      <c r="D40" s="241" t="s">
        <v>12</v>
      </c>
      <c r="E40" s="219">
        <v>2</v>
      </c>
      <c r="F40" s="221">
        <v>2</v>
      </c>
      <c r="G40" s="221">
        <v>6600</v>
      </c>
      <c r="H40" s="239">
        <f t="shared" si="3"/>
        <v>26400</v>
      </c>
      <c r="I40" s="15">
        <v>1</v>
      </c>
      <c r="J40" s="248">
        <f t="shared" si="2"/>
        <v>26400</v>
      </c>
      <c r="M40" s="463"/>
      <c r="N40" s="464" t="s">
        <v>1474</v>
      </c>
    </row>
    <row r="41" spans="1:14" ht="10.199999999999999" customHeight="1" thickBot="1" x14ac:dyDescent="0.25">
      <c r="A41" s="453"/>
      <c r="B41" s="764" t="s">
        <v>1460</v>
      </c>
      <c r="C41" s="764"/>
      <c r="D41" s="241" t="s">
        <v>12</v>
      </c>
      <c r="E41" s="219">
        <v>2</v>
      </c>
      <c r="F41" s="221">
        <v>2</v>
      </c>
      <c r="G41" s="221">
        <v>26000</v>
      </c>
      <c r="H41" s="239">
        <f t="shared" si="3"/>
        <v>104000</v>
      </c>
      <c r="I41" s="15">
        <v>12</v>
      </c>
      <c r="J41" s="248">
        <f t="shared" si="2"/>
        <v>1248000</v>
      </c>
      <c r="M41" s="463"/>
      <c r="N41" s="464" t="s">
        <v>1460</v>
      </c>
    </row>
    <row r="42" spans="1:14" ht="10.199999999999999" customHeight="1" thickBot="1" x14ac:dyDescent="0.25">
      <c r="A42" s="453"/>
      <c r="B42" s="764" t="s">
        <v>1461</v>
      </c>
      <c r="C42" s="764"/>
      <c r="D42" s="241" t="s">
        <v>12</v>
      </c>
      <c r="E42" s="219">
        <v>1</v>
      </c>
      <c r="F42" s="221">
        <v>2</v>
      </c>
      <c r="G42" s="221">
        <v>3000</v>
      </c>
      <c r="H42" s="239">
        <f t="shared" si="3"/>
        <v>6000</v>
      </c>
      <c r="I42" s="15">
        <v>1</v>
      </c>
      <c r="J42" s="248">
        <f t="shared" si="2"/>
        <v>6000</v>
      </c>
      <c r="M42" s="463"/>
      <c r="N42" s="464" t="s">
        <v>1461</v>
      </c>
    </row>
    <row r="43" spans="1:14" ht="10.199999999999999" customHeight="1" thickBot="1" x14ac:dyDescent="0.25">
      <c r="A43" s="764" t="s">
        <v>1475</v>
      </c>
      <c r="B43" s="764"/>
      <c r="C43" s="764"/>
      <c r="D43" s="241"/>
      <c r="E43" s="219"/>
      <c r="F43" s="221"/>
      <c r="G43" s="221"/>
      <c r="H43" s="239"/>
      <c r="I43" s="220"/>
      <c r="J43" s="248">
        <f>SUM(J44:J48)</f>
        <v>1000000</v>
      </c>
      <c r="M43" s="789" t="s">
        <v>1475</v>
      </c>
      <c r="N43" s="790"/>
    </row>
    <row r="44" spans="1:14" ht="10.199999999999999" customHeight="1" thickBot="1" x14ac:dyDescent="0.25">
      <c r="A44" s="453"/>
      <c r="B44" s="764" t="s">
        <v>1476</v>
      </c>
      <c r="C44" s="764"/>
      <c r="D44" s="241" t="s">
        <v>12</v>
      </c>
      <c r="E44" s="219">
        <v>2</v>
      </c>
      <c r="F44" s="221">
        <v>2</v>
      </c>
      <c r="G44" s="221">
        <v>25000</v>
      </c>
      <c r="H44" s="239">
        <f>+G44*F44*E44</f>
        <v>100000</v>
      </c>
      <c r="I44" s="15">
        <v>1</v>
      </c>
      <c r="J44" s="248">
        <f>+I44*H44</f>
        <v>100000</v>
      </c>
      <c r="M44" s="463"/>
      <c r="N44" s="464" t="s">
        <v>1476</v>
      </c>
    </row>
    <row r="45" spans="1:14" ht="10.199999999999999" customHeight="1" thickBot="1" x14ac:dyDescent="0.25">
      <c r="A45" s="453"/>
      <c r="B45" s="764" t="s">
        <v>1491</v>
      </c>
      <c r="C45" s="764"/>
      <c r="D45" s="241" t="s">
        <v>12</v>
      </c>
      <c r="E45" s="219">
        <v>6</v>
      </c>
      <c r="F45" s="221">
        <v>2</v>
      </c>
      <c r="G45" s="221">
        <v>25000</v>
      </c>
      <c r="H45" s="239">
        <f>+G45*F45*E45</f>
        <v>300000</v>
      </c>
      <c r="I45" s="15">
        <v>1</v>
      </c>
      <c r="J45" s="248">
        <f>+I45*H45</f>
        <v>300000</v>
      </c>
      <c r="M45" s="463"/>
      <c r="N45" s="464" t="s">
        <v>1491</v>
      </c>
    </row>
    <row r="46" spans="1:14" ht="10.199999999999999" customHeight="1" thickBot="1" x14ac:dyDescent="0.25">
      <c r="A46" s="453"/>
      <c r="B46" s="764" t="s">
        <v>1492</v>
      </c>
      <c r="C46" s="764"/>
      <c r="D46" s="241" t="s">
        <v>12</v>
      </c>
      <c r="E46" s="219">
        <v>6</v>
      </c>
      <c r="F46" s="220">
        <v>2</v>
      </c>
      <c r="G46" s="221">
        <v>25000</v>
      </c>
      <c r="H46" s="239">
        <f>+G46*F46*E46</f>
        <v>300000</v>
      </c>
      <c r="I46" s="15">
        <v>1</v>
      </c>
      <c r="J46" s="248">
        <f>+I46*H46</f>
        <v>300000</v>
      </c>
      <c r="M46" s="463"/>
      <c r="N46" s="464" t="s">
        <v>1492</v>
      </c>
    </row>
    <row r="47" spans="1:14" ht="10.199999999999999" customHeight="1" thickBot="1" x14ac:dyDescent="0.25">
      <c r="A47" s="453"/>
      <c r="B47" s="764" t="s">
        <v>1493</v>
      </c>
      <c r="C47" s="764"/>
      <c r="D47" s="241" t="s">
        <v>12</v>
      </c>
      <c r="E47" s="219">
        <v>4</v>
      </c>
      <c r="F47" s="220">
        <v>2</v>
      </c>
      <c r="G47" s="221">
        <v>25000</v>
      </c>
      <c r="H47" s="239">
        <f>+G47*F47*E47</f>
        <v>200000</v>
      </c>
      <c r="I47" s="15">
        <v>1</v>
      </c>
      <c r="J47" s="248">
        <f>+I47*H47</f>
        <v>200000</v>
      </c>
      <c r="M47" s="463"/>
      <c r="N47" s="464" t="s">
        <v>1493</v>
      </c>
    </row>
    <row r="48" spans="1:14" ht="10.199999999999999" customHeight="1" thickBot="1" x14ac:dyDescent="0.25">
      <c r="A48" s="453"/>
      <c r="B48" s="764" t="s">
        <v>1494</v>
      </c>
      <c r="C48" s="764"/>
      <c r="D48" s="241" t="s">
        <v>12</v>
      </c>
      <c r="E48" s="219">
        <v>2</v>
      </c>
      <c r="F48" s="220">
        <v>2</v>
      </c>
      <c r="G48" s="221">
        <v>25000</v>
      </c>
      <c r="H48" s="239">
        <f>+G48*F48*E48</f>
        <v>100000</v>
      </c>
      <c r="I48" s="15">
        <v>1</v>
      </c>
      <c r="J48" s="248">
        <f>+I48*H48</f>
        <v>100000</v>
      </c>
      <c r="M48" s="463"/>
      <c r="N48" s="464" t="s">
        <v>1494</v>
      </c>
    </row>
    <row r="49" spans="1:14" ht="12.75" customHeight="1" thickBot="1" x14ac:dyDescent="0.25">
      <c r="A49" s="764" t="s">
        <v>1495</v>
      </c>
      <c r="B49" s="764"/>
      <c r="C49" s="764"/>
      <c r="D49" s="241"/>
      <c r="E49" s="219"/>
      <c r="F49" s="221"/>
      <c r="G49" s="221"/>
      <c r="H49" s="239"/>
      <c r="I49" s="15"/>
      <c r="J49" s="248">
        <f>+J51+J50</f>
        <v>25200000</v>
      </c>
      <c r="M49" s="789" t="s">
        <v>1495</v>
      </c>
      <c r="N49" s="790"/>
    </row>
    <row r="50" spans="1:14" ht="10.199999999999999" customHeight="1" thickBot="1" x14ac:dyDescent="0.25">
      <c r="A50" s="453"/>
      <c r="B50" s="764" t="s">
        <v>1462</v>
      </c>
      <c r="C50" s="764"/>
      <c r="D50" s="241" t="s">
        <v>12</v>
      </c>
      <c r="E50" s="219">
        <v>2</v>
      </c>
      <c r="F50" s="221">
        <v>2</v>
      </c>
      <c r="G50" s="221">
        <v>350000</v>
      </c>
      <c r="H50" s="239">
        <f>+G50*F50*E50</f>
        <v>1400000</v>
      </c>
      <c r="I50" s="15">
        <v>12</v>
      </c>
      <c r="J50" s="248">
        <f>+I50*H50</f>
        <v>16800000</v>
      </c>
      <c r="M50" s="463"/>
      <c r="N50" s="464" t="s">
        <v>1462</v>
      </c>
    </row>
    <row r="51" spans="1:14" ht="10.199999999999999" customHeight="1" thickBot="1" x14ac:dyDescent="0.25">
      <c r="A51" s="453"/>
      <c r="B51" s="764" t="s">
        <v>1463</v>
      </c>
      <c r="C51" s="764"/>
      <c r="D51" s="241" t="s">
        <v>12</v>
      </c>
      <c r="E51" s="219">
        <v>1</v>
      </c>
      <c r="F51" s="221">
        <v>2</v>
      </c>
      <c r="G51" s="221">
        <v>350000</v>
      </c>
      <c r="H51" s="239">
        <f>+G51*F51*E51</f>
        <v>700000</v>
      </c>
      <c r="I51" s="15">
        <v>12</v>
      </c>
      <c r="J51" s="248">
        <f>+I51*H51</f>
        <v>8400000</v>
      </c>
      <c r="M51" s="463"/>
      <c r="N51" s="464" t="s">
        <v>1463</v>
      </c>
    </row>
    <row r="52" spans="1:14" ht="10.199999999999999" customHeight="1" x14ac:dyDescent="0.3">
      <c r="A52" s="796" t="s">
        <v>1085</v>
      </c>
      <c r="B52" s="797"/>
      <c r="C52" s="797"/>
      <c r="D52" s="798"/>
      <c r="E52" s="798"/>
      <c r="F52" s="798"/>
      <c r="G52" s="798"/>
      <c r="H52" s="798"/>
      <c r="I52" s="799"/>
      <c r="J52" s="248">
        <f>+J49+J43+J29+J22</f>
        <v>48354800</v>
      </c>
      <c r="M52" s="6"/>
      <c r="N52"/>
    </row>
    <row r="53" spans="1:14" s="111" customFormat="1" ht="17.399999999999999" customHeight="1" x14ac:dyDescent="0.3">
      <c r="A53" s="775" t="s">
        <v>35</v>
      </c>
      <c r="B53" s="775"/>
      <c r="C53" s="775"/>
      <c r="D53" s="263" t="s">
        <v>12</v>
      </c>
      <c r="E53" s="263" t="s">
        <v>13</v>
      </c>
      <c r="F53" s="261" t="s">
        <v>1070</v>
      </c>
      <c r="G53" s="261" t="s">
        <v>1076</v>
      </c>
      <c r="H53" s="261" t="s">
        <v>384</v>
      </c>
      <c r="I53" s="261" t="s">
        <v>1077</v>
      </c>
      <c r="J53" s="261" t="s">
        <v>203</v>
      </c>
    </row>
    <row r="54" spans="1:14" ht="9" customHeight="1" x14ac:dyDescent="0.2">
      <c r="A54" s="764" t="s">
        <v>1496</v>
      </c>
      <c r="B54" s="764"/>
      <c r="C54" s="764"/>
      <c r="D54" s="241"/>
      <c r="E54" s="219"/>
      <c r="F54" s="221"/>
      <c r="G54" s="221"/>
      <c r="H54" s="239"/>
      <c r="I54" s="220"/>
      <c r="J54" s="248">
        <f>+J55+J56</f>
        <v>1440000</v>
      </c>
      <c r="L54" s="217"/>
    </row>
    <row r="55" spans="1:14" ht="9" customHeight="1" x14ac:dyDescent="0.2">
      <c r="A55" s="453"/>
      <c r="B55" s="795" t="s">
        <v>1477</v>
      </c>
      <c r="C55" s="795"/>
      <c r="D55" s="241" t="s">
        <v>12</v>
      </c>
      <c r="E55" s="219">
        <v>6</v>
      </c>
      <c r="F55" s="221">
        <v>2</v>
      </c>
      <c r="G55" s="221">
        <v>60000</v>
      </c>
      <c r="H55" s="239">
        <f>+G55*F55*E55</f>
        <v>720000</v>
      </c>
      <c r="I55" s="15">
        <v>1</v>
      </c>
      <c r="J55" s="248">
        <f t="shared" ref="J55:J60" si="4">+I55*H55</f>
        <v>720000</v>
      </c>
      <c r="L55" s="217"/>
    </row>
    <row r="56" spans="1:14" ht="9" customHeight="1" x14ac:dyDescent="0.2">
      <c r="A56" s="453"/>
      <c r="B56" s="764" t="s">
        <v>1478</v>
      </c>
      <c r="C56" s="764"/>
      <c r="D56" s="241" t="s">
        <v>12</v>
      </c>
      <c r="E56" s="219">
        <v>30</v>
      </c>
      <c r="F56" s="221">
        <v>2</v>
      </c>
      <c r="G56" s="221">
        <v>1000</v>
      </c>
      <c r="H56" s="239">
        <f>+G56*F56*E56</f>
        <v>60000</v>
      </c>
      <c r="I56" s="15">
        <v>12</v>
      </c>
      <c r="J56" s="248">
        <f t="shared" si="4"/>
        <v>720000</v>
      </c>
      <c r="L56" s="217"/>
    </row>
    <row r="57" spans="1:14" ht="9" customHeight="1" x14ac:dyDescent="0.2">
      <c r="A57" s="764" t="s">
        <v>1497</v>
      </c>
      <c r="B57" s="764"/>
      <c r="C57" s="764"/>
      <c r="D57" s="241"/>
      <c r="E57" s="219"/>
      <c r="F57" s="221"/>
      <c r="G57" s="221"/>
      <c r="H57" s="239"/>
      <c r="I57" s="220"/>
      <c r="J57" s="248">
        <f>SUM(J58:J60)</f>
        <v>750000</v>
      </c>
      <c r="L57" s="217"/>
    </row>
    <row r="58" spans="1:14" ht="9" customHeight="1" x14ac:dyDescent="0.2">
      <c r="A58" s="453"/>
      <c r="B58" s="764" t="s">
        <v>1498</v>
      </c>
      <c r="C58" s="764"/>
      <c r="D58" s="241" t="s">
        <v>12</v>
      </c>
      <c r="E58" s="219">
        <v>5</v>
      </c>
      <c r="F58" s="220">
        <v>2</v>
      </c>
      <c r="G58" s="221">
        <v>25000</v>
      </c>
      <c r="H58" s="239">
        <f>+G58*F58*E58</f>
        <v>250000</v>
      </c>
      <c r="I58" s="15">
        <v>1</v>
      </c>
      <c r="J58" s="248">
        <f t="shared" si="4"/>
        <v>250000</v>
      </c>
      <c r="L58" s="217"/>
    </row>
    <row r="59" spans="1:14" ht="9" customHeight="1" x14ac:dyDescent="0.2">
      <c r="A59" s="453"/>
      <c r="B59" s="764" t="s">
        <v>1499</v>
      </c>
      <c r="C59" s="764"/>
      <c r="D59" s="241" t="s">
        <v>12</v>
      </c>
      <c r="E59" s="219">
        <v>5</v>
      </c>
      <c r="F59" s="220">
        <v>2</v>
      </c>
      <c r="G59" s="221">
        <v>25000</v>
      </c>
      <c r="H59" s="239">
        <f>+G59*F59*E59</f>
        <v>250000</v>
      </c>
      <c r="I59" s="15">
        <v>1</v>
      </c>
      <c r="J59" s="248">
        <f t="shared" si="4"/>
        <v>250000</v>
      </c>
      <c r="L59" s="217"/>
    </row>
    <row r="60" spans="1:14" ht="9" customHeight="1" x14ac:dyDescent="0.2">
      <c r="A60" s="453"/>
      <c r="B60" s="764" t="s">
        <v>1500</v>
      </c>
      <c r="C60" s="764"/>
      <c r="D60" s="241" t="s">
        <v>12</v>
      </c>
      <c r="E60" s="219">
        <v>5</v>
      </c>
      <c r="F60" s="220">
        <v>2</v>
      </c>
      <c r="G60" s="221">
        <v>25000</v>
      </c>
      <c r="H60" s="239">
        <f>+G60*F60*E60</f>
        <v>250000</v>
      </c>
      <c r="I60" s="15">
        <v>1</v>
      </c>
      <c r="J60" s="248">
        <f t="shared" si="4"/>
        <v>250000</v>
      </c>
      <c r="L60" s="217"/>
    </row>
    <row r="61" spans="1:14" ht="9" customHeight="1" x14ac:dyDescent="0.2">
      <c r="A61" s="764" t="s">
        <v>1479</v>
      </c>
      <c r="B61" s="764"/>
      <c r="C61" s="764"/>
      <c r="D61" s="241"/>
      <c r="E61" s="219"/>
      <c r="F61" s="221"/>
      <c r="G61" s="221"/>
      <c r="H61" s="239"/>
      <c r="I61" s="220"/>
      <c r="J61" s="248">
        <f>+J62</f>
        <v>240000</v>
      </c>
      <c r="L61" s="217"/>
    </row>
    <row r="62" spans="1:14" ht="9" customHeight="1" x14ac:dyDescent="0.2">
      <c r="A62" s="453"/>
      <c r="B62" s="795" t="s">
        <v>1480</v>
      </c>
      <c r="C62" s="795"/>
      <c r="D62" s="241" t="s">
        <v>12</v>
      </c>
      <c r="E62" s="219">
        <v>2</v>
      </c>
      <c r="F62" s="220">
        <v>2</v>
      </c>
      <c r="G62" s="221">
        <v>60000</v>
      </c>
      <c r="H62" s="239">
        <f>+G62*F62*E62</f>
        <v>240000</v>
      </c>
      <c r="I62" s="15">
        <v>1</v>
      </c>
      <c r="J62" s="248">
        <f>+I62*H62</f>
        <v>240000</v>
      </c>
      <c r="L62" s="217"/>
    </row>
    <row r="63" spans="1:14" ht="9" customHeight="1" x14ac:dyDescent="0.2">
      <c r="A63" s="764" t="s">
        <v>1501</v>
      </c>
      <c r="B63" s="764"/>
      <c r="C63" s="764"/>
      <c r="D63" s="241"/>
      <c r="E63" s="219"/>
      <c r="F63" s="221"/>
      <c r="G63" s="221"/>
      <c r="H63" s="239"/>
      <c r="I63" s="220"/>
      <c r="J63" s="248">
        <f>+J64+J65</f>
        <v>72802004.114833325</v>
      </c>
      <c r="L63" s="217"/>
    </row>
    <row r="64" spans="1:14" ht="16.5" customHeight="1" x14ac:dyDescent="0.2">
      <c r="A64" s="453"/>
      <c r="B64" s="764" t="s">
        <v>1502</v>
      </c>
      <c r="C64" s="764"/>
      <c r="D64" s="241" t="s">
        <v>1448</v>
      </c>
      <c r="E64" s="219">
        <v>27</v>
      </c>
      <c r="F64" s="220">
        <v>1</v>
      </c>
      <c r="G64" s="239">
        <v>550000</v>
      </c>
      <c r="H64" s="239">
        <f>+G64*F64*E64</f>
        <v>14850000</v>
      </c>
      <c r="I64" s="454">
        <v>1</v>
      </c>
      <c r="J64" s="248">
        <f>+I64*H64</f>
        <v>14850000</v>
      </c>
      <c r="L64" s="217"/>
    </row>
    <row r="65" spans="1:12" ht="16.5" customHeight="1" x14ac:dyDescent="0.2">
      <c r="A65" s="453"/>
      <c r="B65" s="764" t="s">
        <v>1503</v>
      </c>
      <c r="C65" s="764"/>
      <c r="D65" s="241" t="s">
        <v>1448</v>
      </c>
      <c r="E65" s="219">
        <f>9*10*0.8</f>
        <v>72</v>
      </c>
      <c r="F65" s="220">
        <v>1</v>
      </c>
      <c r="G65" s="239">
        <v>804888.94603935187</v>
      </c>
      <c r="H65" s="239">
        <f>+G65*F65*E65</f>
        <v>57952004.114833333</v>
      </c>
      <c r="I65" s="454">
        <v>1</v>
      </c>
      <c r="J65" s="248">
        <f>+I65*H65</f>
        <v>57952004.114833333</v>
      </c>
      <c r="L65" s="217"/>
    </row>
    <row r="66" spans="1:12" ht="10.199999999999999" customHeight="1" x14ac:dyDescent="0.2">
      <c r="A66" s="764" t="s">
        <v>1481</v>
      </c>
      <c r="B66" s="764"/>
      <c r="C66" s="764"/>
      <c r="D66" s="241"/>
      <c r="E66" s="219"/>
      <c r="F66" s="221"/>
      <c r="G66" s="221"/>
      <c r="H66" s="239"/>
      <c r="I66" s="220"/>
      <c r="J66" s="248">
        <f>SUM(J67:J70)</f>
        <v>1348000</v>
      </c>
      <c r="L66" s="217"/>
    </row>
    <row r="67" spans="1:12" ht="10.199999999999999" customHeight="1" x14ac:dyDescent="0.2">
      <c r="A67" s="453"/>
      <c r="B67" s="764" t="s">
        <v>1482</v>
      </c>
      <c r="C67" s="764"/>
      <c r="D67" s="241" t="s">
        <v>12</v>
      </c>
      <c r="E67" s="219">
        <v>2</v>
      </c>
      <c r="F67" s="220">
        <v>2</v>
      </c>
      <c r="G67" s="221">
        <v>210000</v>
      </c>
      <c r="H67" s="239">
        <f>+G67*F67*E67</f>
        <v>840000</v>
      </c>
      <c r="I67" s="15">
        <v>1</v>
      </c>
      <c r="J67" s="248">
        <f>+I67*H67</f>
        <v>840000</v>
      </c>
      <c r="L67" s="217"/>
    </row>
    <row r="68" spans="1:12" ht="10.199999999999999" customHeight="1" x14ac:dyDescent="0.2">
      <c r="A68" s="453"/>
      <c r="B68" s="764" t="s">
        <v>1453</v>
      </c>
      <c r="C68" s="764"/>
      <c r="D68" s="241" t="s">
        <v>12</v>
      </c>
      <c r="E68" s="219">
        <v>6</v>
      </c>
      <c r="F68" s="220">
        <v>2</v>
      </c>
      <c r="G68" s="221">
        <v>35000</v>
      </c>
      <c r="H68" s="239">
        <f>+G68*F68*E68</f>
        <v>420000</v>
      </c>
      <c r="I68" s="15">
        <v>1</v>
      </c>
      <c r="J68" s="248">
        <f>+I68*H68</f>
        <v>420000</v>
      </c>
      <c r="L68" s="217"/>
    </row>
    <row r="69" spans="1:12" ht="10.199999999999999" customHeight="1" x14ac:dyDescent="0.2">
      <c r="A69" s="453"/>
      <c r="B69" s="764" t="s">
        <v>1504</v>
      </c>
      <c r="C69" s="764"/>
      <c r="D69" s="241" t="s">
        <v>12</v>
      </c>
      <c r="E69" s="219">
        <v>2</v>
      </c>
      <c r="F69" s="220">
        <v>2</v>
      </c>
      <c r="G69" s="221">
        <v>15000</v>
      </c>
      <c r="H69" s="239">
        <f>+G69*F69*E69</f>
        <v>60000</v>
      </c>
      <c r="I69" s="15">
        <v>1</v>
      </c>
      <c r="J69" s="248">
        <f>+I69*H69</f>
        <v>60000</v>
      </c>
      <c r="L69" s="217"/>
    </row>
    <row r="70" spans="1:12" ht="10.199999999999999" customHeight="1" x14ac:dyDescent="0.2">
      <c r="A70" s="453"/>
      <c r="B70" s="764" t="s">
        <v>1483</v>
      </c>
      <c r="C70" s="764"/>
      <c r="D70" s="241" t="s">
        <v>12</v>
      </c>
      <c r="E70" s="219">
        <v>2</v>
      </c>
      <c r="F70" s="220">
        <v>2</v>
      </c>
      <c r="G70" s="221">
        <v>7000</v>
      </c>
      <c r="H70" s="239">
        <f>+G70*F70*E70</f>
        <v>28000</v>
      </c>
      <c r="I70" s="15">
        <v>1</v>
      </c>
      <c r="J70" s="248">
        <f>+I70*H70</f>
        <v>28000</v>
      </c>
      <c r="L70" s="217"/>
    </row>
    <row r="71" spans="1:12" ht="10.199999999999999" customHeight="1" x14ac:dyDescent="0.2">
      <c r="A71" s="764" t="s">
        <v>1484</v>
      </c>
      <c r="B71" s="764"/>
      <c r="C71" s="764"/>
      <c r="D71" s="241"/>
      <c r="E71" s="219"/>
      <c r="F71" s="221"/>
      <c r="G71" s="221"/>
      <c r="H71" s="239"/>
      <c r="I71" s="220"/>
      <c r="J71" s="248">
        <f>+J72</f>
        <v>360000</v>
      </c>
      <c r="L71" s="217"/>
    </row>
    <row r="72" spans="1:12" ht="10.199999999999999" customHeight="1" x14ac:dyDescent="0.2">
      <c r="A72" s="453"/>
      <c r="B72" s="764" t="s">
        <v>1485</v>
      </c>
      <c r="C72" s="764"/>
      <c r="D72" s="241" t="s">
        <v>12</v>
      </c>
      <c r="E72" s="219">
        <v>2</v>
      </c>
      <c r="F72" s="220">
        <v>2</v>
      </c>
      <c r="G72" s="221">
        <v>90000</v>
      </c>
      <c r="H72" s="239">
        <f>+G72*F72*E72</f>
        <v>360000</v>
      </c>
      <c r="I72" s="15">
        <v>1</v>
      </c>
      <c r="J72" s="248">
        <f>+I72*H72</f>
        <v>360000</v>
      </c>
      <c r="L72" s="217"/>
    </row>
    <row r="73" spans="1:12" x14ac:dyDescent="0.2">
      <c r="A73" s="794" t="s">
        <v>1086</v>
      </c>
      <c r="B73" s="794"/>
      <c r="C73" s="794"/>
      <c r="D73" s="762"/>
      <c r="E73" s="762"/>
      <c r="F73" s="762"/>
      <c r="G73" s="762"/>
      <c r="H73" s="258">
        <f>+H49+H43+H22+H20</f>
        <v>6562273.8237638893</v>
      </c>
      <c r="I73" s="105"/>
      <c r="J73" s="258">
        <f>+J71+J66+J63+J57+J54</f>
        <v>76700004.114833325</v>
      </c>
      <c r="L73" s="217"/>
    </row>
    <row r="74" spans="1:12" s="111" customFormat="1" ht="17.399999999999999" customHeight="1" x14ac:dyDescent="0.2">
      <c r="A74" s="775" t="s">
        <v>35</v>
      </c>
      <c r="B74" s="775"/>
      <c r="C74" s="775"/>
      <c r="D74" s="263" t="s">
        <v>12</v>
      </c>
      <c r="E74" s="263" t="s">
        <v>13</v>
      </c>
      <c r="F74" s="261" t="s">
        <v>1070</v>
      </c>
      <c r="G74" s="261" t="s">
        <v>1076</v>
      </c>
      <c r="H74" s="261" t="s">
        <v>384</v>
      </c>
      <c r="I74" s="261" t="s">
        <v>1077</v>
      </c>
      <c r="J74" s="261" t="s">
        <v>203</v>
      </c>
      <c r="L74" s="217"/>
    </row>
    <row r="75" spans="1:12" ht="10.199999999999999" customHeight="1" x14ac:dyDescent="0.2">
      <c r="A75" s="764" t="s">
        <v>1486</v>
      </c>
      <c r="B75" s="764"/>
      <c r="C75" s="764"/>
      <c r="D75" s="241"/>
      <c r="E75" s="219"/>
      <c r="F75" s="221"/>
      <c r="G75" s="221"/>
      <c r="H75" s="239"/>
      <c r="I75" s="220"/>
      <c r="J75" s="248">
        <f>+J76+J78+J77</f>
        <v>3810000</v>
      </c>
      <c r="K75" s="459"/>
      <c r="L75" s="217"/>
    </row>
    <row r="76" spans="1:12" ht="10.199999999999999" customHeight="1" x14ac:dyDescent="0.2">
      <c r="A76" s="456"/>
      <c r="B76" s="764" t="s">
        <v>1487</v>
      </c>
      <c r="C76" s="764"/>
      <c r="D76" s="241" t="s">
        <v>12</v>
      </c>
      <c r="E76" s="219">
        <v>3</v>
      </c>
      <c r="F76" s="221">
        <v>2</v>
      </c>
      <c r="G76" s="221">
        <v>35000</v>
      </c>
      <c r="H76" s="239">
        <f>+G76*F76*E76</f>
        <v>210000</v>
      </c>
      <c r="I76" s="15">
        <v>1</v>
      </c>
      <c r="J76" s="248">
        <f>+I76*H76</f>
        <v>210000</v>
      </c>
      <c r="K76" s="459"/>
      <c r="L76" s="217"/>
    </row>
    <row r="77" spans="1:12" ht="10.199999999999999" customHeight="1" x14ac:dyDescent="0.2">
      <c r="A77" s="456"/>
      <c r="B77" s="764" t="s">
        <v>1505</v>
      </c>
      <c r="C77" s="764"/>
      <c r="D77" s="241" t="s">
        <v>12</v>
      </c>
      <c r="E77" s="219">
        <v>1</v>
      </c>
      <c r="F77" s="221">
        <v>2</v>
      </c>
      <c r="G77" s="221">
        <v>600000</v>
      </c>
      <c r="H77" s="239">
        <f>+G77*F77*E77</f>
        <v>1200000</v>
      </c>
      <c r="I77" s="15">
        <v>1</v>
      </c>
      <c r="J77" s="248">
        <f>+I77*H77</f>
        <v>1200000</v>
      </c>
      <c r="K77" s="459"/>
      <c r="L77" s="217"/>
    </row>
    <row r="78" spans="1:12" ht="10.199999999999999" customHeight="1" x14ac:dyDescent="0.2">
      <c r="A78" s="456"/>
      <c r="B78" s="764" t="s">
        <v>1488</v>
      </c>
      <c r="C78" s="764"/>
      <c r="D78" s="241" t="s">
        <v>12</v>
      </c>
      <c r="E78" s="219">
        <v>500</v>
      </c>
      <c r="F78" s="221">
        <v>2</v>
      </c>
      <c r="G78" s="221">
        <v>200</v>
      </c>
      <c r="H78" s="239">
        <f>+G78*F78*E78</f>
        <v>200000</v>
      </c>
      <c r="I78" s="15">
        <v>12</v>
      </c>
      <c r="J78" s="248">
        <f>+I78*H78</f>
        <v>2400000</v>
      </c>
      <c r="K78" s="459"/>
      <c r="L78" s="217"/>
    </row>
    <row r="79" spans="1:12" ht="9.75" customHeight="1" x14ac:dyDescent="0.2">
      <c r="A79" s="764" t="s">
        <v>1506</v>
      </c>
      <c r="B79" s="764"/>
      <c r="C79" s="764"/>
      <c r="D79" s="241"/>
      <c r="E79" s="219"/>
      <c r="F79" s="221"/>
      <c r="G79" s="221"/>
      <c r="H79" s="239"/>
      <c r="I79" s="220"/>
      <c r="J79" s="248">
        <f>SUM(J80:J81)</f>
        <v>3500000</v>
      </c>
      <c r="K79" s="459"/>
      <c r="L79" s="217"/>
    </row>
    <row r="80" spans="1:12" ht="10.199999999999999" customHeight="1" x14ac:dyDescent="0.2">
      <c r="A80" s="456"/>
      <c r="B80" s="764" t="s">
        <v>1489</v>
      </c>
      <c r="C80" s="764"/>
      <c r="D80" s="241" t="s">
        <v>12</v>
      </c>
      <c r="E80" s="219">
        <v>100</v>
      </c>
      <c r="F80" s="221">
        <v>10</v>
      </c>
      <c r="G80" s="221">
        <v>1500</v>
      </c>
      <c r="H80" s="239">
        <f>+G80*F80*E80</f>
        <v>1500000</v>
      </c>
      <c r="I80" s="15">
        <v>1</v>
      </c>
      <c r="J80" s="248">
        <f>+I80*H80</f>
        <v>1500000</v>
      </c>
      <c r="K80" s="459"/>
      <c r="L80" s="217"/>
    </row>
    <row r="81" spans="1:12" ht="10.199999999999999" customHeight="1" x14ac:dyDescent="0.2">
      <c r="A81" s="456"/>
      <c r="B81" s="764" t="s">
        <v>1490</v>
      </c>
      <c r="C81" s="764"/>
      <c r="D81" s="241" t="s">
        <v>103</v>
      </c>
      <c r="E81" s="219">
        <v>2</v>
      </c>
      <c r="F81" s="221">
        <v>10</v>
      </c>
      <c r="G81" s="221">
        <v>100000</v>
      </c>
      <c r="H81" s="239">
        <f>+G81*F81*E81</f>
        <v>2000000</v>
      </c>
      <c r="I81" s="15">
        <v>1</v>
      </c>
      <c r="J81" s="248">
        <f>+I81*H81</f>
        <v>2000000</v>
      </c>
      <c r="K81" s="459"/>
      <c r="L81" s="217"/>
    </row>
    <row r="82" spans="1:12" ht="10.199999999999999" customHeight="1" x14ac:dyDescent="0.2">
      <c r="A82" s="764" t="s">
        <v>1507</v>
      </c>
      <c r="B82" s="764"/>
      <c r="C82" s="764"/>
      <c r="D82" s="241"/>
      <c r="E82" s="219"/>
      <c r="F82" s="221"/>
      <c r="G82" s="221"/>
      <c r="H82" s="239"/>
      <c r="I82" s="220"/>
      <c r="J82" s="248">
        <f>+J83+J86</f>
        <v>200000</v>
      </c>
      <c r="K82" s="459"/>
      <c r="L82" s="217"/>
    </row>
    <row r="83" spans="1:12" ht="10.199999999999999" customHeight="1" x14ac:dyDescent="0.2">
      <c r="A83" s="456"/>
      <c r="B83" s="764" t="s">
        <v>1488</v>
      </c>
      <c r="C83" s="764"/>
      <c r="D83" s="241" t="s">
        <v>12</v>
      </c>
      <c r="E83" s="219">
        <v>100</v>
      </c>
      <c r="F83" s="221">
        <v>10</v>
      </c>
      <c r="G83" s="221">
        <v>200</v>
      </c>
      <c r="H83" s="239">
        <f>+G83*F83*E83</f>
        <v>200000</v>
      </c>
      <c r="I83" s="15">
        <v>1</v>
      </c>
      <c r="J83" s="248">
        <f>+I83*H83</f>
        <v>200000</v>
      </c>
      <c r="K83" s="459"/>
      <c r="L83" s="217"/>
    </row>
    <row r="84" spans="1:12" x14ac:dyDescent="0.2">
      <c r="A84" s="762" t="s">
        <v>1086</v>
      </c>
      <c r="B84" s="762"/>
      <c r="C84" s="762"/>
      <c r="D84" s="762"/>
      <c r="E84" s="762"/>
      <c r="F84" s="762"/>
      <c r="G84" s="762"/>
      <c r="H84" s="258"/>
      <c r="I84" s="105"/>
      <c r="J84" s="258">
        <f>+J82+J79+J75</f>
        <v>7510000</v>
      </c>
      <c r="K84" s="459"/>
      <c r="L84" s="217"/>
    </row>
    <row r="85" spans="1:12" x14ac:dyDescent="0.2">
      <c r="A85" s="791" t="s">
        <v>1087</v>
      </c>
      <c r="B85" s="792"/>
      <c r="C85" s="792"/>
      <c r="D85" s="792"/>
      <c r="E85" s="792"/>
      <c r="F85" s="792"/>
      <c r="G85" s="792"/>
      <c r="H85" s="792"/>
      <c r="I85" s="793"/>
      <c r="J85" s="258">
        <f>+J84+J73+J52+J20</f>
        <v>211312090</v>
      </c>
      <c r="K85" s="249" t="e">
        <f>+'AJUSTE PRESUPUESTO'!#REF!-'AJUSTE PRESUPUESTO'!H75</f>
        <v>#REF!</v>
      </c>
      <c r="L85" s="249" t="e">
        <f>+J85+K85</f>
        <v>#REF!</v>
      </c>
    </row>
  </sheetData>
  <mergeCells count="100">
    <mergeCell ref="B28:C28"/>
    <mergeCell ref="B44:C44"/>
    <mergeCell ref="B23:C23"/>
    <mergeCell ref="B24:C24"/>
    <mergeCell ref="B25:C25"/>
    <mergeCell ref="B26:C26"/>
    <mergeCell ref="B27:C27"/>
    <mergeCell ref="B41:C41"/>
    <mergeCell ref="B42:C42"/>
    <mergeCell ref="B34:C34"/>
    <mergeCell ref="B35:C35"/>
    <mergeCell ref="B36:C36"/>
    <mergeCell ref="B37:C37"/>
    <mergeCell ref="B38:C38"/>
    <mergeCell ref="B39:C39"/>
    <mergeCell ref="A29:C29"/>
    <mergeCell ref="A22:C22"/>
    <mergeCell ref="A12:B12"/>
    <mergeCell ref="C12:D12"/>
    <mergeCell ref="E12:J12"/>
    <mergeCell ref="A13:B13"/>
    <mergeCell ref="C13:D13"/>
    <mergeCell ref="E13:J13"/>
    <mergeCell ref="A14:B14"/>
    <mergeCell ref="C14:I14"/>
    <mergeCell ref="A15:J15"/>
    <mergeCell ref="A20:C20"/>
    <mergeCell ref="A21:C21"/>
    <mergeCell ref="A10:B10"/>
    <mergeCell ref="C10:D10"/>
    <mergeCell ref="E10:J10"/>
    <mergeCell ref="A11:B11"/>
    <mergeCell ref="C11:D11"/>
    <mergeCell ref="E11:J11"/>
    <mergeCell ref="A7:B7"/>
    <mergeCell ref="C7:D7"/>
    <mergeCell ref="E7:G7"/>
    <mergeCell ref="H7:J7"/>
    <mergeCell ref="A9:B9"/>
    <mergeCell ref="C9:D9"/>
    <mergeCell ref="E9:G9"/>
    <mergeCell ref="H9:J9"/>
    <mergeCell ref="D1:I1"/>
    <mergeCell ref="A2:B5"/>
    <mergeCell ref="C2:D3"/>
    <mergeCell ref="G2:J2"/>
    <mergeCell ref="G3:J3"/>
    <mergeCell ref="G4:J4"/>
    <mergeCell ref="G5:J5"/>
    <mergeCell ref="B30:C30"/>
    <mergeCell ref="B31:C31"/>
    <mergeCell ref="B32:C32"/>
    <mergeCell ref="B33:C33"/>
    <mergeCell ref="B60:C60"/>
    <mergeCell ref="A52:I52"/>
    <mergeCell ref="B50:C50"/>
    <mergeCell ref="A53:C53"/>
    <mergeCell ref="B51:C51"/>
    <mergeCell ref="B45:C45"/>
    <mergeCell ref="B46:C46"/>
    <mergeCell ref="B47:C47"/>
    <mergeCell ref="A43:C43"/>
    <mergeCell ref="B40:C40"/>
    <mergeCell ref="B48:C48"/>
    <mergeCell ref="A49:C49"/>
    <mergeCell ref="A61:C61"/>
    <mergeCell ref="A54:C54"/>
    <mergeCell ref="B55:C55"/>
    <mergeCell ref="B56:C56"/>
    <mergeCell ref="B58:C58"/>
    <mergeCell ref="A57:C57"/>
    <mergeCell ref="B59:C59"/>
    <mergeCell ref="B62:C62"/>
    <mergeCell ref="A63:C63"/>
    <mergeCell ref="B64:C64"/>
    <mergeCell ref="B65:C65"/>
    <mergeCell ref="A66:C66"/>
    <mergeCell ref="B77:C77"/>
    <mergeCell ref="A73:G73"/>
    <mergeCell ref="B67:C67"/>
    <mergeCell ref="B68:C68"/>
    <mergeCell ref="B70:C70"/>
    <mergeCell ref="B69:C69"/>
    <mergeCell ref="A71:C71"/>
    <mergeCell ref="M22:N22"/>
    <mergeCell ref="M29:N29"/>
    <mergeCell ref="M43:N43"/>
    <mergeCell ref="M49:N49"/>
    <mergeCell ref="A85:I85"/>
    <mergeCell ref="A79:C79"/>
    <mergeCell ref="B80:C80"/>
    <mergeCell ref="B81:C81"/>
    <mergeCell ref="A84:G84"/>
    <mergeCell ref="A82:C82"/>
    <mergeCell ref="B83:C83"/>
    <mergeCell ref="B72:C72"/>
    <mergeCell ref="A74:C74"/>
    <mergeCell ref="A75:C75"/>
    <mergeCell ref="B76:C76"/>
    <mergeCell ref="B78:C78"/>
  </mergeCells>
  <pageMargins left="0.70866141732283472" right="0.59055118110236227" top="0.55118110236220474" bottom="0.95" header="0.31496062992125984" footer="0.59"/>
  <pageSetup scale="90" orientation="portrait" r:id="rId1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3638A7BFA3A408A590000F7E4278F" ma:contentTypeVersion="5" ma:contentTypeDescription="Create a new document." ma:contentTypeScope="" ma:versionID="fe543fc86cc41c29a850c9162912cd3f">
  <xsd:schema xmlns:xsd="http://www.w3.org/2001/XMLSchema" xmlns:xs="http://www.w3.org/2001/XMLSchema" xmlns:p="http://schemas.microsoft.com/office/2006/metadata/properties" xmlns:ns3="93c4a167-fef6-4856-9fdb-ac36e183e349" xmlns:ns4="452c68cd-34c5-4e00-bb99-a6d875b9e14e" targetNamespace="http://schemas.microsoft.com/office/2006/metadata/properties" ma:root="true" ma:fieldsID="31f2d1889617aa3c0647a4e29e313a36" ns3:_="" ns4:_="">
    <xsd:import namespace="93c4a167-fef6-4856-9fdb-ac36e183e349"/>
    <xsd:import namespace="452c68cd-34c5-4e00-bb99-a6d875b9e1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4a167-fef6-4856-9fdb-ac36e183e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c68cd-34c5-4e00-bb99-a6d875b9e1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EDB315-2E1F-4CE7-BACB-1E96BC7F63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B5610-7196-42CF-81FA-E7F67A456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4a167-fef6-4856-9fdb-ac36e183e349"/>
    <ds:schemaRef ds:uri="452c68cd-34c5-4e00-bb99-a6d875b9e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EB984-092C-4096-9892-34EC805FAA9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452c68cd-34c5-4e00-bb99-a6d875b9e14e"/>
    <ds:schemaRef ds:uri="93c4a167-fef6-4856-9fdb-ac36e183e34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29</vt:i4>
      </vt:variant>
    </vt:vector>
  </HeadingPairs>
  <TitlesOfParts>
    <vt:vector size="50" baseType="lpstr">
      <vt:lpstr>PRESUPUESTO GENERAL </vt:lpstr>
      <vt:lpstr>PRESUPUESTO MGA</vt:lpstr>
      <vt:lpstr>AJUSTE PRESUPUESTO</vt:lpstr>
      <vt:lpstr>CUADRO DE COMPARACIÓN</vt:lpstr>
      <vt:lpstr>MEM</vt:lpstr>
      <vt:lpstr>APU1</vt:lpstr>
      <vt:lpstr>AIU Obra civil </vt:lpstr>
      <vt:lpstr>aiu insumos</vt:lpstr>
      <vt:lpstr>PGIO</vt:lpstr>
      <vt:lpstr>PMT</vt:lpstr>
      <vt:lpstr>CRONOGRAMA </vt:lpstr>
      <vt:lpstr>MDEO ADMON</vt:lpstr>
      <vt:lpstr>prespuesto interventoria</vt:lpstr>
      <vt:lpstr>FACTOR MULTIPLICADOR</vt:lpstr>
      <vt:lpstr>PRESUPUESTO</vt:lpstr>
      <vt:lpstr>APU</vt:lpstr>
      <vt:lpstr>MAT1</vt:lpstr>
      <vt:lpstr>MAT2</vt:lpstr>
      <vt:lpstr>EQUI</vt:lpstr>
      <vt:lpstr>TRAN</vt:lpstr>
      <vt:lpstr>MDEO</vt:lpstr>
      <vt:lpstr>'aiu insumos'!Área_de_impresión</vt:lpstr>
      <vt:lpstr>'AIU Obra civil '!Área_de_impresión</vt:lpstr>
      <vt:lpstr>'AJUSTE PRESUPUESTO'!Área_de_impresión</vt:lpstr>
      <vt:lpstr>APU!Área_de_impresión</vt:lpstr>
      <vt:lpstr>'APU1'!Área_de_impresión</vt:lpstr>
      <vt:lpstr>'CRONOGRAMA '!Área_de_impresión</vt:lpstr>
      <vt:lpstr>EQUI!Área_de_impresión</vt:lpstr>
      <vt:lpstr>'MAT1'!Área_de_impresión</vt:lpstr>
      <vt:lpstr>'MAT2'!Área_de_impresión</vt:lpstr>
      <vt:lpstr>MDEO!Área_de_impresión</vt:lpstr>
      <vt:lpstr>'MDEO ADMON'!Área_de_impresión</vt:lpstr>
      <vt:lpstr>PGIO!Área_de_impresión</vt:lpstr>
      <vt:lpstr>PMT!Área_de_impresión</vt:lpstr>
      <vt:lpstr>'prespuesto interventoria'!Área_de_impresión</vt:lpstr>
      <vt:lpstr>PRESUPUESTO!Área_de_impresión</vt:lpstr>
      <vt:lpstr>'PRESUPUESTO GENERAL '!Área_de_impresión</vt:lpstr>
      <vt:lpstr>'PRESUPUESTO MGA'!Área_de_impresión</vt:lpstr>
      <vt:lpstr>TRAN!Área_de_impresión</vt:lpstr>
      <vt:lpstr>'AJUSTE PRESUPUESTO'!Títulos_a_imprimir</vt:lpstr>
      <vt:lpstr>APU!Títulos_a_imprimir</vt:lpstr>
      <vt:lpstr>'APU1'!Títulos_a_imprimir</vt:lpstr>
      <vt:lpstr>'MAT1'!Títulos_a_imprimir</vt:lpstr>
      <vt:lpstr>'MAT2'!Títulos_a_imprimir</vt:lpstr>
      <vt:lpstr>MEM!Títulos_a_imprimir</vt:lpstr>
      <vt:lpstr>PGIO!Títulos_a_imprimir</vt:lpstr>
      <vt:lpstr>PMT!Títulos_a_imprimir</vt:lpstr>
      <vt:lpstr>PRESUPUESTO!Títulos_a_imprimir</vt:lpstr>
      <vt:lpstr>'PRESUPUESTO GENERAL '!Títulos_a_imprimir</vt:lpstr>
      <vt:lpstr>'PRESUPUESTO MGA'!Títulos_a_imprimir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REGALÍAS ANTIOQUIA</cp:lastModifiedBy>
  <cp:lastPrinted>2021-10-20T17:12:44Z</cp:lastPrinted>
  <dcterms:created xsi:type="dcterms:W3CDTF">2016-02-24T20:08:54Z</dcterms:created>
  <dcterms:modified xsi:type="dcterms:W3CDTF">2023-11-03T16:08:03Z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0x0101005733638A7BFA3A408A590000F7E4278F</vt:lpwstr>
  </property>
  <property fmtid="{D5CDD505-2E9C-101B-9397-08002B2CF9AE}" pid="3" name="WorkbookGuid">
    <vt:lpwstr>b460098e-b550-4644-b628-8551424e5ebb</vt:lpwstr>
  </property>
</Properties>
</file>